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QA" sheetId="1" r:id="rId4"/>
  </sheets>
  <definedNames/>
  <calcPr/>
</workbook>
</file>

<file path=xl/sharedStrings.xml><?xml version="1.0" encoding="utf-8"?>
<sst xmlns="http://schemas.openxmlformats.org/spreadsheetml/2006/main" count="20461" uniqueCount="10331">
  <si>
    <t>question</t>
  </si>
  <si>
    <t>answer</t>
  </si>
  <si>
    <t>question_arm</t>
  </si>
  <si>
    <t>answer_arm</t>
  </si>
  <si>
    <t>what is the name of justin bieber brother?</t>
  </si>
  <si>
    <t>Justin Bieber's brother's name is Jaxon Bieber.</t>
  </si>
  <si>
    <t>what character did natalie portman play in star wars?</t>
  </si>
  <si>
    <t>Natalie Portman played the character Padmé Amidala in Star Wars.</t>
  </si>
  <si>
    <t>what state is selena gomez from?</t>
  </si>
  <si>
    <t>Texas.</t>
  </si>
  <si>
    <t>what country is the grand bahama island in?</t>
  </si>
  <si>
    <t>The Grand Bahama Island is in The Bahamas.</t>
  </si>
  <si>
    <t>what kind of money to take to bahamas?</t>
  </si>
  <si>
    <t>The Bahamian dollar.</t>
  </si>
  <si>
    <t>Who is Kim Kardashian dating?</t>
  </si>
  <si>
    <t>As an AI language model, I don't have access to real-time information. Therefore, I cannot provide the current dating status of Kim Kardashian.</t>
  </si>
  <si>
    <t>what character did john noble play in lord of the rings?</t>
  </si>
  <si>
    <t>John Noble played the character Denethor in the Lord of the Rings.</t>
  </si>
  <si>
    <t>where are the nfl redskins from?</t>
  </si>
  <si>
    <t>The NFL Redskins are from Washington, D.C.</t>
  </si>
  <si>
    <t>where did saki live?</t>
  </si>
  <si>
    <t>Saki lived in England.</t>
  </si>
  <si>
    <t>how old is sacha baron cohen?</t>
  </si>
  <si>
    <t>Sacha Baron Cohen is 49 years old.</t>
  </si>
  <si>
    <t>what two countries invaded poland in the beginning of ww2?</t>
  </si>
  <si>
    <t>Germany and the Soviet Union.</t>
  </si>
  <si>
    <t>what time zone am is in cleveland ohio?</t>
  </si>
  <si>
    <t>Cleveland, Ohio is in the Eastern Time Zone.</t>
  </si>
  <si>
    <t>who did draco malloy end up marrying?</t>
  </si>
  <si>
    <t>Draco Malfoy married Astoria Greengrass.</t>
  </si>
  <si>
    <t>which countries border the us?</t>
  </si>
  <si>
    <t>Canada and Mexico border the US.</t>
  </si>
  <si>
    <t>where is rome italy located on a map?</t>
  </si>
  <si>
    <t>Rome, Italy is located in central Italy on the western coast of the country.</t>
  </si>
  <si>
    <t>what is nina dobrev nationality?</t>
  </si>
  <si>
    <t>Canadian.</t>
  </si>
  <si>
    <t>what country does iceland belong to?</t>
  </si>
  <si>
    <t>Iceland belongs to the country of Iceland.</t>
  </si>
  <si>
    <t>which kennedy died first?</t>
  </si>
  <si>
    <t>John F. Kennedy.</t>
  </si>
  <si>
    <t>what books did beverly cleary right?</t>
  </si>
  <si>
    <t>Beverly Cleary wrote many books, including the "Ramona" series, "Beezus and Ramona", "Henry Huggins", and "Dear Mr. Henshaw."</t>
  </si>
  <si>
    <t>who did the philippines gain independence from?</t>
  </si>
  <si>
    <t>The Philippines gained independence from the United States.</t>
  </si>
  <si>
    <t>where to fly into bali?</t>
  </si>
  <si>
    <t>Ngurah Rai International Airport in Denpasar, Bali.</t>
  </si>
  <si>
    <t>who is the prime minister of ethiopia?</t>
  </si>
  <si>
    <t>As of September 2021, the Prime Minister of Ethiopia is Abiy Ahmed.</t>
  </si>
  <si>
    <t>what to see near sedona arizona?</t>
  </si>
  <si>
    <t>Some popular attractions near Sedona, Arizona include the Red Rock State Park, Cathedral Rock, Slide Rock State Park, and the Chapel of the Holy Cross.</t>
  </si>
  <si>
    <t>what high school did president bill clinton attend?</t>
  </si>
  <si>
    <t>President Bill Clinton attended Hot Springs High School in Arkansas.</t>
  </si>
  <si>
    <t>what form of government does russia have today?</t>
  </si>
  <si>
    <t>Russia has a semi-presidential federal republic form of government.</t>
  </si>
  <si>
    <t>what movies does taylor lautner play in?</t>
  </si>
  <si>
    <t>Taylor Lautner has appeared in movies such as the Twilight series, Abduction, and Valentine's Day.</t>
  </si>
  <si>
    <t>what year lebron james came to the nba?</t>
  </si>
  <si>
    <t>LeBron James came to the NBA in the year 2003.</t>
  </si>
  <si>
    <t>what did the german revolution lead to?</t>
  </si>
  <si>
    <t>The German Revolution led to the abdication of Kaiser Wilhelm II and the end of the German monarchy. It also resulted in the establishment of the Weimar Republic as a democratic government in Germany.</t>
  </si>
  <si>
    <t>how much did adriana lima gain during pregnancy?</t>
  </si>
  <si>
    <t>I am sorry, but I do not have access to personal information about individuals unless it has been shared with me in the course of our conversation.</t>
  </si>
  <si>
    <t>what does thai mean?</t>
  </si>
  <si>
    <t>Thai refers to the people, language, and culture of Thailand.</t>
  </si>
  <si>
    <t>which wife did king henry behead?</t>
  </si>
  <si>
    <t>Anne Boleyn.</t>
  </si>
  <si>
    <t>who was ishmael's mom?</t>
  </si>
  <si>
    <t>Ishmael's mother was Hagar.</t>
  </si>
  <si>
    <t>what was malcolm x trying to accomplish?</t>
  </si>
  <si>
    <t>Malcolm X was trying to achieve African American empowerment, fight against racial discrimination, and obtain civil rights and equality for African Americans.</t>
  </si>
  <si>
    <t>where are the netherlands on a world map?</t>
  </si>
  <si>
    <t>The Netherlands is located in Northwestern Europe.</t>
  </si>
  <si>
    <t>what is the president of brazil?</t>
  </si>
  <si>
    <t>The current president of Brazil is Jair Bolsonaro.</t>
  </si>
  <si>
    <t>what are the major cities in france?</t>
  </si>
  <si>
    <t>The major cities in France are Paris, Marseille, Lyon, Toulouse, and Nice.</t>
  </si>
  <si>
    <t>what city did esther live in?</t>
  </si>
  <si>
    <t>I'm sorry, I do not have access to personal information.</t>
  </si>
  <si>
    <t>what sport do the toronto maple leafs play?</t>
  </si>
  <si>
    <t>Ice hockey.</t>
  </si>
  <si>
    <t>what is saint nicholas known for?</t>
  </si>
  <si>
    <t>Saint Nicholas is known for being the patron saint of children, sailors, and gift-giving.</t>
  </si>
  <si>
    <t>when is the new series of the only way is essex starting?</t>
  </si>
  <si>
    <t>I am sorry, I do not have the information on the release date of the new series of The Only Way Is Essex.</t>
  </si>
  <si>
    <t>what is cher's son's name?</t>
  </si>
  <si>
    <t>Cher's son's name is Chaz Bono.</t>
  </si>
  <si>
    <t>what is martin cooper doing now?</t>
  </si>
  <si>
    <t>I am sorry, but I do not have information about Martin Cooper's current activities.</t>
  </si>
  <si>
    <t>what party was andrew jackson?</t>
  </si>
  <si>
    <t>Andrew Jackson was a member of the Democratic Party.</t>
  </si>
  <si>
    <t>what is medicare a?</t>
  </si>
  <si>
    <t>Medicare Part A is the portion of the Medicare program that covers hospital insurance.</t>
  </si>
  <si>
    <t>what county is the city of hampton va in?</t>
  </si>
  <si>
    <t>Hampton, VA is in the United States and is located in Hampton County.</t>
  </si>
  <si>
    <t>what is the name of the first harry potter novel?</t>
  </si>
  <si>
    <t>The name of the first Harry Potter novel is "Harry Potter and the Philosopher's Stone" (or "Harry Potter and the Sorcerer's Stone" in some regions).</t>
  </si>
  <si>
    <t>what did william shakespeare do for a living?</t>
  </si>
  <si>
    <t>William Shakespeare was a playwright and actor.</t>
  </si>
  <si>
    <t>what county is heathrow airport in?</t>
  </si>
  <si>
    <t>Heathrow Airport is located in London, England.</t>
  </si>
  <si>
    <t>where did dmitri mendeleev study science?</t>
  </si>
  <si>
    <t>Dmitri Mendeleev studied science at the University of St. Petersburg.</t>
  </si>
  <si>
    <t>what movie is josh hutcherson in?</t>
  </si>
  <si>
    <t>Josh Hutcherson is in the movie "The Hunger Games" series.</t>
  </si>
  <si>
    <t>what is there to do in laredo tx?</t>
  </si>
  <si>
    <t>In Laredo, TX there are several things to do, including visiting historical sites like the Republic of the Rio Grande Museum, exploring the outdoors at Lake Casa Blanca International State Park, and enjoying shopping and dining at the Outlet Shoppes at Laredo.</t>
  </si>
  <si>
    <t>what season did tony soprano get shot?</t>
  </si>
  <si>
    <t>Tony Soprano was shot in the sixth season.</t>
  </si>
  <si>
    <t>where do the san francisco giants play home games?</t>
  </si>
  <si>
    <t>The San Francisco Giants play their home games at Oracle Park.</t>
  </si>
  <si>
    <t>what year did william jennings bryan run for president?</t>
  </si>
  <si>
    <t>William Jennings Bryan ran for president in the years 1896, 1900, and 1908.</t>
  </si>
  <si>
    <t>what was the name of frederick douglass book?</t>
  </si>
  <si>
    <t>The name of Frederick Douglass' book is "Narrative of the Life of Frederick Douglass, an American Slave."</t>
  </si>
  <si>
    <t>who was queen victoria's parents called?</t>
  </si>
  <si>
    <t>Queen Victoria's parents were Prince Edward, Duke of Kent, and Princess Victoria of Saxe-Coburg-Saalfeld.</t>
  </si>
  <si>
    <t>what movies did sally field win an oscar for?</t>
  </si>
  <si>
    <t>Sally Field won an Oscar for "Norma Rae" and "Places in the Heart."</t>
  </si>
  <si>
    <t>what is the first book sherlock holmes appeared in?</t>
  </si>
  <si>
    <t>The first book Sherlock Holmes appeared in is "A Study in Scarlet."</t>
  </si>
  <si>
    <t>what type of car does michael weston drive?</t>
  </si>
  <si>
    <t>Michael Weston drives a Dodge Charger.</t>
  </si>
  <si>
    <t>where does lena river begin and end?</t>
  </si>
  <si>
    <t>The Lena River begins in the Baikal Mountains and ends in the Laptev Sea.</t>
  </si>
  <si>
    <t>what countries do people speak portuguese?</t>
  </si>
  <si>
    <t>Brazil, Portugal, Angola, Mozambique, Guinea-Bissau, East Timor, Equatorial Guinea, Cape Verde, and São Tomé and Príncipe.</t>
  </si>
  <si>
    <t>where to exchange euros in pittsburgh?</t>
  </si>
  <si>
    <t>You can exchange euros in Pittsburgh at banks, currency exchange offices, or at some major hotels.</t>
  </si>
  <si>
    <t>what are the names of walt disney kids?</t>
  </si>
  <si>
    <t>Walt Disney had two daughters: Diane Marie Disney and Sharon Mae Disney.</t>
  </si>
  <si>
    <t>who is in the band bush?</t>
  </si>
  <si>
    <t>The members of the band Bush are Gavin Rossdale, Robin Goodridge, Chris Traynor, and Corey Britz.</t>
  </si>
  <si>
    <t>what was tupac name in juice?</t>
  </si>
  <si>
    <t>Tupac's character name in the movie "Juice" was Bishop.</t>
  </si>
  <si>
    <t>what timezone is australia gmt?</t>
  </si>
  <si>
    <t>Australia has multiple time zones, but the most common is Australian Eastern Standard Time (AEST) which is GMT+10. Other time zones in Australia include Australian Central Standard Time (ACST) which is GMT+9.5, Australian Western Standard Time (AWST) which is GMT+8, and Australian Central Daylight Time (ACDT) which is GMT+10.5.</t>
  </si>
  <si>
    <t>who does maggie grace play in taken?</t>
  </si>
  <si>
    <t>Maggie Grace plays the character Kim Mills in "Taken."</t>
  </si>
  <si>
    <t>what style of music did louis armstrong play?</t>
  </si>
  <si>
    <t>Louis Armstrong played jazz music.</t>
  </si>
  <si>
    <t>when is summer in australia sydney?</t>
  </si>
  <si>
    <t>Summer in Sydney, Australia begins in December and ends in February.</t>
  </si>
  <si>
    <t>what tv show did joey lawrence play on?</t>
  </si>
  <si>
    <t>Joey Lawrence played on the TV show "Blossom".</t>
  </si>
  <si>
    <t>what timezone is denver co?</t>
  </si>
  <si>
    <t>Denver, CO is in the Mountain Time Zone (MT).</t>
  </si>
  <si>
    <t>what character did brian austin green play on 90210?</t>
  </si>
  <si>
    <t>Brian Austin Green played the character David Silver on 90210.</t>
  </si>
  <si>
    <t>where does jackie french live?</t>
  </si>
  <si>
    <t>Jackie French lives in New South Wales, Australia.</t>
  </si>
  <si>
    <t>what form of government was practiced in sparta?</t>
  </si>
  <si>
    <t>The form of government practiced in Sparta was an oligarchy.</t>
  </si>
  <si>
    <t>when did the colorado rockies go to the world series?</t>
  </si>
  <si>
    <t>The Colorado Rockies went to the World Series in 2007.</t>
  </si>
  <si>
    <t>who was peter parker's first girlfriend?</t>
  </si>
  <si>
    <t>Mary Jane Watson</t>
  </si>
  <si>
    <t>what college did matt lauer attend?</t>
  </si>
  <si>
    <t>Matt Lauer attended Ohio University.</t>
  </si>
  <si>
    <t>where to go in london england?</t>
  </si>
  <si>
    <t>There are many popular attractions in London, England. Some must-see places include Buckingham Palace, the Tower of London, the British Museum, the London Eye, and Hyde Park.</t>
  </si>
  <si>
    <t>what school did joan miro attend?</t>
  </si>
  <si>
    <t>Joan Miró attended the School of Fine Arts in Barcelona, Spain.</t>
  </si>
  <si>
    <t>where did france colonise?</t>
  </si>
  <si>
    <t>France colonized various regions around the world, including parts of Africa, the Americas, the Caribbean, Southeast Asia, and the Pacific Islands.</t>
  </si>
  <si>
    <t>who was vincent van gogh inspired by?</t>
  </si>
  <si>
    <t>Vincent van Gogh was inspired by various artists including Jean-François Millet, Jules Breton, and Japanese woodblock prints.</t>
  </si>
  <si>
    <t>where to get married in jacksonville nc?</t>
  </si>
  <si>
    <t>There are several venues in Jacksonville, NC where you can get married, such as The Tarheel in Camp Lejeune, The Courtyard on Onslow Bay, or The Rustic Barn at Half Moon.</t>
  </si>
  <si>
    <t>what time zone am i in michigan?</t>
  </si>
  <si>
    <t>Eastern Time Zone</t>
  </si>
  <si>
    <t>when did the new york knicks win a championship?</t>
  </si>
  <si>
    <t>The New York Knicks last won an NBA championship in 1973.</t>
  </si>
  <si>
    <t>what is the official language of china 2010?</t>
  </si>
  <si>
    <t>The official language of China in 2010 was Mandarin Chinese.</t>
  </si>
  <si>
    <t>what was woodrow wilson's major accomplishments?</t>
  </si>
  <si>
    <t>One of Woodrow Wilson's major accomplishments was leading the United States through World War I. He also played a significant role in shaping the Treaty of Versailles and advocating for the establishment of the League of Nations. Additionally, Wilson was known for introducing progressive reforms and advancing civil rights during his presidency.</t>
  </si>
  <si>
    <t>where is jack daniels factory?</t>
  </si>
  <si>
    <t>The Jack Daniels factory is located in Lynchburg, Tennessee.</t>
  </si>
  <si>
    <t>what language do the speak in pakistan?</t>
  </si>
  <si>
    <t>The official language spoken in Pakistan is Urdu.</t>
  </si>
  <si>
    <t>where is santa clara university?</t>
  </si>
  <si>
    <t>Santa Clara University is located in Santa Clara, California.</t>
  </si>
  <si>
    <t>which part of korea is communist?</t>
  </si>
  <si>
    <t>North Korea.</t>
  </si>
  <si>
    <t>where did timothy mcveigh go to prison?</t>
  </si>
  <si>
    <t>Timothy McVeigh went to prison at the United States Penitentiary Administrative Maximum Facility in Florence, Colorado, also known as ADX Florence.</t>
  </si>
  <si>
    <t>what sea does the yangtze river flow into?</t>
  </si>
  <si>
    <t>The Yangtze River flows into the East China Sea.</t>
  </si>
  <si>
    <t>who miley cyrus engaged to?</t>
  </si>
  <si>
    <t>Miley Cyrus is currently engaged to singer Cody Simpson.</t>
  </si>
  <si>
    <t>what is charles darwin famous for?</t>
  </si>
  <si>
    <t>Charles Darwin is famous for his theory of evolution and natural selection.</t>
  </si>
  <si>
    <t>who founded the roanoke settlement?</t>
  </si>
  <si>
    <t>The Roanoke settlement was founded by Sir Walter Raleigh.</t>
  </si>
  <si>
    <t>what kind of money should i take to jamaica?</t>
  </si>
  <si>
    <t>It is recommended to take Jamaican dollars when traveling to Jamaica.</t>
  </si>
  <si>
    <t>who is robert downey jr wife?</t>
  </si>
  <si>
    <t>Robert Downey Jr.'s wife is Susan Downey.</t>
  </si>
  <si>
    <t>where do the ny rangers play?</t>
  </si>
  <si>
    <t>The NY Rangers play at Madison Square Garden.</t>
  </si>
  <si>
    <t>where is jefferson davis buried?</t>
  </si>
  <si>
    <t>Jefferson Davis is buried at Hollywood Cemetery in Richmond, Virginia.</t>
  </si>
  <si>
    <t>who does the author stephenie meyer play in the movie twilight?</t>
  </si>
  <si>
    <t>Stephenie Meyer does not play a role in the movie Twilight.</t>
  </si>
  <si>
    <t>when will oscar pistorius compete?</t>
  </si>
  <si>
    <t>Oscar Pistorius is no longer eligible to compete in athletics.</t>
  </si>
  <si>
    <t>what years have the dallas cowboys won the superbowl?</t>
  </si>
  <si>
    <t>The Dallas Cowboys have won the Super Bowl in the years 1971, 1977, 1992, 1993, and 1995.</t>
  </si>
  <si>
    <t>what awards has louis sachar won?</t>
  </si>
  <si>
    <t>Louis Sachar has won numerous awards, including the Newbery Medal, National Book Award for Young People's Literature, and the Boston Globe-Horn Book Award.</t>
  </si>
  <si>
    <t>who are the current senators from missouri?</t>
  </si>
  <si>
    <t>The current senators from Missouri are Roy Blunt and Josh Hawley.</t>
  </si>
  <si>
    <t>who was the president after jfk died?</t>
  </si>
  <si>
    <t>Lyndon B. Johnson.</t>
  </si>
  <si>
    <t>what is the best currency to take to egypt 2013?</t>
  </si>
  <si>
    <t>The best currency to take to Egypt in 2013 is the Egyptian pound.</t>
  </si>
  <si>
    <t>what are the countries in the united kingdom?</t>
  </si>
  <si>
    <t>The countries in the United Kingdom are England, Scotland, Wales, and Northern Ireland.</t>
  </si>
  <si>
    <t>what planes does the navy have?</t>
  </si>
  <si>
    <t>The Navy has various types of planes including fighter jets, patrol aircraft, transport planes, and helicopters.</t>
  </si>
  <si>
    <t>where did benjamin franklin died?</t>
  </si>
  <si>
    <t>Benjamin Franklin died in Philadelphia, Pennsylvania.</t>
  </si>
  <si>
    <t>where to visit in n. ireland?</t>
  </si>
  <si>
    <t>Some popular places to visit in Northern Ireland are the Giant's Causeway, Belfast, the Dark Hedges, the Carrick-a-Rede Rope Bridge, and the Mourne Mountains.</t>
  </si>
  <si>
    <t>what to do in cancun with family?</t>
  </si>
  <si>
    <t>There are numerous activities to do with your family in Cancun, such as visiting the beautiful beaches, exploring the Mayan ruins, taking a boat tour to Isla Mujeres, visiting the interactive aquarium, or enjoying a day at a water park.</t>
  </si>
  <si>
    <t>what is the local language of israel?</t>
  </si>
  <si>
    <t>The local language of Israel is Hebrew.</t>
  </si>
  <si>
    <t>what city and state was the air force academy established?</t>
  </si>
  <si>
    <t>Colorado Springs, Colorado.</t>
  </si>
  <si>
    <t>what's the national sport of puerto rico?</t>
  </si>
  <si>
    <t>The national sport of Puerto Rico is baseball.</t>
  </si>
  <si>
    <t>what religion are people in russia?</t>
  </si>
  <si>
    <t>The majority religion in Russia is Christianity, with the Russian Orthodox Church being the largest religious denomination.</t>
  </si>
  <si>
    <t>what did shawnee smith play in?</t>
  </si>
  <si>
    <t>Shawnee Smith is an actress who is best known for her role as Amanda Young in the Saw film series.</t>
  </si>
  <si>
    <t>what countries did queen victoria reign over?</t>
  </si>
  <si>
    <t>Queen Victoria reigned over the United Kingdom of Great Britain and Ireland.</t>
  </si>
  <si>
    <t>where did dr seuss go to school?</t>
  </si>
  <si>
    <t>Dr. Seuss, whose real name was Theodor Seuss Geisel, attended Dartmouth College.</t>
  </si>
  <si>
    <t>what team does luis suarez play for?</t>
  </si>
  <si>
    <t>Luis Suarez currently plays for Atletico Madrid.</t>
  </si>
  <si>
    <t>what are dollars called in spain?</t>
  </si>
  <si>
    <t>Dollars are not called anything specific in Spain, as the currency used in Spain is the Euro.</t>
  </si>
  <si>
    <t>who plays meg in family guy?</t>
  </si>
  <si>
    <t>Mila Kunis</t>
  </si>
  <si>
    <t>what high school did tim allen go to?</t>
  </si>
  <si>
    <t>Tim Allen attended Ernest W. Carroll Memorial High School in Birmingham, Michigan.</t>
  </si>
  <si>
    <t>what is the world's tallest building in dubai called?</t>
  </si>
  <si>
    <t>Burj Khalifa</t>
  </si>
  <si>
    <t>where does asiana airlines fly to?</t>
  </si>
  <si>
    <t>Asiana Airlines flies to various destinations worldwide.</t>
  </si>
  <si>
    <t>what movie did angelina jolie direct?</t>
  </si>
  <si>
    <t>"First They Killed My Father"</t>
  </si>
  <si>
    <t>where did martin luther king got shot?</t>
  </si>
  <si>
    <t>Martin Luther King was shot at the Lorraine Motel in Memphis, Tennessee.</t>
  </si>
  <si>
    <t>where to visit near bangkok?</t>
  </si>
  <si>
    <t>Some popular places to visit near Bangkok are Ayutthaya, Pattaya, and Hua Hin.</t>
  </si>
  <si>
    <t>who does christina milian have a baby by?</t>
  </si>
  <si>
    <t>Lil' Wayne.</t>
  </si>
  <si>
    <t>what year did tut became king?</t>
  </si>
  <si>
    <t>Tut became king in 1332 BC.</t>
  </si>
  <si>
    <t>who is the current president of the dominican republic in 2010?</t>
  </si>
  <si>
    <t>In 2010, the current president of the Dominican Republic was Leonel Fernández.</t>
  </si>
  <si>
    <t>who has been married to julia roberts?</t>
  </si>
  <si>
    <t>Daniel Moder</t>
  </si>
  <si>
    <t>where do baltimore ravens play?</t>
  </si>
  <si>
    <t>The Baltimore Ravens play at M&amp;T Bank Stadium.</t>
  </si>
  <si>
    <t>where does the un get its funding?</t>
  </si>
  <si>
    <t>The United Nations (UN) gets its funding from member states, through voluntary contributions and assessed contributions.</t>
  </si>
  <si>
    <t>who does brandon dubinsky play for?</t>
  </si>
  <si>
    <t>Brandon Dubinsky plays for the Winnipeg Jets.</t>
  </si>
  <si>
    <t>who all has dated taylor swift?</t>
  </si>
  <si>
    <t>Taylor Swift has dated several celebrities including Joe Jonas, Taylor Lautner, Jake Gyllenhaal, Harry Styles, Calvin Harris, Tom Hiddleston, and Joe Alwyn.</t>
  </si>
  <si>
    <t>what is the dominant language in israel?</t>
  </si>
  <si>
    <t>Hebrew is the dominant language in Israel.</t>
  </si>
  <si>
    <t>what are the main languages of nigeria?</t>
  </si>
  <si>
    <t>The main languages of Nigeria are Hausa, Igbo, and Yoruba.</t>
  </si>
  <si>
    <t>what jobs did ben franklin do?</t>
  </si>
  <si>
    <t>Ben Franklin held multiple jobs during his life, including printer, author, inventor, postmaster, and diplomat.</t>
  </si>
  <si>
    <t>what bible does the catholic church follow?</t>
  </si>
  <si>
    <t>The Catholic Church follows the Bible that includes the Old Testament and the New Testament.</t>
  </si>
  <si>
    <t>who plays lola bunny in the looney tunes show?</t>
  </si>
  <si>
    <t>Kristen Wiig.</t>
  </si>
  <si>
    <t>what stadium did the chicago cardinals play in?</t>
  </si>
  <si>
    <t>The Chicago Cardinals played in Comiskey Park.</t>
  </si>
  <si>
    <t>who did rufus wainwright married?</t>
  </si>
  <si>
    <t>Rufus Wainwright is married to Jörn Weisbrodt.</t>
  </si>
  <si>
    <t>where did c.s. lewis go to college?</t>
  </si>
  <si>
    <t>C.S. Lewis went to college at Oxford University.</t>
  </si>
  <si>
    <t>what did nick clegg study at university?</t>
  </si>
  <si>
    <t>Nick Clegg studied Archaeology and Anthropology at the University of Cambridge.</t>
  </si>
  <si>
    <t>who is the president of the european union 2011?</t>
  </si>
  <si>
    <t>There is no President of the European Union. The European Council is led by a President, whose term is limited to two and a half years. In 2011, the President of the European Council was Herman Van Rompuy.</t>
  </si>
  <si>
    <t>what school did cassie bernall go to?</t>
  </si>
  <si>
    <t>Cassie Bernall attended Columbine High School.</t>
  </si>
  <si>
    <t>what movie did james frey write?</t>
  </si>
  <si>
    <t>James Frey wrote the book "A Million Little Pieces," which was later adapted into a movie with the same title.</t>
  </si>
  <si>
    <t>what did rob kardashian get surgery for?</t>
  </si>
  <si>
    <t>Rob Kardashian has not publicly disclosed undergoing any surgeries.</t>
  </si>
  <si>
    <t>what did st. matthew do?</t>
  </si>
  <si>
    <t>St. Matthew was one of the twelve apostles of Jesus Christ.</t>
  </si>
  <si>
    <t>when does harry potter come out on dvd deathly hallows 2?</t>
  </si>
  <si>
    <t>The DVD for Harry Potter and the Deathly Hallows Part 2 was released on November 11, 2011.</t>
  </si>
  <si>
    <t>what was nelson mandela's religion?</t>
  </si>
  <si>
    <t>Nelson Mandela was a Christian.</t>
  </si>
  <si>
    <t>who will win the 2011 nhl stanley cup?</t>
  </si>
  <si>
    <t>I cannot predict the future, so I do not know who will win the 2011 NHL Stanley Cup.</t>
  </si>
  <si>
    <t>what is henry clay known for?</t>
  </si>
  <si>
    <t>Henry Clay is known for his role as a statesman and politician, particularly for his work in shaping American foreign policy and promoting economic development through his American System.</t>
  </si>
  <si>
    <t>who did axl rose marry?</t>
  </si>
  <si>
    <t>Axl Rose married Erin Everly.</t>
  </si>
  <si>
    <t>what years did brett favre go to the super bowl?</t>
  </si>
  <si>
    <t>Brett Favre went to the Super Bowl in the years 1997 and 2010.</t>
  </si>
  <si>
    <t>what is the money of spain called?</t>
  </si>
  <si>
    <t>The money of Spain is called the Euro.</t>
  </si>
  <si>
    <t>where are sunbeam microwaves made?</t>
  </si>
  <si>
    <t>Sunbeam microwaves are typically made in China.</t>
  </si>
  <si>
    <t>who was elected president of the philippines?</t>
  </si>
  <si>
    <t>Rodrigo Duterte.</t>
  </si>
  <si>
    <t>what cities does ryanair fly to?</t>
  </si>
  <si>
    <t>Ryanair flies to over 200 cities across Europe and North Africa.</t>
  </si>
  <si>
    <t>what time zone is oklahoma state?</t>
  </si>
  <si>
    <t>Oklahoma state is in the Central Time Zone.</t>
  </si>
  <si>
    <t>who was the apostle paul considered to be?</t>
  </si>
  <si>
    <t>The apostle Paul is considered to be one of the key figures in the spread of Christianity.</t>
  </si>
  <si>
    <t>what currency does ontario canada use?</t>
  </si>
  <si>
    <t>Canadian Dollar</t>
  </si>
  <si>
    <t>what instrument does justin bieber?</t>
  </si>
  <si>
    <t>Justin Bieber plays the guitar.</t>
  </si>
  <si>
    <t>what team did shaq play for first?</t>
  </si>
  <si>
    <t>Orlando Magic.</t>
  </si>
  <si>
    <t>where was kennedy when he got shot?</t>
  </si>
  <si>
    <t>Kennedy was in Dallas, Texas when he was shot.</t>
  </si>
  <si>
    <t>who do derek fisher play for?</t>
  </si>
  <si>
    <t>Derek Fisher played for multiple NBA teams throughout his career, including the Los Angeles Lakers, Oklahoma City Thunder, Golden State Warriors, and Utah Jazz.</t>
  </si>
  <si>
    <t>where did the casey anthony case take place?</t>
  </si>
  <si>
    <t>The Casey Anthony case took place in Orlando, Florida.</t>
  </si>
  <si>
    <t>where did pres clinton go to college?</t>
  </si>
  <si>
    <t>Pres Clinton attended Georgetown University and then went on to study law at Yale Law School.</t>
  </si>
  <si>
    <t>what was the name of the original seattle baseball team?</t>
  </si>
  <si>
    <t>The name of the original Seattle baseball team was the Seattle Pilots.</t>
  </si>
  <si>
    <t>who was general cornwallis american revolution?</t>
  </si>
  <si>
    <t>General Cornwallis was a British general during the American Revolution.</t>
  </si>
  <si>
    <t>what type of monarchy did england have?</t>
  </si>
  <si>
    <t>Constitutional monarchy.</t>
  </si>
  <si>
    <t>when were the texas rangers started?</t>
  </si>
  <si>
    <t>The Texas Rangers were started in 1823.</t>
  </si>
  <si>
    <t>where did the houston oilers football team go?</t>
  </si>
  <si>
    <t>The Houston Oilers football team moved to Tennessee and became the Tennessee Titans.</t>
  </si>
  <si>
    <t>what do they call football in spanish?</t>
  </si>
  <si>
    <t>Fútbol.</t>
  </si>
  <si>
    <t>where did pauley perrette go to college?</t>
  </si>
  <si>
    <t>Pauley Perrette attended Valdosta State University in Georgia.</t>
  </si>
  <si>
    <t>where does niles crane live?</t>
  </si>
  <si>
    <t>Niles Crane lives in Seattle.</t>
  </si>
  <si>
    <t>where was gabriel faure born?</t>
  </si>
  <si>
    <t>Gabriel Fauré was born in Pamiers, France.</t>
  </si>
  <si>
    <t>who is the governor of kentucky 2012?</t>
  </si>
  <si>
    <t>In 2012, the governor of Kentucky was Steve Beshear.</t>
  </si>
  <si>
    <t>who is the senator of the united states 2010?</t>
  </si>
  <si>
    <t>The specific senator of the United States in 2010 would depend on the state. Each state has two senators.</t>
  </si>
  <si>
    <t>where did the massive allied invasion of northern france take place in june 1944?</t>
  </si>
  <si>
    <t>The massive Allied invasion of northern France took place in Normandy.</t>
  </si>
  <si>
    <t>which countries are part of the united kingdom?</t>
  </si>
  <si>
    <t>The countries that are part of the United Kingdom are England, Scotland, Wales, and Northern Ireland.</t>
  </si>
  <si>
    <t>what is the postcode for london?</t>
  </si>
  <si>
    <t>The postcode for London varies depending on the area.</t>
  </si>
  <si>
    <t>who killed vincent chin dvd?</t>
  </si>
  <si>
    <t>I'm sorry, but I don't have that information.</t>
  </si>
  <si>
    <t>what other books did jules verne wrote?</t>
  </si>
  <si>
    <t>Jules Verne wrote many books, including "Twenty Thousand Leagues Under the Sea," "Journey to the Center of the Earth," and "Around the World in Eighty Days."</t>
  </si>
  <si>
    <t>what is the currency name of brazil?</t>
  </si>
  <si>
    <t>The currency name of Brazil is the Brazilian Real.</t>
  </si>
  <si>
    <t>what language does fiji?</t>
  </si>
  <si>
    <t>The official language of Fiji is English.</t>
  </si>
  <si>
    <t>what is the second percy jackson book called?</t>
  </si>
  <si>
    <t>The second Percy Jackson book is called "Percy Jackson &amp; The Sea of Monsters."</t>
  </si>
  <si>
    <t>what did gregor mendel conducted his experiments on?</t>
  </si>
  <si>
    <t>Gregor Mendel conducted his experiments on pea plants.</t>
  </si>
  <si>
    <t>who did jon gosselin cheat with?</t>
  </si>
  <si>
    <t>Jon Gosselin was reported to have cheated on his then-wife, Kate Gosselin, with various women.</t>
  </si>
  <si>
    <t>where is mitsubishi headquarters?</t>
  </si>
  <si>
    <t>Mitsubishi's headquarters is located in Tokyo, Japan.</t>
  </si>
  <si>
    <t>where is jay cutler now?</t>
  </si>
  <si>
    <t>Jay Cutler is currently retired from professional football.</t>
  </si>
  <si>
    <t>what are eu countries?</t>
  </si>
  <si>
    <t>The European Union (EU) currently consists of 27 member countries.</t>
  </si>
  <si>
    <t>what influenced vincent van gogh work?</t>
  </si>
  <si>
    <t>Vincent van Gogh was influenced by various artists, including Jean-François Millet, Japanese prints, and Impressionism.</t>
  </si>
  <si>
    <t>what time zones are there in the us?</t>
  </si>
  <si>
    <t>There are six time zones in the United States: Eastern, Central, Mountain, Pacific, Alaska, and Hawaii-Aleutian.</t>
  </si>
  <si>
    <t>what are the 5 biggest cities in the usa?</t>
  </si>
  <si>
    <t>The 5 biggest cities in the USA are New York City, Los Angeles, Chicago, Houston, and Phoenix.</t>
  </si>
  <si>
    <t>what language do australian people speak?</t>
  </si>
  <si>
    <t>English.</t>
  </si>
  <si>
    <t>who did ben stiller play in megamind?</t>
  </si>
  <si>
    <t>Ben Stiller voiced the character Megamind in the movie Megamind.</t>
  </si>
  <si>
    <t>what countries did queen victoria rule?</t>
  </si>
  <si>
    <t>Queen Victoria ruled over the United Kingdom of Great Britain and Ireland.</t>
  </si>
  <si>
    <t>who are betty white's parents?</t>
  </si>
  <si>
    <t>Betty White's parents were Horace White and Tess White.</t>
  </si>
  <si>
    <t>where did jeff dunham go to school?</t>
  </si>
  <si>
    <t>Jeff Dunham went to Baylor University.</t>
  </si>
  <si>
    <t>what college did kevjumba?</t>
  </si>
  <si>
    <t>KevJumba attended the University of California, Davis.</t>
  </si>
  <si>
    <t>who does david james play for 2011?</t>
  </si>
  <si>
    <t>David James played for Bristol City in 2011.</t>
  </si>
  <si>
    <t>what was the purpose of the 1964 gulf of tonkin resolution?</t>
  </si>
  <si>
    <t>The purpose of the 1964 Gulf of Tonkin Resolution was to authorize U.S. military intervention in Vietnam.</t>
  </si>
  <si>
    <t>what movies did diana ross play in?</t>
  </si>
  <si>
    <t>Diana Ross played in movies like "Lady Sings the Blues," "Mahogany," and "The Wiz."</t>
  </si>
  <si>
    <t>what is the zip code for minneapolis?</t>
  </si>
  <si>
    <t>The zip code for Minneapolis is 554xx.</t>
  </si>
  <si>
    <t>what country is the west bank located in?</t>
  </si>
  <si>
    <t>The West Bank is located in Palestine.</t>
  </si>
  <si>
    <t>who won golden boot?</t>
  </si>
  <si>
    <t>The winner of the Golden Boot is the player who scores the most goals in a particular tournament or league. It varies depending on the tournament or league you are referring to.</t>
  </si>
  <si>
    <t>where did jane mansfield die?</t>
  </si>
  <si>
    <t>Jane Mansfield died in a car accident in Slidell, Louisiana.</t>
  </si>
  <si>
    <t>where is the thames river located?</t>
  </si>
  <si>
    <t>The Thames River is located in southeastern England.</t>
  </si>
  <si>
    <t>when did kings last win stanley cup?</t>
  </si>
  <si>
    <t>The Los Angeles Kings last won the Stanley Cup in 2014.</t>
  </si>
  <si>
    <t>what school did william shakespeare attend?</t>
  </si>
  <si>
    <t>William Shakespeare attended King Edward VI School, also known as Stratford Grammar School.</t>
  </si>
  <si>
    <t>what money do they use in chile?</t>
  </si>
  <si>
    <t>The currency used in Chile is the Chilean Peso.</t>
  </si>
  <si>
    <t>what college did peyton manning?</t>
  </si>
  <si>
    <t>Peyton Manning attended the University of Tennessee.</t>
  </si>
  <si>
    <t>what are the 2 conferences in the nfl?</t>
  </si>
  <si>
    <t>The two conferences in the NFL are the AFC (American Football Conference) and the NFC (National Football Conference).</t>
  </si>
  <si>
    <t>when did jennifer lopez start on in living color?</t>
  </si>
  <si>
    <t>Jennifer Lopez started on In Living Color in 1990.</t>
  </si>
  <si>
    <t>when is portland marathon?</t>
  </si>
  <si>
    <t>The Portland Marathon is typically held in October.</t>
  </si>
  <si>
    <t>what character does ellen play in finding nemo?</t>
  </si>
  <si>
    <t>Ellen plays the character Dory in Finding Nemo.</t>
  </si>
  <si>
    <t>when was the last time the ny giants were in the super bowl?</t>
  </si>
  <si>
    <t>The New York Giants were last in the Super Bowl in the 2011 season.</t>
  </si>
  <si>
    <t>what are all the names of harry potter?</t>
  </si>
  <si>
    <t>The main character in the Harry Potter series is named Harry Potter.</t>
  </si>
  <si>
    <t>what does nick cannon play in?</t>
  </si>
  <si>
    <t>Nick Cannon plays in various roles, including acting in films, television shows, and hosting television programs such as "Drumline," "Wild 'N Out," and "America's Got Talent."</t>
  </si>
  <si>
    <t>what sort of government does brazil have?</t>
  </si>
  <si>
    <t>Brazil has a federal presidential constitutional republic.</t>
  </si>
  <si>
    <t>which airport is best to fly into milan?</t>
  </si>
  <si>
    <t>The best airport to fly into Milan is Milan Malpensa Airport.</t>
  </si>
  <si>
    <t>where did matthias schleiden go to school?</t>
  </si>
  <si>
    <t>Matthias Schleiden attended the University of Jena.</t>
  </si>
  <si>
    <t>what county is rihanna from?</t>
  </si>
  <si>
    <t>Rihanna is from Barbados.</t>
  </si>
  <si>
    <t>what happened to daddy yankee?</t>
  </si>
  <si>
    <t>There is no information given to indicate what happened to Daddy Yankee.</t>
  </si>
  <si>
    <t>what country is located in the balkan peninsula?</t>
  </si>
  <si>
    <t>Serbia.</t>
  </si>
  <si>
    <t>what 6 states border south dakota?</t>
  </si>
  <si>
    <t>Montana, North Dakota, Minnesota, Iowa, Nebraska, Wyoming.</t>
  </si>
  <si>
    <t>what are the main languages spoken in spain?</t>
  </si>
  <si>
    <t>The main languages spoken in Spain are Spanish (Castilian), Catalan, Galician, and Basque.</t>
  </si>
  <si>
    <t>what songs did mozart write?</t>
  </si>
  <si>
    <t>Mozart wrote over 600 works, including symphonies, concertos, operas, chamber music, and piano sonatas. Some of his most famous compositions include "Eine kleine Nachtmusik," "The Magic Flute," and his Requiem Mass in D minor.</t>
  </si>
  <si>
    <t>what language do they speak in thai?</t>
  </si>
  <si>
    <t>The language spoken in Thailand is Thai.</t>
  </si>
  <si>
    <t>who is the new senator of montana?</t>
  </si>
  <si>
    <t>I'm sorry, I do not have access to real-time information. It would be best to search for the latest news or check the official government website for Montana.</t>
  </si>
  <si>
    <t>which airport to fly in rome?</t>
  </si>
  <si>
    <t>The main airport to fly into in Rome is Leonardo da Vinci-Fiumicino Airport.</t>
  </si>
  <si>
    <t>where are the ruins of pompeii?</t>
  </si>
  <si>
    <t>The ruins of Pompeii are located near the city of Naples in Italy.</t>
  </si>
  <si>
    <t>what language people speak in afghanistan?</t>
  </si>
  <si>
    <t>The official language spoken in Afghanistan is Dari.</t>
  </si>
  <si>
    <t>what language do people speak in brazil wikipedia?</t>
  </si>
  <si>
    <t>The official language spoken in Brazil is Portuguese.</t>
  </si>
  <si>
    <t>what cities should i visit in california?</t>
  </si>
  <si>
    <t>Some popular cities to visit in California are San Francisco, Los Angeles, San Diego, and Sacramento.</t>
  </si>
  <si>
    <t>where was princess leia raised?</t>
  </si>
  <si>
    <t>Princess Leia was raised on the planet Alderaan.</t>
  </si>
  <si>
    <t>what is the name of the pittsburgh steelers head coach?</t>
  </si>
  <si>
    <t>Mike Tomlin.</t>
  </si>
  <si>
    <t>when does canada's wonderland close?</t>
  </si>
  <si>
    <t>Canada's Wonderland typically closes in late October or early November.</t>
  </si>
  <si>
    <t>when did the lakers win the championship?</t>
  </si>
  <si>
    <t>The Lakers won the championship in 2020.</t>
  </si>
  <si>
    <t>what year was the great san francisco fire?</t>
  </si>
  <si>
    <t>The great San Francisco fire occurred in 1906.</t>
  </si>
  <si>
    <t>what countries share borders with france?</t>
  </si>
  <si>
    <t>Spain, Andorra, Belgium, Luxembourg, Germany, Switzerland, Italy, and Monaco share borders with France.</t>
  </si>
  <si>
    <t>what did patrick swayze sing?</t>
  </si>
  <si>
    <t>Patrick Swayze was primarily known as an actor, not a singer. He did, however, sing the song "She's Like the Wind" from the movie "Dirty Dancing."</t>
  </si>
  <si>
    <t>what style of art is salvador dali?</t>
  </si>
  <si>
    <t>Salvador Dali is known for his work in the surrealist style of art.</t>
  </si>
  <si>
    <t>what city was leonardo da vinci from?</t>
  </si>
  <si>
    <t>Leonardo da Vinci was from Vinci, Italy.</t>
  </si>
  <si>
    <t>what did george v die of?</t>
  </si>
  <si>
    <t>George V died of bronchitis and heart failure.</t>
  </si>
  <si>
    <t>what are the three major rivers in south america?</t>
  </si>
  <si>
    <t>The three major rivers in South America are the Amazon River, the Orinoco River, and the Paraná River.</t>
  </si>
  <si>
    <t>what other discoveries did isaac newton discover?</t>
  </si>
  <si>
    <t>Isaac Newton discovered many other things besides his laws of motion and gravitation. Some of his other notable discoveries include the mathematical principles of calculus, the concept of the spectrum of light, and the laws of thermodynamics.</t>
  </si>
  <si>
    <t>who started pixar?</t>
  </si>
  <si>
    <t>Edwin Catmull, Alvy Ray Smith, and Steve Jobs co-founded Pixar Animation Studios.</t>
  </si>
  <si>
    <t>who is tia and tamera mowry parents?</t>
  </si>
  <si>
    <t>Tia and Tamera Mowry's parents are Darlene Mowry and Timothy Mowry.</t>
  </si>
  <si>
    <t>what political party was lincoln?</t>
  </si>
  <si>
    <t>Republican.</t>
  </si>
  <si>
    <t>what would have happened if germany had won ww1?</t>
  </si>
  <si>
    <t>If Germany had won World War I, the outcome would have been a significant shift in power dynamics and potentially different geopolitical and economic developments. However, it is difficult to predict specific consequences as they would depend on various factors and decisions made by Germany and other countries.</t>
  </si>
  <si>
    <t>what kind of government is china?</t>
  </si>
  <si>
    <t>China is a socialist state with a single-party system.</t>
  </si>
  <si>
    <t>where is the nation of greece located?</t>
  </si>
  <si>
    <t>Greece is located in southeastern Europe.</t>
  </si>
  <si>
    <t>what three countries does mexico border?</t>
  </si>
  <si>
    <t>United States, Guatemala, Belize.</t>
  </si>
  <si>
    <t>what year was the new york blackout?</t>
  </si>
  <si>
    <t>The New York blackout occurred in the year 1977.</t>
  </si>
  <si>
    <t>which countries have english as native language?</t>
  </si>
  <si>
    <t>The countries that have English as a native language are the United States, United Kingdom, Canada, Australia, New Zealand, and Ireland.</t>
  </si>
  <si>
    <t>what position does rafael furcal play?</t>
  </si>
  <si>
    <t>Rafael Furcal plays as a shortstop.</t>
  </si>
  <si>
    <t>what are major exports of the usa?</t>
  </si>
  <si>
    <t>Major exports of the USA include machinery, aircraft, vehicles, electrical equipment, medical equipment, pharmaceuticals, plastics, and mineral fuels.</t>
  </si>
  <si>
    <t>what shows did kellie martin star in?</t>
  </si>
  <si>
    <t>Kellie Martin starred in several television shows, including "Life Goes On," "ER," and "Mystery Woman."</t>
  </si>
  <si>
    <t>where did rihanna grow up?</t>
  </si>
  <si>
    <t>Rihanna grew up in Barbados.</t>
  </si>
  <si>
    <t>where is whistler mountain located?</t>
  </si>
  <si>
    <t>Whistler Mountain is located in Whistler, British Columbia, Canada.</t>
  </si>
  <si>
    <t>what currency do i need in cuba?</t>
  </si>
  <si>
    <t>Cuban Convertible Peso (CUC)</t>
  </si>
  <si>
    <t>what country did james cook come from?</t>
  </si>
  <si>
    <t>James Cook came from England.</t>
  </si>
  <si>
    <t>who is julia roberts married to 2012?</t>
  </si>
  <si>
    <t>Julia Roberts married Daniel Moder in 2002.</t>
  </si>
  <si>
    <t>what sport does rebecca adlington compete in?</t>
  </si>
  <si>
    <t>swimming</t>
  </si>
  <si>
    <t>when did the christchurch quake happened?</t>
  </si>
  <si>
    <t>The Christchurch earthquake occurred on February 22, 2011.</t>
  </si>
  <si>
    <t>what other countries does canada trade with?</t>
  </si>
  <si>
    <t>Canada trades with many countries, including the United States, China, Mexico, Japan, and the United Kingdom.</t>
  </si>
  <si>
    <t>what to see in singapore at night?</t>
  </si>
  <si>
    <t>Some popular nighttime attractions in Singapore are the Gardens by the Bay, Marina Bay Sands SkyPark, Clarke Quay, and the Night Safari.</t>
  </si>
  <si>
    <t>who played mason capwell?</t>
  </si>
  <si>
    <t>Robin Wright.</t>
  </si>
  <si>
    <t>what is james madison most famous for?</t>
  </si>
  <si>
    <t>James Madison is most famous for being one of the Founding Fathers of the United States and for being the main architect of the United States Constitution. He also served as the fourth President of the United States.</t>
  </si>
  <si>
    <t>who did the maccabees revolted against?</t>
  </si>
  <si>
    <t>The Maccabees revolted against the Seleucid Empire.</t>
  </si>
  <si>
    <t>where was the battle of antietam creek?</t>
  </si>
  <si>
    <t>The Battle of Antietam Creek took place in Maryland.</t>
  </si>
  <si>
    <t>during what war did abraham lincoln serve as president?</t>
  </si>
  <si>
    <t>The American Civil War.</t>
  </si>
  <si>
    <t>who are shakespeare's parents names?</t>
  </si>
  <si>
    <t>Shakespeare's parents' names were John Shakespeare and Mary Arden.</t>
  </si>
  <si>
    <t>where is she from shakira?</t>
  </si>
  <si>
    <t>Shakira is from Colombia.</t>
  </si>
  <si>
    <t>who plays captain kirk in 2009?</t>
  </si>
  <si>
    <t>Chris Pine.</t>
  </si>
  <si>
    <t>who did hera marry?</t>
  </si>
  <si>
    <t>Hera married Zeus.</t>
  </si>
  <si>
    <t>what type of guitar does kirk hammett play?</t>
  </si>
  <si>
    <t>Kirk Hammett plays a Gibson guitar.</t>
  </si>
  <si>
    <t>what language they speak in the philippines?</t>
  </si>
  <si>
    <t>The official language of the Philippines is Filipino, but English is widely spoken and understood.</t>
  </si>
  <si>
    <t>where is the kakadu national park located?</t>
  </si>
  <si>
    <t>Kakadu National Park is located in Australia.</t>
  </si>
  <si>
    <t>what to do with kids in denver today?</t>
  </si>
  <si>
    <t>Visit the Denver Zoo or the Denver Museum of Nature &amp; Science.</t>
  </si>
  <si>
    <t>what money does jamaica use?</t>
  </si>
  <si>
    <t>Jamaica uses the Jamaican dollar.</t>
  </si>
  <si>
    <t>what year did william mckinley became president?</t>
  </si>
  <si>
    <t>William McKinley became president in 1897.</t>
  </si>
  <si>
    <t>what date did kennedy become president?</t>
  </si>
  <si>
    <t>January 20, 1961.</t>
  </si>
  <si>
    <t>what timezone is colorado in right now?</t>
  </si>
  <si>
    <t>Mountain Time Zone.</t>
  </si>
  <si>
    <t>who owns aston martin 2012?</t>
  </si>
  <si>
    <t>As of 2012, Aston Martin was owned by Investment Dar and Adeem Investment.</t>
  </si>
  <si>
    <t>what disease has jack osbourne got?</t>
  </si>
  <si>
    <t>Jack Osbourne has multiple sclerosis.</t>
  </si>
  <si>
    <t>what do the islamic believe?</t>
  </si>
  <si>
    <t>Muslims believe in the oneness of Allah (God) and that Muhammad is His final and true messenger. They also believe in the Quran as the holy book and in following the Five Pillars of Islam, which include faith, prayer, charity, fasting, and pilgrimage to Mecca.</t>
  </si>
  <si>
    <t>who will david beckham play for in 2013?</t>
  </si>
  <si>
    <t>David Beckham played for Paris Saint-Germain (PSG) in 2013.</t>
  </si>
  <si>
    <t>what language they speak in taiwan?</t>
  </si>
  <si>
    <t>The official language spoken in Taiwan is Mandarin Chinese.</t>
  </si>
  <si>
    <t>who owns the toronto maple leafs?</t>
  </si>
  <si>
    <t>Maple Leaf Sports &amp; Entertainment owns the Toronto Maple Leafs.</t>
  </si>
  <si>
    <t>what county is novato california in?</t>
  </si>
  <si>
    <t>Marin County</t>
  </si>
  <si>
    <t>what are the basic beliefs of sikhism?</t>
  </si>
  <si>
    <t>The basic beliefs of Sikhism include belief in one God, equality of all humans, service to others, and living a truthful and honest life.</t>
  </si>
  <si>
    <t>where did hernando cortez die?</t>
  </si>
  <si>
    <t>Hernando Cortez died in Seville, Spain.</t>
  </si>
  <si>
    <t>who was liz taylor married too?</t>
  </si>
  <si>
    <t>Elizabeth Taylor was married a total of seven times. Her spouses were: Conrad Hilton Jr., Michael Wilding, Mike Todd, Eddie Fisher, Richard Burton (twice), John Warner, and Larry Fortensky.</t>
  </si>
  <si>
    <t>where was the ancient region of mesopotamia?</t>
  </si>
  <si>
    <t>The ancient region of Mesopotamia was located in present-day Iraq and parts of Syria, Turkey, and Iran.</t>
  </si>
  <si>
    <t>who was real housewives brandi married to?</t>
  </si>
  <si>
    <t>Brandi Glanville was married to actor Eddie Cibrian.</t>
  </si>
  <si>
    <t>when did the charlotte bobcats first play in the nba?</t>
  </si>
  <si>
    <t>The Charlotte Bobcats first played in the NBA in the 2004-2005 season.</t>
  </si>
  <si>
    <t>what's the book hitler wrote in prison?</t>
  </si>
  <si>
    <t>The book Hitler wrote in prison is called "Mein Kampf."</t>
  </si>
  <si>
    <t>where is the ottoman empire located?</t>
  </si>
  <si>
    <t>The Ottoman Empire was located in modern-day Turkey and parts of Southeast Europe, Southwest Asia, and North Africa.</t>
  </si>
  <si>
    <t>which city held the summer olympics twice?</t>
  </si>
  <si>
    <t>London.</t>
  </si>
  <si>
    <t>who are the green bay packers owned by?</t>
  </si>
  <si>
    <t>The Green Bay Packers are owned by the fans.</t>
  </si>
  <si>
    <t>what inspired langston hughes to write poetry?</t>
  </si>
  <si>
    <t>Langston Hughes was inspired to write poetry by his experiences as an African American, his passion for expressing the struggles and joys of Black life, and his desire to give a voice to the marginalized and oppressed.</t>
  </si>
  <si>
    <t>what languages are there in switzerland?</t>
  </si>
  <si>
    <t>The official languages of Switzerland are German, French, Italian, and Romansh.</t>
  </si>
  <si>
    <t>when was the last time the orioles had a winning season?</t>
  </si>
  <si>
    <t>The last time the Orioles had a winning season was in 2016.</t>
  </si>
  <si>
    <t>what does australia export?</t>
  </si>
  <si>
    <t>Australia exports a variety of products including minerals, metals, agricultural goods, machinery, and services.</t>
  </si>
  <si>
    <t>where did henry knox die?</t>
  </si>
  <si>
    <t>Henry Knox died in Thomaston, Maine, United States.</t>
  </si>
  <si>
    <t>who was the queen of the iceni tribe?</t>
  </si>
  <si>
    <t>Boudica.</t>
  </si>
  <si>
    <t>what is the name of the first prophet of islam?</t>
  </si>
  <si>
    <t>The name of the first prophet of Islam is Muhammad.</t>
  </si>
  <si>
    <t>who is married to garry trudeau?</t>
  </si>
  <si>
    <t>Jane Pauley</t>
  </si>
  <si>
    <t>where does norway get their oil?</t>
  </si>
  <si>
    <t>Norway gets its oil from the North Sea.</t>
  </si>
  <si>
    <t>what language do they speak in northern ireland?</t>
  </si>
  <si>
    <t>English and Irish.</t>
  </si>
  <si>
    <t>what countries make up continental europe?</t>
  </si>
  <si>
    <t>The countries that make up continental Europe are Portugal, Spain, France, Belgium, the Netherlands, Luxembourg, Germany, Switzerland, Liechtenstein, Italy, Monaco, Austria, Slovenia, Croatia, Bosnia and Herzegovina, Serbia, Montenegro, Albania, North Macedonia, Greece, Bulgaria, Romania, Moldova, Ukraine, Belarus, Poland, Slovakia, Czech Republic, Hungary, and Lithuania.</t>
  </si>
  <si>
    <t>what do abrahamic religions have in common?</t>
  </si>
  <si>
    <t>Abrahamic religions, including Judaism, Christianity, and Islam, share a belief in the existence of one God and the importance of prophets, such as Abraham and Moses.</t>
  </si>
  <si>
    <t>what did johnny crawford sing?</t>
  </si>
  <si>
    <t>Johnny Crawford sang the song "Cindy's Birthday."</t>
  </si>
  <si>
    <t>what did abraham lincoln do before he was president?</t>
  </si>
  <si>
    <t>Before he was president, Abraham Lincoln was a lawyer and a member of the U.S. House of Representatives.</t>
  </si>
  <si>
    <t>what sport does sally pearson compete in?</t>
  </si>
  <si>
    <t>Sally Pearson competes in athletics.</t>
  </si>
  <si>
    <t>where is atlanta texas located?</t>
  </si>
  <si>
    <t>Atlanta, Texas is located in the United States.</t>
  </si>
  <si>
    <t>who did elton john marry first?</t>
  </si>
  <si>
    <t>Elton John married Renate Blauel first.</t>
  </si>
  <si>
    <t>where is tom cruise from?</t>
  </si>
  <si>
    <t>Tom Cruise is from Syracuse, New York, United States.</t>
  </si>
  <si>
    <t>what movies did madonna appear in?</t>
  </si>
  <si>
    <t>Some movies that Madonna appeared in include "Desperately Seeking Susan," "Evita," and "A League of Their Own."</t>
  </si>
  <si>
    <t>where does leland chapman live now?</t>
  </si>
  <si>
    <t>I'm sorry, but I don't have access to personal data about individuals unless it has been shared with me during our conversation.</t>
  </si>
  <si>
    <t>where was the roman colosseum located?</t>
  </si>
  <si>
    <t>The Roman Colosseum was located in Rome, Italy.</t>
  </si>
  <si>
    <t>what date was abraham lincoln inaugurated?</t>
  </si>
  <si>
    <t>March 4, 1861.</t>
  </si>
  <si>
    <t>what invention did henry ford invent?</t>
  </si>
  <si>
    <t>Henry Ford invented the automobile and the assembly line.</t>
  </si>
  <si>
    <t>what time zone is new york under?</t>
  </si>
  <si>
    <t>New York is under the Eastern Time Zone.</t>
  </si>
  <si>
    <t>when did mayans predict end of the world?</t>
  </si>
  <si>
    <t>The Mayans did not predict the end of the world.</t>
  </si>
  <si>
    <t>what is the name of the book hitler wrote while in prison?</t>
  </si>
  <si>
    <t>The name of the book Hitler wrote while in prison is "Mein Kampf."</t>
  </si>
  <si>
    <t>who voiced meg in the pilot?</t>
  </si>
  <si>
    <t>Lacey Chabert.</t>
  </si>
  <si>
    <t>what albert einstein do for math?</t>
  </si>
  <si>
    <t>Albert Einstein made significant contributions to the field of theoretical physics, specifically with his theory of relativity, rather than math itself.</t>
  </si>
  <si>
    <t>where did bashar al assad study?</t>
  </si>
  <si>
    <t>Bashar al-Assad studied ophthalmology at the University of Damascus.</t>
  </si>
  <si>
    <t>who plays lois lane in superman returns?</t>
  </si>
  <si>
    <t>Kate Bosworth.</t>
  </si>
  <si>
    <t>what did joseph lister do for science?</t>
  </si>
  <si>
    <t>Joseph Lister revolutionized surgery by introducing antiseptic techniques, including the use of carbolic acid to disinfect surgical instruments and clean wounds, which greatly reduced the risk of infection and mortality rates.</t>
  </si>
  <si>
    <t>who is the voice of stewie griffin from family guy?</t>
  </si>
  <si>
    <t>Seth MacFarlane.</t>
  </si>
  <si>
    <t>who uses new king james bible?</t>
  </si>
  <si>
    <t>Christians who prefer the New King James Version (NKJV) as their choice of Bible translation.</t>
  </si>
  <si>
    <t>what films did charlie chaplin direct?</t>
  </si>
  <si>
    <t>Charlie Chaplin directed several films including "The Kid", "The Gold Rush", "City Lights", "Modern Times", and "The Great Dictator" among others.</t>
  </si>
  <si>
    <t>who does lea michele dating in real life?</t>
  </si>
  <si>
    <t>As of 2021, Lea Michele is married to Zandy Reich.</t>
  </si>
  <si>
    <t>when did joe walsh leave the eagles?</t>
  </si>
  <si>
    <t>Joe Walsh did not leave the Eagles.</t>
  </si>
  <si>
    <t>when was the musical annie written?</t>
  </si>
  <si>
    <t>The musical "Annie" was written in 1977.</t>
  </si>
  <si>
    <t>what should you see in london?</t>
  </si>
  <si>
    <t>Some popular attractions in London include the Tower of London, Buckingham Palace, the British Museum, and the London Eye.</t>
  </si>
  <si>
    <t>who does billy beane work for now?</t>
  </si>
  <si>
    <t>Billy Beane currently works for the Oakland Athletics.</t>
  </si>
  <si>
    <t>what subatomic particles did jj thomson discover?</t>
  </si>
  <si>
    <t>JJ Thomson discovered the electron.</t>
  </si>
  <si>
    <t>what films have taylor lautner been in?</t>
  </si>
  <si>
    <t>Taylor Lautner has been in films such as "Twilight," "The Twilight Saga: New Moon," "The Twilight Saga: Eclipse," "The Twilight Saga: Breaking Dawn - Part 1," "The Twilight Saga: Breaking Dawn - Part 2," "Abduction," and "Valentine's Day."</t>
  </si>
  <si>
    <t>who were anakin skywalker's parents?</t>
  </si>
  <si>
    <t>Anakin Skywalker's mother was Shmi Skywalker.</t>
  </si>
  <si>
    <t>what country is the name natalie from?</t>
  </si>
  <si>
    <t>The name Natalie is of French origin.</t>
  </si>
  <si>
    <t>who played the voice of aladdin?</t>
  </si>
  <si>
    <t>Scott Weinger.</t>
  </si>
  <si>
    <t>what exactly did dale earnhardt die from?</t>
  </si>
  <si>
    <t>Dale Earnhardt died from a basilar skull fracture.</t>
  </si>
  <si>
    <t>what year did miami heat win the championship?</t>
  </si>
  <si>
    <t>Miami Heat won the championship in 2020.</t>
  </si>
  <si>
    <t>what kind of government did benito mussolini have?</t>
  </si>
  <si>
    <t>Benito Mussolini had a fascist government.</t>
  </si>
  <si>
    <t>who was emperor diocletian?</t>
  </si>
  <si>
    <t>Emperor Diocletian was a Roman emperor who ruled from 284 to 305.</t>
  </si>
  <si>
    <t>who is chelsea kane?</t>
  </si>
  <si>
    <t>Chelsea Kane is an American actress and singer.</t>
  </si>
  <si>
    <t>who is darwin and what is his theory?</t>
  </si>
  <si>
    <t>Charles Darwin was a British naturalist and biologist. His theory, known as the theory of evolution by natural selection, proposes that species evolve over time through the process of natural selection, where individuals with traits that are better suited to their environment are more likely to survive and reproduce.</t>
  </si>
  <si>
    <t>what did obama study in school?</t>
  </si>
  <si>
    <t>Barack Obama studied political science in school.</t>
  </si>
  <si>
    <t>where did deion sanders play baseball?</t>
  </si>
  <si>
    <t>Deion Sanders played baseball for several teams, including the Atlanta Braves and the New York Yankees.</t>
  </si>
  <si>
    <t>who is the new governor of oregon?</t>
  </si>
  <si>
    <t>As of my knowledge cutoff date in November 2021, the current governor of Oregon is Kate Brown. Please verify with up-to-date sources.</t>
  </si>
  <si>
    <t>what continent is south africa part of?</t>
  </si>
  <si>
    <t>Africa</t>
  </si>
  <si>
    <t>who was michael jackson's best friend?</t>
  </si>
  <si>
    <t>Michael Jackson's best friend was Elizabeth Taylor.</t>
  </si>
  <si>
    <t>what movies has taylor lautner been in 2011?</t>
  </si>
  <si>
    <t>In 2011, Taylor Lautner starred in the movie "Abduction."</t>
  </si>
  <si>
    <t>where does the australian prime minister reside?</t>
  </si>
  <si>
    <t>The Australian Prime Minister resides in Canberra, the capital city of Australia.</t>
  </si>
  <si>
    <t>what did kate winslet get an oscar for?</t>
  </si>
  <si>
    <t>Kate Winslet won an Oscar for her performance in the movie "The Reader."</t>
  </si>
  <si>
    <t>what company did henry ford work for?</t>
  </si>
  <si>
    <t>Henry Ford worked for the Detroit Automobile Company, which was later reorganized and became the Henry Ford Company.</t>
  </si>
  <si>
    <t>what happened to thomas cromwell's children?</t>
  </si>
  <si>
    <t>Thomas Cromwell's children were left orphaned after their father's execution in 1540. His son, Gregory Cromwell, managed to regain favor at the court of King Henry VIII and lived a relatively successful life. His daughter, Anne Cromwell, married a nobleman named Edward Seymour and died in childbirth in 1529.</t>
  </si>
  <si>
    <t>where indian ocean is located?</t>
  </si>
  <si>
    <t>The Indian Ocean is located between Africa, Asia, Australia, and Antarctica.</t>
  </si>
  <si>
    <t>what year was the navy chief established?</t>
  </si>
  <si>
    <t>The Navy Chief was established in 1776.</t>
  </si>
  <si>
    <t>what year did the orioles win 100 games?</t>
  </si>
  <si>
    <t>The Orioles won 100 games in 1970.</t>
  </si>
  <si>
    <t>who was mary's mother?</t>
  </si>
  <si>
    <t>Mary's mother was Mary.</t>
  </si>
  <si>
    <t>where is american express located?</t>
  </si>
  <si>
    <t>American Express is located in New York City, USA.</t>
  </si>
  <si>
    <t>what is the china money called?</t>
  </si>
  <si>
    <t>The currency of China is called the Chinese yuan (CNY).</t>
  </si>
  <si>
    <t>what is the government of spain today?</t>
  </si>
  <si>
    <t>The government of Spain today is a parliamentary constitutional monarchy.</t>
  </si>
  <si>
    <t>where is the howard university located?</t>
  </si>
  <si>
    <t>Washington, D.C.</t>
  </si>
  <si>
    <t>where did terrell owens get traded to?</t>
  </si>
  <si>
    <t>Terrell Owens got traded to the Philadelphia Eagles.</t>
  </si>
  <si>
    <t>what do catholics call their god?</t>
  </si>
  <si>
    <t>Catholics call their God "God" or "the Lord."</t>
  </si>
  <si>
    <t>what is the capital of alaska state?</t>
  </si>
  <si>
    <t>Juneau.</t>
  </si>
  <si>
    <t>what was the soviet union?</t>
  </si>
  <si>
    <t>The Soviet Union was a communist country that existed from 1922 to 1991.</t>
  </si>
  <si>
    <t>what college did jeff corwin go to?</t>
  </si>
  <si>
    <t>Jeff Corwin attended the University of Massachusetts Amherst.</t>
  </si>
  <si>
    <t>who speaks farsi?</t>
  </si>
  <si>
    <t>Iranians, Afghans, Tajiks, and some communities in Iraq, Pakistan, and Uzbekistan speak Farsi (Persian).</t>
  </si>
  <si>
    <t>who was neptune discovered by?</t>
  </si>
  <si>
    <t>Neptune was discovered by Urbain Le Verrier and Johann Galle.</t>
  </si>
  <si>
    <t>who were the major trade partners of russia?</t>
  </si>
  <si>
    <t>Some major trade partners of Russia include China, Germany, Netherlands, Italy, and Turkey.</t>
  </si>
  <si>
    <t>what did corey haim really die of?</t>
  </si>
  <si>
    <t>Corey Haim died of pneumonia.</t>
  </si>
  <si>
    <t>where did pavlova originate?</t>
  </si>
  <si>
    <t>Pavlova originated in New Zealand.</t>
  </si>
  <si>
    <t>where did nathaniel hawthorne die?</t>
  </si>
  <si>
    <t>Nathaniel Hawthorne died in Plymouth, New Hampshire.</t>
  </si>
  <si>
    <t>where did jack johnson go to high school?</t>
  </si>
  <si>
    <t>Jack Johnson attended Kahuku High School in Kahuku, Hawaii.</t>
  </si>
  <si>
    <t>who played maxie jones on general hospital?</t>
  </si>
  <si>
    <t>Kirsten Storms played Maxie Jones on General Hospital.</t>
  </si>
  <si>
    <t>what military school did poe attend?</t>
  </si>
  <si>
    <t>Poe attended the United States Military Academy (West Point).</t>
  </si>
  <si>
    <t>what are buddhist gods?</t>
  </si>
  <si>
    <t>Buddhism does not recognize a concept of gods in the same way as other religions. Instead, it focuses on principles and teachings to help individuals attain enlightenment.</t>
  </si>
  <si>
    <t>who influenced wolfgang amadeus mozart?</t>
  </si>
  <si>
    <t>One of the major influences on Wolfgang Amadeus Mozart was his father, Leopold Mozart.</t>
  </si>
  <si>
    <t>when was the last dallas cowboys super bowl win?</t>
  </si>
  <si>
    <t>The last Dallas Cowboys Super Bowl win was in 1996.</t>
  </si>
  <si>
    <t>what language do they speak in iceland wikipedia?</t>
  </si>
  <si>
    <t>The official language spoken in Iceland is Icelandic.</t>
  </si>
  <si>
    <t>when was blessed kateri born?</t>
  </si>
  <si>
    <t>Blessed Kateri was born on July 17, 1656.</t>
  </si>
  <si>
    <t>when did the bali bombings occur?</t>
  </si>
  <si>
    <t>The Bali bombings occurred on October 12, 2002.</t>
  </si>
  <si>
    <t>what is the political system in south africa?</t>
  </si>
  <si>
    <t>The political system in South Africa is a parliamentary democracy.</t>
  </si>
  <si>
    <t>what is the currency in croatia 2012?</t>
  </si>
  <si>
    <t>The currency in Croatia in 2012 was the Croatian kuna.</t>
  </si>
  <si>
    <t>where did joe montana go to high school?</t>
  </si>
  <si>
    <t>Joe Montana went to Ringgold High School.</t>
  </si>
  <si>
    <t>what cases does the supreme court have original jurisdiction over?</t>
  </si>
  <si>
    <t>The Supreme Court has original jurisdiction over cases involving ambassadors, public ministers, and disputes between states.</t>
  </si>
  <si>
    <t>where is the nation of palestine?</t>
  </si>
  <si>
    <t>The nation of Palestine is located in the Middle East, primarily in the region known as the Palestinian territories, which include the West Bank and the Gaza Strip.</t>
  </si>
  <si>
    <t>what are the greek titans?</t>
  </si>
  <si>
    <t>The Greek Titans were a race of powerful and immortal beings in Greek mythology. They were the children of Uranus (Sky) and Gaia (Earth) and ruled the world before the gods came into power.</t>
  </si>
  <si>
    <t>what countries speak english primarily?</t>
  </si>
  <si>
    <t>The primary countries where English is spoken are the United States, United Kingdom, Canada, Australia, and New Zealand, among others.</t>
  </si>
  <si>
    <t>what states does the missouri river touch?</t>
  </si>
  <si>
    <t>The Missouri River touches the states of Montana, North Dakota, South Dakota, Nebraska, Iowa, Kansas, and Missouri.</t>
  </si>
  <si>
    <t>what is in liverpool england?</t>
  </si>
  <si>
    <t>Liverpool, England is known for its rich musical history, being the birthplace of The Beatles. It is also home to a number of notable museums, art galleries, and landmarks such as the Royal Albert Dock and the Liverpool Cathedral.</t>
  </si>
  <si>
    <t>what state is harvard college located?</t>
  </si>
  <si>
    <t>Harvard College is located in Massachusetts.</t>
  </si>
  <si>
    <t>where was leonardo da vinci when he died?</t>
  </si>
  <si>
    <t>Leonardo da Vinci died in Amboise, France.</t>
  </si>
  <si>
    <t>what money do japanese use?</t>
  </si>
  <si>
    <t>Japanese use the Japanese yen as their currency.</t>
  </si>
  <si>
    <t>what is the time zone in oklahoma city?</t>
  </si>
  <si>
    <t>The time zone in Oklahoma City is Central Standard Time (CST).</t>
  </si>
  <si>
    <t>what killed whitney houston?</t>
  </si>
  <si>
    <t>Whitney Houston died from accidental drowning with the effects of heart disease and cocaine use contributing to her death.</t>
  </si>
  <si>
    <t>what kind of government did the mali empire have?</t>
  </si>
  <si>
    <t>The Mali Empire had a centralized government ruled by a powerful king called the Mansa.</t>
  </si>
  <si>
    <t>what is the religion of israel people?</t>
  </si>
  <si>
    <t>The religion of Israel people is primarily Judaism.</t>
  </si>
  <si>
    <t>what is mount st helens?</t>
  </si>
  <si>
    <t>Mount St. Helens is an active volcano located in Washington state, USA.</t>
  </si>
  <si>
    <t>what airport is closest to sandals grande in st lucia?</t>
  </si>
  <si>
    <t>The Hewanorra International Airport is the closest airport to Sandals Grande in St. Lucia.</t>
  </si>
  <si>
    <t>which country is north of the usa?</t>
  </si>
  <si>
    <t>Canada.</t>
  </si>
  <si>
    <t>where does drew gordon play?</t>
  </si>
  <si>
    <t>Drew Gordon currently plays for Pallacanestro Virtus Roma in Italy.</t>
  </si>
  <si>
    <t>who was the first russian president?</t>
  </si>
  <si>
    <t>Boris Yeltsin.</t>
  </si>
  <si>
    <t>what language does people in netherlands speak?</t>
  </si>
  <si>
    <t>Dutch.</t>
  </si>
  <si>
    <t>what type of language does china speak?</t>
  </si>
  <si>
    <t>Mandarin Chinese.</t>
  </si>
  <si>
    <t>what countries around the world speak french?</t>
  </si>
  <si>
    <t>Canada, Belgium, Switzerland, Ivory Coast, Democratic Republic of Congo, Cameroon, Burkina Faso, Niger, Senegal, Mali, Rwanda, Madagascar, Guinea, Haiti, Chad, Benin, Togo, Central African Republic, Republic of Congo, Gabon, Comoros, Djibouti, Equatorial Guinea, Luxembourg, Vanuatu, Seychelles, Monaco, and the French overseas territories.</t>
  </si>
  <si>
    <t>who is esther hicks?</t>
  </si>
  <si>
    <t>Esther Hicks is an American inspirational speaker and author who channels a group of non-physical entities known as "Abraham."</t>
  </si>
  <si>
    <t>what does michael vick do?</t>
  </si>
  <si>
    <t>Michael Vick is a former professional football player.</t>
  </si>
  <si>
    <t>in which province is johannesburg?</t>
  </si>
  <si>
    <t>Gauteng province.</t>
  </si>
  <si>
    <t>where was john lennon standing when he was shot?</t>
  </si>
  <si>
    <t>John Lennon was standing outside of his apartment building, The Dakota, in New York City when he was shot.</t>
  </si>
  <si>
    <t>what time do atlantic city bars close?</t>
  </si>
  <si>
    <t>Atlantic City bars typically close at 3:00 a.m.</t>
  </si>
  <si>
    <t>what state did al gore represent?</t>
  </si>
  <si>
    <t>Al Gore represented the state of Tennessee.</t>
  </si>
  <si>
    <t>who voiced darth vader in revenge of the sith?</t>
  </si>
  <si>
    <t>James Earl Jones.</t>
  </si>
  <si>
    <t>what type of art is henri matisse famous for?</t>
  </si>
  <si>
    <t>Henri Matisse is famous for his contributions to modern art and is known for his paintings and paper cut-outs.</t>
  </si>
  <si>
    <t>what to do in laughlin nevada?</t>
  </si>
  <si>
    <t>In Laughlin, Nevada, you can enjoy activities such as gambling, exploring the Colorado River, taking a river cruise, attending live shows and concerts, trying different dining options, and visiting nearby attractions like the Hoover Dam.</t>
  </si>
  <si>
    <t>who plays princess padme in star wars?</t>
  </si>
  <si>
    <t>Natalie Portman.</t>
  </si>
  <si>
    <t>where to ski in andorra reviews?</t>
  </si>
  <si>
    <t>You can check online platforms such as TripAdvisor, Yelp, or ski-specific websites like Snow-Online for reviews on ski resorts in Andorra.</t>
  </si>
  <si>
    <t>who was louis riel?</t>
  </si>
  <si>
    <t>Louis Riel was a Métis leader and politician in Canada.</t>
  </si>
  <si>
    <t>what are the four nations of the uk?</t>
  </si>
  <si>
    <t>The four nations of the UK are England, Scotland, Wales, and Northern Ireland.</t>
  </si>
  <si>
    <t>who was judy garland married to?</t>
  </si>
  <si>
    <t>Judy Garland was married to Vincente Minnelli, Sid Luft, and Mark Herron.</t>
  </si>
  <si>
    <t>where is abraham lincoln hometown?</t>
  </si>
  <si>
    <t>Abraham Lincoln's hometown is Hodgenville, Kentucky.</t>
  </si>
  <si>
    <t>what disease did helen keller?</t>
  </si>
  <si>
    <t>Helen Keller had a condition called scarlet fever, which caused her to lose her vision and hearing at a young age.</t>
  </si>
  <si>
    <t>what is the name of money in brazil?</t>
  </si>
  <si>
    <t>The name of money in Brazil is the Brazilian Real.</t>
  </si>
  <si>
    <t>what year did lakers win championship?</t>
  </si>
  <si>
    <t>what did coolidge believe with regards to the role of government?</t>
  </si>
  <si>
    <t>Calvin Coolidge believed in limited government and advocated for minimal government intervention in the economy.</t>
  </si>
  <si>
    <t>what is the atlanta braves mascot?</t>
  </si>
  <si>
    <t>The Atlanta Braves mascot is named Blooper.</t>
  </si>
  <si>
    <t>what type of government did england have during the glorious revolution?</t>
  </si>
  <si>
    <t>England had a constitutional monarchy during the Glorious Revolution.</t>
  </si>
  <si>
    <t>who played dumbledore in the first movie?</t>
  </si>
  <si>
    <t>Richard Harris played Dumbledore in the first movie.</t>
  </si>
  <si>
    <t>where was greenpeace an international environmental organization founded?</t>
  </si>
  <si>
    <t>Greenpeace was founded in Vancouver, Canada.</t>
  </si>
  <si>
    <t>what does roger that mean?</t>
  </si>
  <si>
    <t>"Roger that" is a phrase used in radio communication to indicate that a message has been received and understood.</t>
  </si>
  <si>
    <t>what is the center of london called?</t>
  </si>
  <si>
    <t>The center of London is called the City of London or simply "the City."</t>
  </si>
  <si>
    <t>what was the first name of the washington redskins?</t>
  </si>
  <si>
    <t>The first name of the Washington Redskins was the Boston Braves.</t>
  </si>
  <si>
    <t>what sports do they do in canada?</t>
  </si>
  <si>
    <t>Hockey is the most popular sport in Canada. Other popular sports include lacrosse, Canadian football, basketball, and soccer.</t>
  </si>
  <si>
    <t>who was the first leader of the afl?</t>
  </si>
  <si>
    <t>The first leader of the AFL was Samuel Gompers.</t>
  </si>
  <si>
    <t>who is the arizona cardinals football coach?</t>
  </si>
  <si>
    <t>The Arizona Cardinals' current football coach is Kliff Kingsbury.</t>
  </si>
  <si>
    <t>when did tamu admit women?</t>
  </si>
  <si>
    <t>TAMU admitted women in 1963.</t>
  </si>
  <si>
    <t>where was the battle of waterloo held?</t>
  </si>
  <si>
    <t>The Battle of Waterloo was held in Waterloo, Belgium.</t>
  </si>
  <si>
    <t>what was marilyn monroe known for?</t>
  </si>
  <si>
    <t>Marilyn Monroe was known for her beauty, talent as an actress, and iconic status as a symbol of glamour and sex appeal.</t>
  </si>
  <si>
    <t>what has barack obama done wrong?</t>
  </si>
  <si>
    <t>This is a subjective question and opinions may vary.</t>
  </si>
  <si>
    <t>which is faster amd dual core or intel dual core?</t>
  </si>
  <si>
    <t>It depends on the specific models and specifications of the AMD and Intel dual core processors being compared.</t>
  </si>
  <si>
    <t>where did lee corso go to college?</t>
  </si>
  <si>
    <t>Lee Corso went to Florida State University.</t>
  </si>
  <si>
    <t>who are the colorado eagles?</t>
  </si>
  <si>
    <t>The Colorado Eagles are a professional ice hockey team based in Loveland, Colorado, and they are a member of the American Hockey League (AHL).</t>
  </si>
  <si>
    <t>what time period did jesus live in?</t>
  </si>
  <si>
    <t>Jesus lived in the 1st century AD.</t>
  </si>
  <si>
    <t>where does lala anthony live?</t>
  </si>
  <si>
    <t>There is no publicly available information on where LaLa Anthony currently lives.</t>
  </si>
  <si>
    <t>what currency do they accept in kenya?</t>
  </si>
  <si>
    <t>The currency accepted in Kenya is the Kenyan Shilling.</t>
  </si>
  <si>
    <t>what river did henry hudson sail up?</t>
  </si>
  <si>
    <t>Henry Hudson sailed up the Hudson River.</t>
  </si>
  <si>
    <t>what currency is used in switzerland 2012?</t>
  </si>
  <si>
    <t>Switzerland uses the Swiss Franc (CHF) as its currency.</t>
  </si>
  <si>
    <t>what do they speak in iran?</t>
  </si>
  <si>
    <t>They speak Persian in Iran.</t>
  </si>
  <si>
    <t>who did ayrton senna drive for?</t>
  </si>
  <si>
    <t>Ayrton Senna drove for several teams during his Formula One career, including Toleman, Lotus, and McLaren.</t>
  </si>
  <si>
    <t>what happened to madonna childhood home?</t>
  </si>
  <si>
    <t>The fate of Madonna's childhood home is unknown.</t>
  </si>
  <si>
    <t>where is the best place to vacation in the dominican republic?</t>
  </si>
  <si>
    <t>Punta Cana.</t>
  </si>
  <si>
    <t>what made ancient rome fall?</t>
  </si>
  <si>
    <t>There were multiple factors that contributed to the fall of Ancient Rome, including internal decay, economic instability, invasions by barbarian tribes, and the division of the empire.</t>
  </si>
  <si>
    <t>where was brad pitt born?</t>
  </si>
  <si>
    <t>Brad Pitt was born in Shawnee, Oklahoma, United States.</t>
  </si>
  <si>
    <t>what position does vernon davis play?</t>
  </si>
  <si>
    <t>Vernon Davis plays as a tight end.</t>
  </si>
  <si>
    <t>where is the euro 2012 tournament?</t>
  </si>
  <si>
    <t>The Euro 2012 tournament was held in Poland and Ukraine.</t>
  </si>
  <si>
    <t>what time is right now in texas?</t>
  </si>
  <si>
    <t>I'm sorry, I am an AI assistant and I do not have real-time capabilities. Please check the current time in Texas using a reliable source or a clock.</t>
  </si>
  <si>
    <t>what to see and do in malta?</t>
  </si>
  <si>
    <t>In Malta, you can visit ancient temples, explore the historic city of Valletta, swim in the Blue Lagoon, and enjoy the beautiful beaches.</t>
  </si>
  <si>
    <t>where did dolly parton grew up?</t>
  </si>
  <si>
    <t>Dolly Parton grew up in Locust Ridge, Tennessee.</t>
  </si>
  <si>
    <t>what state is rick santorum from?</t>
  </si>
  <si>
    <t>Pennsylvania.</t>
  </si>
  <si>
    <t>what countries does queen elizabeth ii reign?</t>
  </si>
  <si>
    <t>Queen Elizabeth II reigns over the United Kingdom and 15 other Commonwealth realms, including Australia, Canada, and New Zealand.</t>
  </si>
  <si>
    <t>when did the aurora colorado shooting take place?</t>
  </si>
  <si>
    <t>The Aurora, Colorado shooting took place on July 20, 2012.</t>
  </si>
  <si>
    <t>what is jonas brothers names?</t>
  </si>
  <si>
    <t>Kevin, Joe, and Nick</t>
  </si>
  <si>
    <t>what art movements was henri matisse involved in?</t>
  </si>
  <si>
    <t>Henri Matisse was involved in the Fauvism and Modernism art movements.</t>
  </si>
  <si>
    <t>what are some famous tourist attractions in germany?</t>
  </si>
  <si>
    <t>The Brandenburg Gate, Neuschwanstein Castle, and the Cologne Cathedral are some famous tourist attractions in Germany.</t>
  </si>
  <si>
    <t>who's kobe bryant?</t>
  </si>
  <si>
    <t>Kobe Bryant was a former professional basketball player.</t>
  </si>
  <si>
    <t>what type of government system does saudi arabia have?</t>
  </si>
  <si>
    <t>Saudi Arabia has an absolute monarchy government system.</t>
  </si>
  <si>
    <t>what countries did czechoslovakia become?</t>
  </si>
  <si>
    <t>Czechoslovakia became the countries of Czech Republic and Slovakia.</t>
  </si>
  <si>
    <t>what songs did richard marx write?</t>
  </si>
  <si>
    <t>Richard Marx has written many songs, some of his famous hits include "Right Here Waiting," "Hazard," and "Hold On to the Nights."</t>
  </si>
  <si>
    <t>what did ryan dunn died from?</t>
  </si>
  <si>
    <t>Ryan Dunn died in a car accident.</t>
  </si>
  <si>
    <t>what war was george washington associated with?</t>
  </si>
  <si>
    <t>George Washington was associated with the American Revolutionary War.</t>
  </si>
  <si>
    <t>where was zachary taylor elected from?</t>
  </si>
  <si>
    <t>Zachary Taylor was elected from the state of Louisiana.</t>
  </si>
  <si>
    <t>who does kris humphries play for in the nba?</t>
  </si>
  <si>
    <t>Kris Humphries is currently not playing for any NBA team.</t>
  </si>
  <si>
    <t>where tupac grew up?</t>
  </si>
  <si>
    <t>Tupac grew up in East Harlem, New York City.</t>
  </si>
  <si>
    <t>where did al capone go to jail?</t>
  </si>
  <si>
    <t>Al Capone went to jail in Alcatraz.</t>
  </si>
  <si>
    <t>what type of music did richard wagner play?</t>
  </si>
  <si>
    <t>Richard Wagner was a composer of classical music.</t>
  </si>
  <si>
    <t>what do you call money in brazil?</t>
  </si>
  <si>
    <t>The currency in Brazil is called the Brazilian Real.</t>
  </si>
  <si>
    <t>what team did tim tebow play for in college?</t>
  </si>
  <si>
    <t>Tim Tebow played for the Florida Gators in college.</t>
  </si>
  <si>
    <t>what airport in paris?</t>
  </si>
  <si>
    <t>Charles de Gaulle Airport.</t>
  </si>
  <si>
    <t>what nationality was andy williams?</t>
  </si>
  <si>
    <t>American</t>
  </si>
  <si>
    <t>where did matthew brady live?</t>
  </si>
  <si>
    <t>Matthew Brady lived in New York City for most of his life.</t>
  </si>
  <si>
    <t>what ball does rickie fowler play?</t>
  </si>
  <si>
    <t>Rickie Fowler plays with a Titleist Pro V1 golf ball.</t>
  </si>
  <si>
    <t>who are the broncos players?</t>
  </si>
  <si>
    <t>The Broncos players are professional football players who play for the Denver Broncos team in the National Football League (NFL).</t>
  </si>
  <si>
    <t>where do most of the people live in japan?</t>
  </si>
  <si>
    <t>Most people in Japan live in urban areas or cities.</t>
  </si>
  <si>
    <t>in what country do they speak basque?</t>
  </si>
  <si>
    <t>Spain</t>
  </si>
  <si>
    <t>where is belgium at?</t>
  </si>
  <si>
    <t>Belgium is located in Europe.</t>
  </si>
  <si>
    <t>what religions are in russia?</t>
  </si>
  <si>
    <t>The main religion in Russia is Russian Orthodox Christianity. Other religions practiced in Russia include Islam, Buddhism, Judaism, and various forms of Protestant Christianity.</t>
  </si>
  <si>
    <t>what government system does north korea have?</t>
  </si>
  <si>
    <t>North Korea has a communist government system.</t>
  </si>
  <si>
    <t>what did einstein do?</t>
  </si>
  <si>
    <t>Einstein was a theoretical physicist who developed the theory of relativity.</t>
  </si>
  <si>
    <t>in what country is amsterdam?</t>
  </si>
  <si>
    <t>The Netherlands.</t>
  </si>
  <si>
    <t>what are the most common religions in the united states?</t>
  </si>
  <si>
    <t>Christianity, followed by Judaism, Islam, Hinduism, Buddhism, and others.</t>
  </si>
  <si>
    <t>what did martin luther king jr go to college for?</t>
  </si>
  <si>
    <t>Martin Luther King Jr. went to college to study sociology and theology.</t>
  </si>
  <si>
    <t>where did sir ernest shackleton come from?</t>
  </si>
  <si>
    <t>Sir Ernest Shackleton was born in County Kildare, Ireland.</t>
  </si>
  <si>
    <t>what made jimi hendrix great?</t>
  </si>
  <si>
    <t>Jimi Hendrix was great because of his exceptional guitar skills, innovative use of effects, and his unique style of blending rock, blues, and psychedelic music.</t>
  </si>
  <si>
    <t>who did aaron rodgers play college football 4?</t>
  </si>
  <si>
    <t>Aaron Rodgers played college football for the University of California, Berkeley.</t>
  </si>
  <si>
    <t>who plays nathan scott?</t>
  </si>
  <si>
    <t>James Lafferty</t>
  </si>
  <si>
    <t>when did the houston rockets win the championship?</t>
  </si>
  <si>
    <t>The Houston Rockets won the NBA championship in 1994 and 1995.</t>
  </si>
  <si>
    <t>where is mount whitney?</t>
  </si>
  <si>
    <t>Mount Whitney is located in California, United States.</t>
  </si>
  <si>
    <t>who created the character of romeo?</t>
  </si>
  <si>
    <t>William Shakespeare.</t>
  </si>
  <si>
    <t>what are some places to visit in new york?</t>
  </si>
  <si>
    <t>Some places to visit in New York are Times Square, Central Park, the Statue of Liberty, and the Metropolitan Museum of Art.</t>
  </si>
  <si>
    <t>what are the countries and capitals of central america?</t>
  </si>
  <si>
    <t>The countries and capitals of Central America are:
- Belize City, Belize
- San José, Costa Rica
- San Salvador, El Salvador
- Guatemala City, Guatemala
- Tegucigalpa, Honduras
- Managua, Nicaragua
- Panama City, Panama</t>
  </si>
  <si>
    <t>where is puntland somalia?</t>
  </si>
  <si>
    <t>Puntland is located in northeastern Somalia, on the eastern coast of the Horn of Africa.</t>
  </si>
  <si>
    <t>what animal is on the western australian flag?</t>
  </si>
  <si>
    <t>A black swan is on the Western Australian flag.</t>
  </si>
  <si>
    <t>where did drew stanton play in college?</t>
  </si>
  <si>
    <t>Drew Stanton played college football at Michigan State University.</t>
  </si>
  <si>
    <t>what is kareem abdul jabbar real name?</t>
  </si>
  <si>
    <t>Kareem Abdul-Jabbar's real name is Ferdinand Lewis Alcindor Jr.</t>
  </si>
  <si>
    <t>what countries fall in eastern europe?</t>
  </si>
  <si>
    <t>Some countries that fall in Eastern Europe are Russia, Ukraine, Poland, Hungary, Romania, and Bulgaria.</t>
  </si>
  <si>
    <t>what are taylor swift's albums?</t>
  </si>
  <si>
    <t>Taylor Swift has released the following albums:
1. Taylor Swift
2. Fearless
3. Speak Now
4. Red
5. 1989
6. Reputation
7. Lover
8. Folklore
9. Evermore</t>
  </si>
  <si>
    <t>who is the prime minister of ethiopia now?</t>
  </si>
  <si>
    <t>As of my knowledge, the current Prime Minister of Ethiopia is Abiy Ahmed Ali.</t>
  </si>
  <si>
    <t>when was mary poppins made?</t>
  </si>
  <si>
    <t>Mary Poppins was made in 1964.</t>
  </si>
  <si>
    <t>what did king edward vi died from?</t>
  </si>
  <si>
    <t>King Edward VI died from tuberculosis.</t>
  </si>
  <si>
    <t>what did robert boyle accomplish?</t>
  </si>
  <si>
    <t>Robert Boyle is known for his accomplishments in the field of chemistry and is considered the founder of modern chemistry. He formulated Boyle's law, which describes the relationship between pressure and volume of a gas at constant temperature.</t>
  </si>
  <si>
    <t>who did johnny bench play for?</t>
  </si>
  <si>
    <t>Johnny Bench played for the Cincinnati Reds.</t>
  </si>
  <si>
    <t>who does the islamic worship?</t>
  </si>
  <si>
    <t>Muslims worship Allah in Islamic worship.</t>
  </si>
  <si>
    <t>where is napoleon buried?</t>
  </si>
  <si>
    <t>Napoleon is buried in Les Invalides in Paris, France.</t>
  </si>
  <si>
    <t>what language do people speak in iceland?</t>
  </si>
  <si>
    <t>The language spoken in Iceland is Icelandic.</t>
  </si>
  <si>
    <t>who sang at the mtv movie awards 2011?</t>
  </si>
  <si>
    <t>Various artists performed at the MTV Movie Awards 2011, including Foo Fighters, Lupe Fiasco, and Trey Songz.</t>
  </si>
  <si>
    <t>where do houston aeros play?</t>
  </si>
  <si>
    <t>The Houston Aeros play at the Toyota Center.</t>
  </si>
  <si>
    <t>what is the new york knicks starting lineup?</t>
  </si>
  <si>
    <t>The New York Knicks starting lineup can vary from game to game, as it depends on the coach's decision and the players' availability. To get the most up-to-date information on the Knicks' starting lineup, it is recommended to check the team's official website or reliable sports news sources.</t>
  </si>
  <si>
    <t>what to see and do in galway ireland?</t>
  </si>
  <si>
    <t>In Galway, Ireland, you can explore the charming streets of the city, visit historical sites like Galway Cathedral and Eyre Square, enjoy traditional Irish music in the pubs, take a walk along the Salthill Promenade, and visit nearby attractions like the Cliffs of Moher and Connemara National Park.</t>
  </si>
  <si>
    <t>what year did brandon roy get drafted?</t>
  </si>
  <si>
    <t>what are the names of michael jackson children?</t>
  </si>
  <si>
    <t>Michael Jackson's children are named Prince Jackson, Paris Jackson, and Prince Michael Jackson II (also known as Blanket).</t>
  </si>
  <si>
    <t>what is pennsylvania's state flower called?</t>
  </si>
  <si>
    <t>Pennsylvania's state flower is called the Mountain Laurel.</t>
  </si>
  <si>
    <t>what book did niccolo machiavelli write?</t>
  </si>
  <si>
    <t>The Prince.</t>
  </si>
  <si>
    <t>what religions are found in australia?</t>
  </si>
  <si>
    <t>Christianity, Islam, Buddhism, Hinduism, Sikhism, Judaism, and various Indigenous Australian spiritual traditions are found in Australia.</t>
  </si>
  <si>
    <t>what college did drew bledsoe?</t>
  </si>
  <si>
    <t>Drew Bledsoe attended Washington State University.</t>
  </si>
  <si>
    <t>where is the mtv headquarters?</t>
  </si>
  <si>
    <t>The MTV headquarters is located in New York City, United States.</t>
  </si>
  <si>
    <t>who does michael vick play for?</t>
  </si>
  <si>
    <t>Michael Vick played for several teams in the NFL, including the Atlanta Falcons, Philadelphia Eagles, New York Jets, and Pittsburgh Steelers.</t>
  </si>
  <si>
    <t>what is guatemala current system of government?</t>
  </si>
  <si>
    <t>Guatemala has a presidential system of government.</t>
  </si>
  <si>
    <t>what is anderson silva trained in?</t>
  </si>
  <si>
    <t>Anderson Silva is trained in mixed martial arts (MMA).</t>
  </si>
  <si>
    <t>what caused the asian currency crisis?</t>
  </si>
  <si>
    <t>The Asian currency crisis was caused by a combination of factors such as speculative attacks, weak financial systems, high levels of debt, and currency pegs that were unsustainable.</t>
  </si>
  <si>
    <t>which countries does russia border?</t>
  </si>
  <si>
    <t>Russia borders the following countries: Norway, Finland, Estonia, Latvia, Lithuania, Poland, Belarus, Ukraine, Georgia, Azerbaijan, Kazakhstan, China, Mongolia, and North Korea.</t>
  </si>
  <si>
    <t>what season did brooke burke won?</t>
  </si>
  <si>
    <t>Brooke Burke won season 7 of Dancing with the Stars.</t>
  </si>
  <si>
    <t>what does pixar produce?</t>
  </si>
  <si>
    <t>Pixar produces animated films.</t>
  </si>
  <si>
    <t>what did emily dickinson die of?</t>
  </si>
  <si>
    <t>Emily Dickinson died of Bright's disease, which is now known as chronic nephritis.</t>
  </si>
  <si>
    <t>who was king or queen after james i?</t>
  </si>
  <si>
    <t>King Charles I.</t>
  </si>
  <si>
    <t>who played lois lane in superman 1?</t>
  </si>
  <si>
    <t>Margot Kidder.</t>
  </si>
  <si>
    <t>what was elie wiesel's father's name?</t>
  </si>
  <si>
    <t>Elie Wiesel's father's name was Shlomo.</t>
  </si>
  <si>
    <t>where is st vincent de paul buried?</t>
  </si>
  <si>
    <t>St. Vincent de Paul is buried in Paris, France.</t>
  </si>
  <si>
    <t>what language do fiji people speak?</t>
  </si>
  <si>
    <t>Fijian.</t>
  </si>
  <si>
    <t>what victoria beckham kids names?</t>
  </si>
  <si>
    <t>Victoria Beckham's children are named Brooklyn, Romeo, Cruz, and Harper.</t>
  </si>
  <si>
    <t>where is new york in the map?</t>
  </si>
  <si>
    <t>New York is located in the northeastern part of the United States.</t>
  </si>
  <si>
    <t>where did france surrender ww2?</t>
  </si>
  <si>
    <t>France surrendered in Compiegne, specifically in the town of Rethondes, at the location of the Compiègne Armistice on June 22, 1940.</t>
  </si>
  <si>
    <t>what did jimmy valvano die with?</t>
  </si>
  <si>
    <t>Jimmy Valvano died of metastatic adenocarcinoma, a type of cancer.</t>
  </si>
  <si>
    <t>what teams did charles barkley?</t>
  </si>
  <si>
    <t>Charles Barkley played for the Philadelphia 76ers, Phoenix Suns, and Houston Rockets.</t>
  </si>
  <si>
    <t>when was bill clinton elected president?</t>
  </si>
  <si>
    <t>Bill Clinton was elected president in 1992.</t>
  </si>
  <si>
    <t>where did giovanni pierluigi da palestrina live?</t>
  </si>
  <si>
    <t>Giovanni Pierluigi da Palestrina lived in Rome, Italy.</t>
  </si>
  <si>
    <t>when was the 2012 calgary stampede?</t>
  </si>
  <si>
    <t>The 2012 Calgary Stampede took place from July 6th to July 15th, 2012.</t>
  </si>
  <si>
    <t>when michael jordan got drafted?</t>
  </si>
  <si>
    <t>Michael Jordan was drafted in 1984.</t>
  </si>
  <si>
    <t>what kind of money do the philippines use?</t>
  </si>
  <si>
    <t>The currency used in the Philippines is the Philippine Peso (PHP).</t>
  </si>
  <si>
    <t>who played dorothy in the wizard of oz movie?</t>
  </si>
  <si>
    <t>Judy Garland.</t>
  </si>
  <si>
    <t>who does marion barber play 4?</t>
  </si>
  <si>
    <t>Marion Barber played for the Dallas Cowboys.</t>
  </si>
  <si>
    <t>what college did james franco go to?</t>
  </si>
  <si>
    <t>James Franco attended UCLA (University of California, Los Angeles).</t>
  </si>
  <si>
    <t>how many teams are there in the ncaa football?</t>
  </si>
  <si>
    <t>There are 130 teams in NCAA football.</t>
  </si>
  <si>
    <t>who is garrett pretty little liars?</t>
  </si>
  <si>
    <t>Garrett Reynolds is a character in the television show Pretty Little Liars.</t>
  </si>
  <si>
    <t>what type of currency should i take to mexico?</t>
  </si>
  <si>
    <t>Mexican Pesos.</t>
  </si>
  <si>
    <t>what did lucille ball die of?</t>
  </si>
  <si>
    <t>Lucille Ball died of an aortic rupture.</t>
  </si>
  <si>
    <t>what religion was john f kennedy?</t>
  </si>
  <si>
    <t>John F. Kennedy was a Roman Catholic.</t>
  </si>
  <si>
    <t>where was the earthquake in chile 2010?</t>
  </si>
  <si>
    <t>The earthquake in Chile in 2010 occurred primarily in the Maule region.</t>
  </si>
  <si>
    <t>what style of art does andy warhol do?</t>
  </si>
  <si>
    <t>Pop art.</t>
  </si>
  <si>
    <t>what movies did ron howard do?</t>
  </si>
  <si>
    <t>Ron Howard directed movies such as "Apollo 13," "A Beautiful Mind," and "The Da Vinci Code."</t>
  </si>
  <si>
    <t>what county is charlotte north carolina?</t>
  </si>
  <si>
    <t>Mecklenburg County.</t>
  </si>
  <si>
    <t>what type of government and economic system does the united states have?</t>
  </si>
  <si>
    <t>The United States has a representative democracy as its form of government and a mixed economic system.</t>
  </si>
  <si>
    <t>who is michelle obama?</t>
  </si>
  <si>
    <t>Michelle Obama is a lawyer, writer, and former First Lady of the United States, married to former President Barack Obama.</t>
  </si>
  <si>
    <t>where did kate middleton go to prep school?</t>
  </si>
  <si>
    <t>Kate Middleton went to Marlborough College for prep school.</t>
  </si>
  <si>
    <t>what type of government does nigeria have today?</t>
  </si>
  <si>
    <t>Nigeria has a federal presidential representative democratic republic.</t>
  </si>
  <si>
    <t>what did hans oersted discovered in 1819?</t>
  </si>
  <si>
    <t>Hans Oersted discovered electromagnetism in 1819.</t>
  </si>
  <si>
    <t>what is the very first harry potter book?</t>
  </si>
  <si>
    <t>The very first Harry Potter book is "Harry Potter and the Philosopher's Stone" (or "Harry Potter and the Sorcerer's Stone" in the US).</t>
  </si>
  <si>
    <t>what kourtney kardashian name her daughter?</t>
  </si>
  <si>
    <t>Kourtney Kardashian named her daughter Penelope.</t>
  </si>
  <si>
    <t>when did the lions last win a thanksgiving game?</t>
  </si>
  <si>
    <t>The Lions last won a Thanksgiving game in 2016.</t>
  </si>
  <si>
    <t>what kind of government does chile have today?</t>
  </si>
  <si>
    <t>Chile has a presidential republic form of government today.</t>
  </si>
  <si>
    <t>where did richard arkwright die?</t>
  </si>
  <si>
    <t>Richard Arkwright died in Cromford, Derbyshire, England.</t>
  </si>
  <si>
    <t>who played luke skywalker in star wars episode 4?</t>
  </si>
  <si>
    <t>Mark Hamill.</t>
  </si>
  <si>
    <t>what movies has taylor lautner?</t>
  </si>
  <si>
    <t>Taylor Lautner has starred in movies such as "Twilight," "Abduction," and "The Adventures of Sharkboy and Lavagirl in 3-D."</t>
  </si>
  <si>
    <t>where does sam bradford play?</t>
  </si>
  <si>
    <t>Sam Bradford plays as a quarterback in the NFL.</t>
  </si>
  <si>
    <t>where did vietnam originate?</t>
  </si>
  <si>
    <t>Vietnam originated in Southeast Asia.</t>
  </si>
  <si>
    <t>what was the first newspaper called in australia?</t>
  </si>
  <si>
    <t>The first newspaper in Australia was called the Sydney Gazette and New South Wales Advertiser.</t>
  </si>
  <si>
    <t>where was hackney 2012 held?</t>
  </si>
  <si>
    <t>Hackney 2012 was held in the London Borough of Hackney, England.</t>
  </si>
  <si>
    <t>where does the st louis rams play football?</t>
  </si>
  <si>
    <t>The St. Louis Rams play football at the Dome at America's Center.</t>
  </si>
  <si>
    <t>what year did scottie pippen come into the nba?</t>
  </si>
  <si>
    <t>Scottie Pippen came into the NBA in 1987.</t>
  </si>
  <si>
    <t>where are you if you re in zagreb?</t>
  </si>
  <si>
    <t>If you are in Zagreb, you are in the capital city of Croatia.</t>
  </si>
  <si>
    <t>which country has won the cricket world cup the most times?</t>
  </si>
  <si>
    <t>Australia has won the Cricket World Cup the most times, with a total of 5 victories.</t>
  </si>
  <si>
    <t>what city was selena gomez born in?</t>
  </si>
  <si>
    <t>Selena Gomez was born in Grand Prairie, Texas.</t>
  </si>
  <si>
    <t>who does dominic monaghan play in lord of the rings?</t>
  </si>
  <si>
    <t>Dominic Monaghan plays the character of Merry Brandybuck in "The Lord of the Rings" trilogy.</t>
  </si>
  <si>
    <t>which country does south africa border 2 the north?</t>
  </si>
  <si>
    <t>South Africa borders Namibia to the north.</t>
  </si>
  <si>
    <t>who sang for pink floyd?</t>
  </si>
  <si>
    <t>Roger Waters, David Gilmour, Syd Barrett, and Richard Wright all sang for Pink Floyd at different times.</t>
  </si>
  <si>
    <t>who played john connor friend in terminator 2?</t>
  </si>
  <si>
    <t>Edward Furlong.</t>
  </si>
  <si>
    <t>what is the current time in nigeria lagos?</t>
  </si>
  <si>
    <t>I'm sorry, I am not currently able to provide real-time information.</t>
  </si>
  <si>
    <t>what shows did henry winkler produce?</t>
  </si>
  <si>
    <t>Henry Winkler has produced several shows, including "MacGyver," "Hollywood Squares," and "Dead Man's Gun."</t>
  </si>
  <si>
    <t>what state was texaco gas founded?</t>
  </si>
  <si>
    <t>Texaco gas was founded in the state of Texas.</t>
  </si>
  <si>
    <t>what is the official language of china and 3 other dialects?</t>
  </si>
  <si>
    <t>The official language of China is Standard Mandarin, and three other commonly spoken dialects are Cantonese, Shanghainese, and Hokkien.</t>
  </si>
  <si>
    <t>who is the senator of connecticut 2010?</t>
  </si>
  <si>
    <t>The senator of Connecticut in 2010 was Richard Blumenthal.</t>
  </si>
  <si>
    <t>when was the last time the dallas cowboys went to the super bowl?</t>
  </si>
  <si>
    <t>The Dallas Cowboys last went to the Super Bowl in 1995.</t>
  </si>
  <si>
    <t>what episode does rukia fade away?</t>
  </si>
  <si>
    <t>Rukia does not fade away in any episode of the anime.</t>
  </si>
  <si>
    <t>what is brazil time zone?</t>
  </si>
  <si>
    <t>Brazil is located in four different time zones: Brasília Time (BRT) in most of the country, Amazon Time (AMT) in the western part of the country, Fernando de Noronha Time (FNT) in the Fernando de Noronha archipelago, and Brasília Summer Time (BRST) during daylight saving time.</t>
  </si>
  <si>
    <t>who wrote john 3 16 in the bible?</t>
  </si>
  <si>
    <t>The author of John 3:16 in the Bible is the apostle John.</t>
  </si>
  <si>
    <t>what do people in the czech republic speak?</t>
  </si>
  <si>
    <t>Czech.</t>
  </si>
  <si>
    <t>where did bruno mars get his start?</t>
  </si>
  <si>
    <t>Bruno Mars got his start in the music industry by performing in various venues and as a songwriter and producer for other artists.</t>
  </si>
  <si>
    <t>who was tex beneke?</t>
  </si>
  <si>
    <t>Tex Beneke was an American musician and bandleader, best known for his time as the tenor saxophone player and vocalist for the Glenn Miller Orchestra.</t>
  </si>
  <si>
    <t>what are all the things thomas edison invented?</t>
  </si>
  <si>
    <t>Thomas Edison invented many things, including the phonograph, the motion picture camera, and the practical electric light bulb.</t>
  </si>
  <si>
    <t>what does albania speak?</t>
  </si>
  <si>
    <t>Albania primarily speaks Albanian.</t>
  </si>
  <si>
    <t>what is shakira's nationality?</t>
  </si>
  <si>
    <t>Shakira is Colombian.</t>
  </si>
  <si>
    <t>where did the sultan of the ottoman empire live?</t>
  </si>
  <si>
    <t>The sultan of the Ottoman Empire lived in the Topkapi Palace.</t>
  </si>
  <si>
    <t>who is playing bilbo baggins?</t>
  </si>
  <si>
    <t>Martin Freeman.</t>
  </si>
  <si>
    <t>what position did george washington serve in the constitutional convention?</t>
  </si>
  <si>
    <t>George Washington served as the presiding officer of the Constitutional Convention.</t>
  </si>
  <si>
    <t>where is the 2012 ncaa basketball tournament?</t>
  </si>
  <si>
    <t>The 2012 NCAA basketball tournament was held at various locations across the United States.</t>
  </si>
  <si>
    <t>what episode did kate leave ncis?</t>
  </si>
  <si>
    <t>Kate left NCIS in the season 2 finale, which is episode 23 titled "Twilight."</t>
  </si>
  <si>
    <t>where are the seneca indians now?</t>
  </si>
  <si>
    <t>The Seneca Indians are primarily located in western New York and Ontario, Canada.</t>
  </si>
  <si>
    <t>what did farrah dad do?</t>
  </si>
  <si>
    <t>I am sorry, but I do not have any information on Farrah's dad as the name provided is not specific enough.</t>
  </si>
  <si>
    <t>where did matt barnes play?</t>
  </si>
  <si>
    <t>Matt Barnes played for several teams in the NBA, including the Sacramento Kings, Golden State Warriors, Los Angeles Clippers, and Memphis Grizzlies.</t>
  </si>
  <si>
    <t>where does the jordan river begin?</t>
  </si>
  <si>
    <t>The Jordan River begins at the base of Mount Hermon.</t>
  </si>
  <si>
    <t>what college did lil wayne graduated from?</t>
  </si>
  <si>
    <t>Lil Wayne did not graduate from college.</t>
  </si>
  <si>
    <t>where did rihanna come from?</t>
  </si>
  <si>
    <t>Rihanna comes from Barbados.</t>
  </si>
  <si>
    <t>who does kurt busch drive for now?</t>
  </si>
  <si>
    <t>Kurt Busch currently drives for Chip Ganassi Racing.</t>
  </si>
  <si>
    <t>what years did the knicks win the championship?</t>
  </si>
  <si>
    <t>The Knicks won the championship in 1970 and 1973.</t>
  </si>
  <si>
    <t>what is the time zone in uk now?</t>
  </si>
  <si>
    <t>The time zone in the UK is Greenwich Mean Time (GMT) or British Summer Time (BST) during daylight saving time.</t>
  </si>
  <si>
    <t>what does dustin diamond do now?</t>
  </si>
  <si>
    <t>Dustin Diamond is currently deceased. He passed away on February 1, 2021.</t>
  </si>
  <si>
    <t>what state did thomas jefferson live in?</t>
  </si>
  <si>
    <t>Virginia.</t>
  </si>
  <si>
    <t>where are google headquarters located?</t>
  </si>
  <si>
    <t>The Google headquarters are located in Mountain View, California, United States.</t>
  </si>
  <si>
    <t>who is princess leia?</t>
  </si>
  <si>
    <t>Princess Leia is a fictional character from the Star Wars franchise.</t>
  </si>
  <si>
    <t>what was richard wright known for?</t>
  </si>
  <si>
    <t>Richard Wright was known for being an influential American writer and author of the novel "Native Son."</t>
  </si>
  <si>
    <t>where is the nascar hall of fame?</t>
  </si>
  <si>
    <t>The NASCAR Hall of Fame is located in Charlotte, North Carolina.</t>
  </si>
  <si>
    <t>what do australia call their money?</t>
  </si>
  <si>
    <t>Australia calls their money "Australian dollars".</t>
  </si>
  <si>
    <t>what was the name of wright brothers plane?</t>
  </si>
  <si>
    <t>The name of the Wright Brothers' plane was the Wright Flyer.</t>
  </si>
  <si>
    <t>where is located university of leeds?</t>
  </si>
  <si>
    <t>The University of Leeds is located in Leeds, West Yorkshire, England.</t>
  </si>
  <si>
    <t>who is gilbert gottfried snl?</t>
  </si>
  <si>
    <t>Gilbert Gottfried is a comedian who was a cast member on Saturday Night Live (SNL) for a short period in the 1980s.</t>
  </si>
  <si>
    <t>what language do they denmark?</t>
  </si>
  <si>
    <t>The official language of Denmark is Danish.</t>
  </si>
  <si>
    <t>what did martin luther do?</t>
  </si>
  <si>
    <t>Martin Luther was a German monk, theologian, and key figure in the Protestant Reformation.</t>
  </si>
  <si>
    <t>what team did grover cleveland alexander play for?</t>
  </si>
  <si>
    <t>Grover Cleveland Alexander played for the Philadelphia Phillies, the Chicago Cubs, and the St. Louis Cardinals.</t>
  </si>
  <si>
    <t>what was eli whitney nationality?</t>
  </si>
  <si>
    <t>Eli Whitney was American.</t>
  </si>
  <si>
    <t>what was christiaan barnard famous for?</t>
  </si>
  <si>
    <t>Christiaan Barnard was famous for performing the world's first successful human-to-human heart transplant in 1967.</t>
  </si>
  <si>
    <t>where was dwight d. eisenhower from?</t>
  </si>
  <si>
    <t>Dwight D. Eisenhower was from the United States.</t>
  </si>
  <si>
    <t>where do audi come from?</t>
  </si>
  <si>
    <t>Audi originates from Germany.</t>
  </si>
  <si>
    <t>what team is chris paul on?</t>
  </si>
  <si>
    <t>Chris Paul is currently on the Phoenix Suns.</t>
  </si>
  <si>
    <t>what to do washington dc december?</t>
  </si>
  <si>
    <t>In December, you can visit holiday markets, see the National Christmas Tree, explore the National Gallery of Art, and take a tour of the US Capitol.</t>
  </si>
  <si>
    <t>what language is spoken in singapore?</t>
  </si>
  <si>
    <t>The official languages spoken in Singapore are English, Malay, Mandarin, and Tamil.</t>
  </si>
  <si>
    <t>who is sanjay gupta married too?</t>
  </si>
  <si>
    <t>Sanjay Gupta is married to Rebecca Olson Gupta.</t>
  </si>
  <si>
    <t>what do singapore speak?</t>
  </si>
  <si>
    <t>Singaporeans speak several languages, including English, Malay, Mandarin, and Tamil.</t>
  </si>
  <si>
    <t>what movies did luke perry play in?</t>
  </si>
  <si>
    <t>Luke Perry played in movies such as "8 Seconds," "Buffy the Vampire Slayer," and "The Fifth Element," among others.</t>
  </si>
  <si>
    <t>who wrote the book of st. john?</t>
  </si>
  <si>
    <t>The book of St. John was written by the apostle John.</t>
  </si>
  <si>
    <t>who is kobe bryant dad?</t>
  </si>
  <si>
    <t>Kobe Bryant's father is Joe Bryant.</t>
  </si>
  <si>
    <t>what continent does israel belong to?</t>
  </si>
  <si>
    <t>Asia.</t>
  </si>
  <si>
    <t>what is the capital city of albania?</t>
  </si>
  <si>
    <t>Tirana.</t>
  </si>
  <si>
    <t>where is thomas jefferson's home?</t>
  </si>
  <si>
    <t>Thomas Jefferson's home is located in Virginia, United States. It is called Monticello.</t>
  </si>
  <si>
    <t>what is wentworth miller in?</t>
  </si>
  <si>
    <t>Wentworth Miller is an actor known for his role in the television series "Prison Break."</t>
  </si>
  <si>
    <t>what is the capital of spain in 2010?</t>
  </si>
  <si>
    <t>Madrid.</t>
  </si>
  <si>
    <t>who killed harvey milk?</t>
  </si>
  <si>
    <t>Dan White</t>
  </si>
  <si>
    <t>what was the title of the first book dr. seuss wrote?</t>
  </si>
  <si>
    <t>The title of the first book Dr. Seuss wrote was "And to Think That I Saw It on Mulberry Street."</t>
  </si>
  <si>
    <t>who owns nissan car manufacturer?</t>
  </si>
  <si>
    <t>The current owner of Nissan is Nissan Motor Co., Ltd.</t>
  </si>
  <si>
    <t>where is the university of west alabama located?</t>
  </si>
  <si>
    <t>The University of West Alabama is located in Livingston, Alabama.</t>
  </si>
  <si>
    <t>what did kenny everett die off?</t>
  </si>
  <si>
    <t>Kenny Everett died of AIDS complications.</t>
  </si>
  <si>
    <t>what main language do they speak in brazil?</t>
  </si>
  <si>
    <t>The main language spoken in Brazil is Portuguese.</t>
  </si>
  <si>
    <t>where does joey king live?</t>
  </si>
  <si>
    <t>Joey King lives in Los Angeles, California.</t>
  </si>
  <si>
    <t>what happened to justin bieber 2012?</t>
  </si>
  <si>
    <t>In 2012, Justin Bieber released his album "Believe" and went on a successful world tour.</t>
  </si>
  <si>
    <t>how many australian states and territories?</t>
  </si>
  <si>
    <t>Australia has 6 states and 2 territories.</t>
  </si>
  <si>
    <t>what was manchester united first name?</t>
  </si>
  <si>
    <t>Newton Heath LYR Football Club</t>
  </si>
  <si>
    <t>who is the governor of hawaii now?</t>
  </si>
  <si>
    <t>The governor of Hawaii is David Ige.</t>
  </si>
  <si>
    <t>when did herbert hoover become president?</t>
  </si>
  <si>
    <t>Herbert Hoover became president in 1929.</t>
  </si>
  <si>
    <t>where did elvis presley started his career?</t>
  </si>
  <si>
    <t>Elvis Presley started his career in Memphis, Tennessee.</t>
  </si>
  <si>
    <t>what happened vince mcmahon?</t>
  </si>
  <si>
    <t>Vince McMahon is the chairman and CEO of WWE (World Wrestling Entertainment).</t>
  </si>
  <si>
    <t>what jobs did harriet tubman have?</t>
  </si>
  <si>
    <t>Harriet Tubman had several jobs including nurse, cook, and laundress.</t>
  </si>
  <si>
    <t>where does unesco operate?</t>
  </si>
  <si>
    <t>UNESCO operates worldwide.</t>
  </si>
  <si>
    <t>what does canada grow for food?</t>
  </si>
  <si>
    <t>Canada grows a variety of crops for food including wheat, canola, barley, corn, soybeans, fruits, vegetables, and dairy products.</t>
  </si>
  <si>
    <t>where in the bible does it talk about david?</t>
  </si>
  <si>
    <t>The story of David is found in the Old Testament, specifically in the books of 1 Samuel, 2 Samuel, 1 Kings, and 1 Chronicles.</t>
  </si>
  <si>
    <t>what does amanda seyfried play in?</t>
  </si>
  <si>
    <t>Amanda Seyfried has played in various movies and TV shows, including "Mamma Mia!", "Les Misérables", "Mean Girls", and "Big Love".</t>
  </si>
  <si>
    <t>what language do people speak in iran?</t>
  </si>
  <si>
    <t>Persian.</t>
  </si>
  <si>
    <t>what is the jurisdiction of the us supreme court?</t>
  </si>
  <si>
    <t>The jurisdiction of the US Supreme Court includes cases involving federal law, constitutional issues, and disputes between states.</t>
  </si>
  <si>
    <t>what voice does hank azaria do on the simpsons?</t>
  </si>
  <si>
    <t>Hank Azaria does the voice of multiple characters on The Simpsons, including Moe Szyslak, Apu Nahasapeemapetilon, Chief Wiggum, and Comic Book Guy, among others.</t>
  </si>
  <si>
    <t>who is the leader of japan?</t>
  </si>
  <si>
    <t>The current leader of Japan is Yoshihide Suga.</t>
  </si>
  <si>
    <t>what time zone is the uk in right now?</t>
  </si>
  <si>
    <t>The UK is currently in the Greenwich Mean Time (GMT) or GMT+0 time zone.</t>
  </si>
  <si>
    <t>what instrument does bela fleck play?</t>
  </si>
  <si>
    <t>Bela Fleck plays the banjo.</t>
  </si>
  <si>
    <t>what position does ray allen?</t>
  </si>
  <si>
    <t>Ray Allen is a retired professional basketball player who primarily played as a shooting guard.</t>
  </si>
  <si>
    <t>what branch is made up of the house of representatives?</t>
  </si>
  <si>
    <t>The branch made up of the House of Representatives is the legislative branch.</t>
  </si>
  <si>
    <t>where did kurds originate from?</t>
  </si>
  <si>
    <t>Kurds are believed to have originated from the mountainous regions of Western Iran, Eastern Turkey, Northern Iraq, and parts of Syria.</t>
  </si>
  <si>
    <t>where did chancellorsville battle take place?</t>
  </si>
  <si>
    <t>The Chancellorsville battle took place in Virginia, United States.</t>
  </si>
  <si>
    <t>what year was the cubs last world series?</t>
  </si>
  <si>
    <t>The Chicago Cubs last won the World Series in 2016.</t>
  </si>
  <si>
    <t>who is playing hawkeye in the avengers movie?</t>
  </si>
  <si>
    <t>Jeremy Renner.</t>
  </si>
  <si>
    <t>what country speak english as native language?</t>
  </si>
  <si>
    <t>The country that speaks English as a native language is England.</t>
  </si>
  <si>
    <t>who was king or queen after victoria?</t>
  </si>
  <si>
    <t>King Edward VII</t>
  </si>
  <si>
    <t>what movie did rihanna play in?</t>
  </si>
  <si>
    <t>Rihanna played in the movie "Ocean's 8."</t>
  </si>
  <si>
    <t>when was the last time the oakland raiders were in the super bowl?</t>
  </si>
  <si>
    <t>The Oakland Raiders were last in the Super Bowl in 2003.</t>
  </si>
  <si>
    <t>what religion was mary todd lincoln?</t>
  </si>
  <si>
    <t>Mary Todd Lincoln was raised in the Presbyterian Church but later converted to the Episcopal Church.</t>
  </si>
  <si>
    <t>who is the house of representatives made up of?</t>
  </si>
  <si>
    <t>The House of Representatives is made up of members who are elected by the people.</t>
  </si>
  <si>
    <t>who all has jason kidd played for?</t>
  </si>
  <si>
    <t>Jason Kidd has played for the Dallas Mavericks, Phoenix Suns, New Jersey Nets, and New York Knicks.</t>
  </si>
  <si>
    <t>where is headquarters of verizon?</t>
  </si>
  <si>
    <t>Verizon's headquarters is located in New York City, United States.</t>
  </si>
  <si>
    <t>where is the country of cyprus located?</t>
  </si>
  <si>
    <t>Cyprus is located in the Eastern Mediterranean.</t>
  </si>
  <si>
    <t>who invented dell computer?</t>
  </si>
  <si>
    <t>Michael Dell.</t>
  </si>
  <si>
    <t>where did morgan freeman come from?</t>
  </si>
  <si>
    <t>Morgan Freeman was born in Memphis, Tennessee, United States.</t>
  </si>
  <si>
    <t>where did bob barker grow up?</t>
  </si>
  <si>
    <t>Bob Barker grew up in Darrington, Washington.</t>
  </si>
  <si>
    <t>what are king charles spaniels?</t>
  </si>
  <si>
    <t>King Charles Spaniels are a breed of small toy dogs known for their friendly and affectionate nature.</t>
  </si>
  <si>
    <t>when was the chinese flag designed?</t>
  </si>
  <si>
    <t>The Chinese flag was designed in 1949.</t>
  </si>
  <si>
    <t>where did boston terriers come from?</t>
  </si>
  <si>
    <t>Boston Terriers originated in the United States.</t>
  </si>
  <si>
    <t>what makes einstein smart?</t>
  </si>
  <si>
    <t>Albert Einstein was widely regarded as a genius due to his exceptional intelligence, analytical thinking, imagination, and perseverance in scientific pursuits.</t>
  </si>
  <si>
    <t>who played juni in spy kids 4?</t>
  </si>
  <si>
    <t>Mason Cook.</t>
  </si>
  <si>
    <t>what year did the new york mets start?</t>
  </si>
  <si>
    <t>The New York Mets started in 1962.</t>
  </si>
  <si>
    <t>where did neil gaiman grow up?</t>
  </si>
  <si>
    <t>Neil Gaiman grew up in England.</t>
  </si>
  <si>
    <t>what books did aristotle wrote?</t>
  </si>
  <si>
    <t>Aristotle wrote several books, including "Nicomachean Ethics," "Politics," "Metaphysics," and "Physics," among others.</t>
  </si>
  <si>
    <t>where is eu headquarters located?</t>
  </si>
  <si>
    <t>The headquarters of the European Union is located in Brussels, Belgium.</t>
  </si>
  <si>
    <t>who runs the cornelia marie now?</t>
  </si>
  <si>
    <t>Josh Harris is currently running the Cornelia Marie.</t>
  </si>
  <si>
    <t>where did john muir die?</t>
  </si>
  <si>
    <t>John Muir died in Los Angeles, California.</t>
  </si>
  <si>
    <t>where was selena gomez raised?</t>
  </si>
  <si>
    <t>Selena Gomez was raised in Grand Prairie, Texas.</t>
  </si>
  <si>
    <t>what countries are in the andean region?</t>
  </si>
  <si>
    <t>The countries in the Andean region are Colombia, Ecuador, Peru, Bolivia, and Chile.</t>
  </si>
  <si>
    <t>who created english alphabet?</t>
  </si>
  <si>
    <t>The English alphabet was not created by any single person. It evolved over time from various ancient alphabets, including the Phoenician alphabet.</t>
  </si>
  <si>
    <t>when was the last time the san francisco giants won a world series?</t>
  </si>
  <si>
    <t>The San Francisco Giants last won the World Series in 2014.</t>
  </si>
  <si>
    <t>what airport do you fly into for destin?</t>
  </si>
  <si>
    <t>The airport you fly into for Destin is the Northwest Florida Regional Airport (VPS).</t>
  </si>
  <si>
    <t>who played violet's mother in charlie and the chocolate factory?</t>
  </si>
  <si>
    <t>Helena Bonham Carter.</t>
  </si>
  <si>
    <t>what country was george washington from?</t>
  </si>
  <si>
    <t>George Washington was from the United States.</t>
  </si>
  <si>
    <t>what year did pete rose play?</t>
  </si>
  <si>
    <t>Pete Rose played from 1963 to 1986.</t>
  </si>
  <si>
    <t>where does kyla ross live?</t>
  </si>
  <si>
    <t>I'm sorry, but I don't have access to personal data about individuals unless it has been shared with me in the course of our conversation.</t>
  </si>
  <si>
    <t>when did allen iverson get drafted?</t>
  </si>
  <si>
    <t>Allen Iverson was drafted in 1996.</t>
  </si>
  <si>
    <t>what does jackson browne sing?</t>
  </si>
  <si>
    <t>Jackson Browne sings folk rock music.</t>
  </si>
  <si>
    <t>who plays ferris bueller's best friend?</t>
  </si>
  <si>
    <t>Alan Ruck.</t>
  </si>
  <si>
    <t>what has anna kendrick been in?</t>
  </si>
  <si>
    <t>Anna Kendrick has been in movies such as "Pitch Perfect," "Up in the Air," "The Twilight Saga," and "Into the Woods."</t>
  </si>
  <si>
    <t>what are the major imports of the united states?</t>
  </si>
  <si>
    <t>Some major imports of the United States include automobiles, petroleum and petroleum products, electronic equipment, and pharmaceuticals.</t>
  </si>
  <si>
    <t>what are the team colors for the pittsburgh steelers?</t>
  </si>
  <si>
    <t>The team colors for the Pittsburgh Steelers are black and gold.</t>
  </si>
  <si>
    <t>what is the current government system in france?</t>
  </si>
  <si>
    <t>The current government system in France is a semi-presidential republic.</t>
  </si>
  <si>
    <t>what did roy rogers die of?</t>
  </si>
  <si>
    <t>Heart failure.</t>
  </si>
  <si>
    <t>what is calabria italy?</t>
  </si>
  <si>
    <t>Calabria is a region in southern Italy.</t>
  </si>
  <si>
    <t>what did the new orleans hornets used to be?</t>
  </si>
  <si>
    <t>The New Orleans Hornets used to be the Charlotte Hornets.</t>
  </si>
  <si>
    <t>what are the major religions practiced in israel?</t>
  </si>
  <si>
    <t>The major religions practiced in Israel are Judaism, Islam, and Christianity.</t>
  </si>
  <si>
    <t>what does jamaica manufacturer?</t>
  </si>
  <si>
    <t>Jamaica manufactures various goods, including food products, beverages, chemicals, textiles, and automotive parts.</t>
  </si>
  <si>
    <t>what years did andrew jackson run for president?</t>
  </si>
  <si>
    <t>Andrew Jackson ran for president in the years 1824, 1828, 1832, and 1836.</t>
  </si>
  <si>
    <t>what 4 countries make up great britain?</t>
  </si>
  <si>
    <t>England, Scotland, Wales, and Northern Ireland.</t>
  </si>
  <si>
    <t>where did madoff live in nyc?</t>
  </si>
  <si>
    <t>Madoff lived in New York City.</t>
  </si>
  <si>
    <t>how many languages are there in the philippines?</t>
  </si>
  <si>
    <t>There are more than 170 languages in the Philippines.</t>
  </si>
  <si>
    <t>what song is monifah famous for?</t>
  </si>
  <si>
    <t>Monifah is famous for the song "Touch It".</t>
  </si>
  <si>
    <t>who did heinrich himmler marry?</t>
  </si>
  <si>
    <t>Heinrich Himmler married Margarete Boden.</t>
  </si>
  <si>
    <t>who carries sherwin williams paint?</t>
  </si>
  <si>
    <t>Sherwin Williams paint is carried by Sherwin Williams stores.</t>
  </si>
  <si>
    <t>who was josh groban in crazy stupid love?</t>
  </si>
  <si>
    <t>Josh Groban played the character Richard in the movie "Crazy, Stupid, Love."</t>
  </si>
  <si>
    <t>where is the columbia university located?</t>
  </si>
  <si>
    <t>Columbia University is located in New York City, United States.</t>
  </si>
  <si>
    <t>what team does kris humphries play for in 2011?</t>
  </si>
  <si>
    <t>In 2011, Kris Humphries played for the New Jersey Nets.</t>
  </si>
  <si>
    <t>what did the scientist thomson discover?</t>
  </si>
  <si>
    <t>The scientist Thomson discovered the electron.</t>
  </si>
  <si>
    <t>where did john boehner come from?</t>
  </si>
  <si>
    <t>John Boehner came from Cincinnati, Ohio.</t>
  </si>
  <si>
    <t>where did martin luther king junior go to college?</t>
  </si>
  <si>
    <t>Martin Luther King Jr. attended Morehouse College.</t>
  </si>
  <si>
    <t>who was carrie underwood in soul surfer?</t>
  </si>
  <si>
    <t>Carrie Underwood portrayed the character Sarah Hill in the movie Soul Surfer.</t>
  </si>
  <si>
    <t>who plays lois griffin in family guy?</t>
  </si>
  <si>
    <t>Alex Borstein</t>
  </si>
  <si>
    <t>what did julian fellowes write?</t>
  </si>
  <si>
    <t>Julian Fellowes is a British screenwriter, novelist, and actor. He is best known for creating and writing the television series "Downton Abbey."</t>
  </si>
  <si>
    <t>where does selena gomez live map?</t>
  </si>
  <si>
    <t>Selena Gomez's current residence is not publicly disclosed.</t>
  </si>
  <si>
    <t>who does the islam worship?</t>
  </si>
  <si>
    <t>Muslims worship Allah.</t>
  </si>
  <si>
    <t>who was married to lance armstrong?</t>
  </si>
  <si>
    <t>Sheryl Crow.</t>
  </si>
  <si>
    <t>what is venus named for?</t>
  </si>
  <si>
    <t>Venus is named after the Roman goddess of love and beauty.</t>
  </si>
  <si>
    <t>who did john fox coach for?</t>
  </si>
  <si>
    <t>John Fox coached for multiple teams in the NFL, including the Denver Broncos and the Carolina Panthers.</t>
  </si>
  <si>
    <t>where are the nuclear plants in uk?</t>
  </si>
  <si>
    <t>The nuclear plants in the UK are located at various sites, including Hinkley Point, Sizewell, Dungeness, and Hunterston.</t>
  </si>
  <si>
    <t>what years have the dodgers won the world series?</t>
  </si>
  <si>
    <t>The Dodgers have won the World Series in the years 1955, 1959, 1963, 1965, 1981, 1988, and 2020.</t>
  </si>
  <si>
    <t>what did farrah have surgery for?</t>
  </si>
  <si>
    <t>Farrah had surgery for breast augmentation.</t>
  </si>
  <si>
    <t>who was the leader of the soviet union in 1945?</t>
  </si>
  <si>
    <t>Joseph Stalin</t>
  </si>
  <si>
    <t>who does john beck play for?</t>
  </si>
  <si>
    <t>I'm sorry, but I am not able to provide current information about individuals.</t>
  </si>
  <si>
    <t>what god do catholics believe in?</t>
  </si>
  <si>
    <t>Catholics believe in God.</t>
  </si>
  <si>
    <t>what movies have kenya moore produced?</t>
  </si>
  <si>
    <t>Kenya Moore has produced two movies: "The Confidant" and "Trapped: Haitian Nights."</t>
  </si>
  <si>
    <t>where did robbie hummel go to high school?</t>
  </si>
  <si>
    <t>Robbie Hummel went to high school at Valparaiso High School.</t>
  </si>
  <si>
    <t>what year did the cleveland indians go to the world series?</t>
  </si>
  <si>
    <t>The Cleveland Indians went to the World Series in the years 1995 and 1997.</t>
  </si>
  <si>
    <t>who owns the cleveland browns?</t>
  </si>
  <si>
    <t>Jimmy Haslam owns the Cleveland Browns.</t>
  </si>
  <si>
    <t>what language do jewish speak?</t>
  </si>
  <si>
    <t>Jewish people speak many different languages depending on where they come from and their cultural background. Some common languages among Jewish communities include Hebrew, Yiddish, Ladino, and various local languages from different regions.</t>
  </si>
  <si>
    <t>what legal system does germany use?</t>
  </si>
  <si>
    <t>Germany uses a civil law legal system.</t>
  </si>
  <si>
    <t>who does danneel harris play on one tree hill?</t>
  </si>
  <si>
    <t>Danneel Harris plays the character Rachel Gatina on One Tree Hill.</t>
  </si>
  <si>
    <t>what inspired michelangelo?</t>
  </si>
  <si>
    <t>The Renaissance movement and classical art inspired Michelangelo.</t>
  </si>
  <si>
    <t>what battle did germany surrender in ww2?</t>
  </si>
  <si>
    <t>The Battle of Berlin.</t>
  </si>
  <si>
    <t>who was the colts coach in 2011?</t>
  </si>
  <si>
    <t>The Colts coach in 2011 was Jim Caldwell.</t>
  </si>
  <si>
    <t>what airport is closer to downtown houston?</t>
  </si>
  <si>
    <t>The airport closest to downtown Houston is William P. Hobby Airport (HOU).</t>
  </si>
  <si>
    <t>where does liz mcclarnon live?</t>
  </si>
  <si>
    <t>I am sorry, but I don't have access to personal information about individuals unless it has been shared with me in the course of our conversation.</t>
  </si>
  <si>
    <t>what city is fc schalke 04 in?</t>
  </si>
  <si>
    <t>Gelsenkirchen.</t>
  </si>
  <si>
    <t>what system of government is used in south korea?</t>
  </si>
  <si>
    <t>The system of government used in South Korea is a presidential republic.</t>
  </si>
  <si>
    <t>where did giovanni da verrazano come from?</t>
  </si>
  <si>
    <t>Giovanni da Verrazzano came from Italy.</t>
  </si>
  <si>
    <t>what airport is close to daytona beach florida?</t>
  </si>
  <si>
    <t>Daytona Beach International Airport.</t>
  </si>
  <si>
    <t>what was omar epps first movie?</t>
  </si>
  <si>
    <t>Omar Epps' first movie was "Juice" (1992).</t>
  </si>
  <si>
    <t>who did the baltimore ravens draft in 2011?</t>
  </si>
  <si>
    <t>The Baltimore Ravens drafted Jimmy Smith in 2011.</t>
  </si>
  <si>
    <t>who won the governor election in puerto rico?</t>
  </si>
  <si>
    <t>I'm sorry, but I don't have access to current information or news updates.</t>
  </si>
  <si>
    <t>where did william shakespeare perform most of his plays?</t>
  </si>
  <si>
    <t>William Shakespeare performed most of his plays at the Globe Theatre.</t>
  </si>
  <si>
    <t>what group is aubrey o'day in?</t>
  </si>
  <si>
    <t>Aubrey O'Day was in the musical group Danity Kane.</t>
  </si>
  <si>
    <t>what college did joe namath go to?</t>
  </si>
  <si>
    <t>Joe Namath went to the University of Alabama.</t>
  </si>
  <si>
    <t>what wild animals live in colorado?</t>
  </si>
  <si>
    <t>Some wild animals that live in Colorado include bears, mountain lions, elk, moose, bighorn sheep, and coyotes.</t>
  </si>
  <si>
    <t>where is eu parliament?</t>
  </si>
  <si>
    <t>The European Parliament is located in Brussels, Belgium.</t>
  </si>
  <si>
    <t>when does summer start in new england?</t>
  </si>
  <si>
    <t>Summer typically starts in late June in New England.</t>
  </si>
  <si>
    <t>who invented arabic alphabet?</t>
  </si>
  <si>
    <t>The Arabic alphabet was developed by the Arabs themselves, with its origins traced back to the 4th century CE.</t>
  </si>
  <si>
    <t>where was president lyndon johnson from?</t>
  </si>
  <si>
    <t>President Lyndon Johnson was from Texas.</t>
  </si>
  <si>
    <t>what did wagner compose?</t>
  </si>
  <si>
    <t>Richard Wagner composed operas.</t>
  </si>
  <si>
    <t>what language did jewish people speak?</t>
  </si>
  <si>
    <t>Jewish people historically spoke Hebrew and Yiddish.</t>
  </si>
  <si>
    <t>who does michael oher play for in 2009?</t>
  </si>
  <si>
    <t>Michael Oher played for the Baltimore Ravens in 2009.</t>
  </si>
  <si>
    <t>what years did barry bonds play?</t>
  </si>
  <si>
    <t>Barry Bonds played from 1986 to 2007.</t>
  </si>
  <si>
    <t>who played emma frost?</t>
  </si>
  <si>
    <t>January Jones.</t>
  </si>
  <si>
    <t>what does the mayan calendar say about 2012?</t>
  </si>
  <si>
    <t>The Mayan calendar does not specifically mention anything about 2012.</t>
  </si>
  <si>
    <t>what clubs has peter crouch played for?</t>
  </si>
  <si>
    <t>Peter Crouch has played for several clubs, including Tottenham Hotspurs, Liverpool, Portsmouth, and Stoke City.</t>
  </si>
  <si>
    <t>who plays the brother in hannah montana?</t>
  </si>
  <si>
    <t>Jason Earles</t>
  </si>
  <si>
    <t>what team does lamar odom play for 2011?</t>
  </si>
  <si>
    <t>Lamar Odom played for the Dallas Mavericks in 2011.</t>
  </si>
  <si>
    <t>what highschool did tom brady go to?</t>
  </si>
  <si>
    <t>Tom Brady went to Junípero Serra High School.</t>
  </si>
  <si>
    <t>who owns skywest?</t>
  </si>
  <si>
    <t>SkyWest Inc. is publicly traded company, so it is owned by its shareholders.</t>
  </si>
  <si>
    <t>who did michael jordan marry?</t>
  </si>
  <si>
    <t>Michael Jordan married Yvette Prieto.</t>
  </si>
  <si>
    <t>where is the syracuse university?</t>
  </si>
  <si>
    <t>Syracuse University is located in Syracuse, New York.</t>
  </si>
  <si>
    <t>what has mario lopez been in?</t>
  </si>
  <si>
    <t>Mario Lopez has been in various TV shows and movies, including "Saved by the Bell," "Extra," "Dancing with the Stars," and "Pacific Blue."</t>
  </si>
  <si>
    <t>where do logan browning live?</t>
  </si>
  <si>
    <t>It is not publicly disclosed where Logan Browning lives.</t>
  </si>
  <si>
    <t>when did mcdonalds officially open?</t>
  </si>
  <si>
    <t>McDonald's officially opened on April 15, 1955.</t>
  </si>
  <si>
    <t>what team does terrell owens play for this year?</t>
  </si>
  <si>
    <t>Terrell Owens is not currently playing for any team.</t>
  </si>
  <si>
    <t>what to do with kids in halifax?</t>
  </si>
  <si>
    <t>There are several activities and attractions for kids in Halifax. Some options include visiting the Discovery Centre, exploring the Maritime Museum of the Atlantic, enjoying outdoor activities at Point Pleasant Park or the Halifax Public Gardens, and taking a ferry ride to visit McNabs Island or Georges Island.</t>
  </si>
  <si>
    <t>where is lake waynoka ohio?</t>
  </si>
  <si>
    <t>Lake Waynoka is located in Brown County, Ohio.</t>
  </si>
  <si>
    <t>who did jeremy lin sign with?</t>
  </si>
  <si>
    <t>Jeremy Lin signed with the Santa Cruz Warriors.</t>
  </si>
  <si>
    <t>who will sponsor kevin harvick in 2011?</t>
  </si>
  <si>
    <t>Budweiser sponsored Kevin Harvick in 2011.</t>
  </si>
  <si>
    <t>where adidas originate?</t>
  </si>
  <si>
    <t>Adidas originates from Germany.</t>
  </si>
  <si>
    <t>who played emperor palpatine?</t>
  </si>
  <si>
    <t>Ian McDiarmid.</t>
  </si>
  <si>
    <t>what is 2pm est in philippines?</t>
  </si>
  <si>
    <t>2pm EST is 3am in the Philippines.</t>
  </si>
  <si>
    <t>where are the pyramids of giza located?</t>
  </si>
  <si>
    <t>The pyramids of Giza are located in Egypt.</t>
  </si>
  <si>
    <t>when does sally pearson race tonight?</t>
  </si>
  <si>
    <t>I am sorry, but I do not have access to current schedules for specific athletes.</t>
  </si>
  <si>
    <t>who were demeter's brothers and sisters?</t>
  </si>
  <si>
    <t>Demeter's siblings were Zeus, Poseidon, Hades, Hera, and Hestia.</t>
  </si>
  <si>
    <t>what instrument was louis armstrong famous for?</t>
  </si>
  <si>
    <t>trumpet</t>
  </si>
  <si>
    <t>what date did the san francisco giants win the world series?</t>
  </si>
  <si>
    <t>The San Francisco Giants won the World Series in 2014.</t>
  </si>
  <si>
    <t>what province is canada's capital located in?</t>
  </si>
  <si>
    <t>Ontario.</t>
  </si>
  <si>
    <t>on which continent is the usa located?</t>
  </si>
  <si>
    <t>North America.</t>
  </si>
  <si>
    <t>where is singapore on a world map?</t>
  </si>
  <si>
    <t>Singapore is located in Southeast Asia, at the southern tip of the Malay Peninsula.</t>
  </si>
  <si>
    <t>what to see in london in june 2012?</t>
  </si>
  <si>
    <t>Some popular attractions to see in London in June 2012 were the Tower of London, Buckingham Palace, the British Museum, the London Eye, and the West End theater district.</t>
  </si>
  <si>
    <t>what is the main language of israel?</t>
  </si>
  <si>
    <t>The main language of Israel is Hebrew.</t>
  </si>
  <si>
    <t>what college did kerry collins?</t>
  </si>
  <si>
    <t>Kerry Collins attended Pennsylvania State University for college.</t>
  </si>
  <si>
    <t>what did bob ross die of?</t>
  </si>
  <si>
    <t>Bob Ross died of lymphoma on July 4, 1995.</t>
  </si>
  <si>
    <t>who was king hussein?</t>
  </si>
  <si>
    <t>King Hussein was the long-serving king of Jordan from 1952 until his death in 1999.</t>
  </si>
  <si>
    <t>where did martin luther live in?</t>
  </si>
  <si>
    <t>Martin Luther lived in Germany.</t>
  </si>
  <si>
    <t>where is made kia car?</t>
  </si>
  <si>
    <t>Kia cars are made in South Korea.</t>
  </si>
  <si>
    <t>what are all the songs nicki minaj is in?</t>
  </si>
  <si>
    <t>I cannot provide a complete list of all the songs Nicki Minaj is in as it is continuously changing and growing. However, she has collaborated with various artists and released numerous songs as a solo artist.</t>
  </si>
  <si>
    <t>what groups was hitler involved in?</t>
  </si>
  <si>
    <t>Hitler was involved in several groups, including the German Workers' Party (DAP) and later the National Socialist German Workers' Party (NSDAP), also known as the Nazi Party.</t>
  </si>
  <si>
    <t>what college did magic johnson go to?</t>
  </si>
  <si>
    <t>Magic Johnson went to Michigan State University.</t>
  </si>
  <si>
    <t>what kind of language do they speak in greece?</t>
  </si>
  <si>
    <t>Greek.</t>
  </si>
  <si>
    <t>what to see in chicago downtown?</t>
  </si>
  <si>
    <t>Some popular attractions in downtown Chicago are Millennium Park, the Art Institute of Chicago, Navy Pier, and the Magnificent Mile.</t>
  </si>
  <si>
    <t>what kind of money does the philippines use?</t>
  </si>
  <si>
    <t>The Philippines uses the Philippine peso (PHP) as their official currency.</t>
  </si>
  <si>
    <t>what did george eastman make?</t>
  </si>
  <si>
    <t>George Eastman made the Eastman Kodak camera and film.</t>
  </si>
  <si>
    <t>what movies has billy burke been in?</t>
  </si>
  <si>
    <t>Billy Burke has been in movies such as Twilight, Drive Angry, and Lights Out.</t>
  </si>
  <si>
    <t>who was rudolf virchow?</t>
  </si>
  <si>
    <t>Rudolf Virchow was a German physician, pathologist, anthropologist, and politician.</t>
  </si>
  <si>
    <t>who were ulysses s grant and robert e lee?</t>
  </si>
  <si>
    <t>Ulysses S. Grant was the 18th President of the United States and a Union general during the American Civil War. Robert E. Lee was a Confederate general during the American Civil War.</t>
  </si>
  <si>
    <t>what is the last movie brittany murphy made?</t>
  </si>
  <si>
    <t>The last movie Brittany Murphy made was "Something Wicked" in 2014.</t>
  </si>
  <si>
    <t>with which countries does south africa trade?</t>
  </si>
  <si>
    <t>South Africa trades with various countries including China, the United States, Germany, and India.</t>
  </si>
  <si>
    <t>what kind of language do they speak in china?</t>
  </si>
  <si>
    <t>The main language spoken in China is Mandarin Chinese.</t>
  </si>
  <si>
    <t>what office does hillary clinton hold?</t>
  </si>
  <si>
    <t>Hillary Clinton does not currently hold any office.</t>
  </si>
  <si>
    <t>where does portuguese language come from?</t>
  </si>
  <si>
    <t>The Portuguese language comes from the Latin language.</t>
  </si>
  <si>
    <t>what are the major religions in uk?</t>
  </si>
  <si>
    <t>The major religions in the UK are Christianity, Islam, Hinduism, Sikhism, Judaism, and Buddhism.</t>
  </si>
  <si>
    <t>where did jennifer hudson go to school?</t>
  </si>
  <si>
    <t>Jennifer Hudson attended Dunbar Vocational High School in Chicago, Illinois.</t>
  </si>
  <si>
    <t>what type of guitar does john mayer play?</t>
  </si>
  <si>
    <t>John Mayer primarily plays Fender Stratocaster guitars.</t>
  </si>
  <si>
    <t>when did toronto blue jays become a team?</t>
  </si>
  <si>
    <t>The Toronto Blue Jays became a team in 1977.</t>
  </si>
  <si>
    <t>what is the zip code for moorpark ca?</t>
  </si>
  <si>
    <t>The zip code for Moorpark, CA is 93021.</t>
  </si>
  <si>
    <t>what continent is the usa located in?</t>
  </si>
  <si>
    <t>North America</t>
  </si>
  <si>
    <t>what is the currency of spain called?</t>
  </si>
  <si>
    <t>The currency of Spain is called the Euro.</t>
  </si>
  <si>
    <t>which country is to the north of the united states of america?</t>
  </si>
  <si>
    <t>Canada is to the north of the United States of America.</t>
  </si>
  <si>
    <t>what 3 states border the pacific ocean?</t>
  </si>
  <si>
    <t>California, Oregon, and Washington.</t>
  </si>
  <si>
    <t>what did mozart do to become famous?</t>
  </si>
  <si>
    <t>Mozart became famous by composing and performing exceptional classical music.</t>
  </si>
  <si>
    <t>where was avril lavigne born?</t>
  </si>
  <si>
    <t>Avril Lavigne was born in Belleville, Ontario, Canada.</t>
  </si>
  <si>
    <t>what are the 3 official languages of spain?</t>
  </si>
  <si>
    <t>The three official languages of Spain are Spanish, Catalan, and Basque.</t>
  </si>
  <si>
    <t>what type of government does australia currently have?</t>
  </si>
  <si>
    <t>Australia currently has a parliamentary democracy with a constitutional monarchy.</t>
  </si>
  <si>
    <t>which countries do germany border?</t>
  </si>
  <si>
    <t>Germany borders nine countries: Denmark to the north, Poland and the Czech Republic to the east, Austria and Switzerland to the south, France and Luxembourg to the west, and Belgium and the Netherlands to the northwest.</t>
  </si>
  <si>
    <t>what county is tampa located in?</t>
  </si>
  <si>
    <t>Hillsborough County.</t>
  </si>
  <si>
    <t>who has coached the minnesota vikings?</t>
  </si>
  <si>
    <t>Several coaches have coached the Minnesota Vikings throughout the team's history. Some notable coaches include Bud Grant, Dennis Green, Mike Zimmer, and Leslie Frazier.</t>
  </si>
  <si>
    <t>what movies have queen latifah played in?</t>
  </si>
  <si>
    <t>Some movies that Queen Latifah has played in include "Chicago," "Bringing Down the House," and "Girls Trip."</t>
  </si>
  <si>
    <t>what is the short name for stephanie?</t>
  </si>
  <si>
    <t>The short name for Stephanie is Steph.</t>
  </si>
  <si>
    <t>where are they now jessica mcclure?</t>
  </si>
  <si>
    <t>There is limited information available on the current whereabouts of Jessica McClure.</t>
  </si>
  <si>
    <t>what year did tim duncan enter the nba?</t>
  </si>
  <si>
    <t>Tim Duncan entered the NBA in 1997.</t>
  </si>
  <si>
    <t>who played alf on the tv show?</t>
  </si>
  <si>
    <t>Paul Fusco.</t>
  </si>
  <si>
    <t>who was the vice president when bill clinton was in office?</t>
  </si>
  <si>
    <t>Al Gore.</t>
  </si>
  <si>
    <t>which countries does south africa export to?</t>
  </si>
  <si>
    <t>South Africa exports to various countries, including China, the United States, Germany, India, and Japan, among others.</t>
  </si>
  <si>
    <t>what to do in downtown waukesha?</t>
  </si>
  <si>
    <t>Visit the local shops, restaurants, and museums.</t>
  </si>
  <si>
    <t>what other cars does gm make?</t>
  </si>
  <si>
    <t>GM makes various car brands including Chevrolet, GMC, Buick, and Cadillac.</t>
  </si>
  <si>
    <t>who did george lucas get engaged to?</t>
  </si>
  <si>
    <t>George Lucas got engaged to Mellody Hobson.</t>
  </si>
  <si>
    <t>what movies does leo howard play in?</t>
  </si>
  <si>
    <t>Leo Howard has appeared in movies such as "G.I. Joe: The Rise of Cobra" and "Conan the Barbarian."</t>
  </si>
  <si>
    <t>what instruments does john williams use?</t>
  </si>
  <si>
    <t>John Williams uses a variety of instruments in his music, including the orchestra instruments such as string, brass, woodwind, and percussion instruments, as well as keyboards and synthesizers.</t>
  </si>
  <si>
    <t>who does messi play with?</t>
  </si>
  <si>
    <t>Messi currently plays for Paris Saint-Germain (PSG).</t>
  </si>
  <si>
    <t>what is the language spoken in brazil?</t>
  </si>
  <si>
    <t>The language spoken in Brazil is Portuguese.</t>
  </si>
  <si>
    <t>who was johnny cash's first wife?</t>
  </si>
  <si>
    <t>Johnny Cash's first wife was Vivian Liberto.</t>
  </si>
  <si>
    <t>where do tasmanian devils live?</t>
  </si>
  <si>
    <t>Tasmanian devils live in the wild in Tasmania, an island state of Australia.</t>
  </si>
  <si>
    <t>what a city in montana?</t>
  </si>
  <si>
    <t>Billings is a city in Montana.</t>
  </si>
  <si>
    <t>what timezone is toronto canada?</t>
  </si>
  <si>
    <t>Toronto, Canada is in the Eastern Standard Time (EST) timezone.</t>
  </si>
  <si>
    <t>what was the milwaukee brewers old name?</t>
  </si>
  <si>
    <t>The Milwaukee Brewers' old name was the Seattle Pilots.</t>
  </si>
  <si>
    <t>what type of political system does russia have?</t>
  </si>
  <si>
    <t>Russia has a semi-presidential republic system.</t>
  </si>
  <si>
    <t>what is the political system in egypt?</t>
  </si>
  <si>
    <t>The political system in Egypt is a presidential republic.</t>
  </si>
  <si>
    <t>what airport is in kauai hawaii?</t>
  </si>
  <si>
    <t>The airport in Kauai, Hawaii is called Lihue Airport.</t>
  </si>
  <si>
    <t>what is kevin durant play style?</t>
  </si>
  <si>
    <t>Kevin Durant's play style is characterized by his versatility, scoring ability, and shooting skills.</t>
  </si>
  <si>
    <t>where are vw cc made?</t>
  </si>
  <si>
    <t>VW CC is made in Germany.</t>
  </si>
  <si>
    <t>what team chris paul play for?</t>
  </si>
  <si>
    <t>Chris Paul currently plays for the Phoenix Suns.</t>
  </si>
  <si>
    <t>what currency should i take to jamaica?</t>
  </si>
  <si>
    <t>The currency used in Jamaica is the Jamaican dollar.</t>
  </si>
  <si>
    <t>what is illinois state bird?</t>
  </si>
  <si>
    <t>The Illinois state bird is the Northern cardinal.</t>
  </si>
  <si>
    <t>what places can you visit in france?</t>
  </si>
  <si>
    <t>Some popular places to visit in France are Paris, the French Riviera (Cote d'Azur), Bordeaux, Provence, and the Loire Valley.</t>
  </si>
  <si>
    <t>what did richard nixon do for a living before he became president?</t>
  </si>
  <si>
    <t>Richard Nixon was a lawyer before he became president.</t>
  </si>
  <si>
    <t>what three continents touch the atlantic ocean?</t>
  </si>
  <si>
    <t>Africa, Europe, and North America.</t>
  </si>
  <si>
    <t>what language do u speak in egypt?</t>
  </si>
  <si>
    <t>Arabic</t>
  </si>
  <si>
    <t>what teams has lionel messi played for?</t>
  </si>
  <si>
    <t>Lionel Messi has played for FC Barcelona and Paris Saint-Germain (PSG).</t>
  </si>
  <si>
    <t>what countries in north america continent?</t>
  </si>
  <si>
    <t>The countries in the North American continent are Canada, the United States, and Mexico.</t>
  </si>
  <si>
    <t>what time zone is colorado springs co?</t>
  </si>
  <si>
    <t>Colorado Springs, CO is in the Mountain Time Zone (MT).</t>
  </si>
  <si>
    <t>what school did sergio romo go to?</t>
  </si>
  <si>
    <t>Sergio Romo went to the University of North Carolina.</t>
  </si>
  <si>
    <t>who did adam sandler married?</t>
  </si>
  <si>
    <t>Adam Sandler married Jacqueline Titone.</t>
  </si>
  <si>
    <t>when did the name jehovah first appear?</t>
  </si>
  <si>
    <t>The name Jehovah first appeared in the 13th century.</t>
  </si>
  <si>
    <t>who play luke skywalker?</t>
  </si>
  <si>
    <t>Mark Hamill</t>
  </si>
  <si>
    <t>what is the best island to visit in greece?</t>
  </si>
  <si>
    <t>Santorini.</t>
  </si>
  <si>
    <t>where did john howard live?</t>
  </si>
  <si>
    <t>John Howard lived in Australia.</t>
  </si>
  <si>
    <t>what music did beethoven composed?</t>
  </si>
  <si>
    <t>Beethoven composed symphonies, piano sonatas, string quartets, and other classical music.</t>
  </si>
  <si>
    <t>what does the name rome mean?</t>
  </si>
  <si>
    <t>The name Rome refers to the capital city of Italy.</t>
  </si>
  <si>
    <t>what inspired scott fitzgerald?</t>
  </si>
  <si>
    <t>Various aspects of Scott Fitzgerald's life and experiences inspired him, including his own personal struggles, the Roaring Twenties era, and the pursuit of the American Dream.</t>
  </si>
  <si>
    <t>what did george steinbrenner do?</t>
  </si>
  <si>
    <t>George Steinbrenner was the owner of the New York Yankees baseball team.</t>
  </si>
  <si>
    <t>who was hadrian and what did he do?</t>
  </si>
  <si>
    <t>Hadrian was a Roman emperor who ruled from 117 to 138 AD. He is famously known for his extensive building projects, including the construction of Hadrian's Wall in Britain and the Pantheon in Rome. He also focused on consolidating the empire's boundaries, promoting cultural activities, and implementing administrative reforms.</t>
  </si>
  <si>
    <t>what influenced langston hughes to write?</t>
  </si>
  <si>
    <t>The Harlem Renaissance and his experiences as an African American in the United States influenced Langston Hughes to write.</t>
  </si>
  <si>
    <t>where did pablo picasso die?</t>
  </si>
  <si>
    <t>Pablo Picasso died in Mougins, France.</t>
  </si>
  <si>
    <t>what to do in seattle during the summer?</t>
  </si>
  <si>
    <t>Some activities to do in Seattle during the summer include visiting Pike Place Market, exploring the waterfront, hiking in nearby national parks, and going on a ferry ride to one of the nearby islands.</t>
  </si>
  <si>
    <t>where did henry hudson travel?</t>
  </si>
  <si>
    <t>Henry Hudson traveled to various locations, including the North Atlantic Ocean, Hudson Bay, and the Hudson River.</t>
  </si>
  <si>
    <t>who was judy collins married to?</t>
  </si>
  <si>
    <t>Judy Collins was married to Peter Taylor.</t>
  </si>
  <si>
    <t>when was the last time the toronto maple leafs make the playoffs?</t>
  </si>
  <si>
    <t>The Toronto Maple Leafs last made the playoffs in the 2019-2020 NHL season.</t>
  </si>
  <si>
    <t>what do they speak in cambodia?</t>
  </si>
  <si>
    <t>Khmer.</t>
  </si>
  <si>
    <t>what kind of insurance does geico offer?</t>
  </si>
  <si>
    <t>GEICO offers various types of insurance including auto, homeowners, renters, motorcycle, and more.</t>
  </si>
  <si>
    <t>who is the prime minister of new zealand now?</t>
  </si>
  <si>
    <t>Jacinda Ardern.</t>
  </si>
  <si>
    <t>what time is nebraska now?</t>
  </si>
  <si>
    <t>I am sorry, I do not have access to real-time information.</t>
  </si>
  <si>
    <t>what did nick carter sister died of?</t>
  </si>
  <si>
    <t>Nick Carter's sister, Leslie Carter, died of an overdose.</t>
  </si>
  <si>
    <t>who is james dean?</t>
  </si>
  <si>
    <t>James Dean was an American actor.</t>
  </si>
  <si>
    <t>where did bob dylan live?</t>
  </si>
  <si>
    <t>Bob Dylan has lived in various places throughout his life, but he was born and raised in Duluth, Minnesota.</t>
  </si>
  <si>
    <t>who do roman catholics give authority to?</t>
  </si>
  <si>
    <t>Roman Catholics give authority to the Pope, who is considered the head of the Church.</t>
  </si>
  <si>
    <t>where did pres. obama go to school?</t>
  </si>
  <si>
    <t>President Obama went to school at Columbia University and Harvard Law School.</t>
  </si>
  <si>
    <t>who is nina dobrev playing in perks of being a wallflower?</t>
  </si>
  <si>
    <t>Nina Dobrev plays the character Candace Kelmeckis in "The Perks of Being a Wallflower."</t>
  </si>
  <si>
    <t>when did moscow burn?</t>
  </si>
  <si>
    <t>Moscow burned in 1812.</t>
  </si>
  <si>
    <t>what is there to see in barcelona?</t>
  </si>
  <si>
    <t>In Barcelona, there are various attractions to see, including Sagrada Familia, Park Güell, Gothic Quarter, Casa Batlló, and Barceloneta Beach.</t>
  </si>
  <si>
    <t>who is larry ellison oracle?</t>
  </si>
  <si>
    <t>Larry Ellison is the co-founder and former CEO of Oracle Corporation, a multinational computer technology corporation.</t>
  </si>
  <si>
    <t>what is the zip code for fort stockton texas?</t>
  </si>
  <si>
    <t>what teams drafted the morris twins?</t>
  </si>
  <si>
    <t>The Morris twins were drafted by the Phoenix Suns.</t>
  </si>
  <si>
    <t>what state does obama come from?</t>
  </si>
  <si>
    <t>Obama comes from the state of Illinois.</t>
  </si>
  <si>
    <t>who does tim howard play for club?</t>
  </si>
  <si>
    <t>Tim Howard currently plays for the club Memphis 901 FC.</t>
  </si>
  <si>
    <t>what did egyptians speak?</t>
  </si>
  <si>
    <t>The ancient Egyptians spoke the ancient Egyptian language.</t>
  </si>
  <si>
    <t>what is vanderbilt's mascot?</t>
  </si>
  <si>
    <t>The mascot for Vanderbilt University is the Commodore.</t>
  </si>
  <si>
    <t>what did whitney houston die off?</t>
  </si>
  <si>
    <t>Whitney Houston died from accidental drowning in a bathtub, with heart disease and cocaine use as contributing factors.</t>
  </si>
  <si>
    <t>when was george w bush sworn in?</t>
  </si>
  <si>
    <t>George W. Bush was sworn in as the 43rd President of the United States on January 20, 2001.</t>
  </si>
  <si>
    <t>what middle school did barack obama attend?</t>
  </si>
  <si>
    <t>Punahou School.</t>
  </si>
  <si>
    <t>what are the airports in chicago?</t>
  </si>
  <si>
    <t>The airports in Chicago are O'Hare International Airport and Midway International Airport.</t>
  </si>
  <si>
    <t>what was van gogh famous for?</t>
  </si>
  <si>
    <t>Van Gogh was famous for his paintings.</t>
  </si>
  <si>
    <t>where did jane goodall go to school?</t>
  </si>
  <si>
    <t>Jane Goodall went to school at the University of Cambridge.</t>
  </si>
  <si>
    <t>who won 2012 presidential election in france?</t>
  </si>
  <si>
    <t>François Hollande won the 2012 presidential election in France.</t>
  </si>
  <si>
    <t>what does donald trump own?</t>
  </si>
  <si>
    <t>Donald Trump owns various properties, including hotels, golf courses, and real estate.</t>
  </si>
  <si>
    <t>what did thomson discover with his cathode ray tube experiment?</t>
  </si>
  <si>
    <t>Thomson discovered that cathode rays are made up of negatively charged particles, which are now known as electrons.</t>
  </si>
  <si>
    <t>where did emily murphy go to school?</t>
  </si>
  <si>
    <t>Emily Murphy attended Bishop Strachan School in Toronto.</t>
  </si>
  <si>
    <t>what are the major religions in russia?</t>
  </si>
  <si>
    <t>The major religions in Russia are Russian Orthodox Christianity, Islam, Buddhism, and Judaism.</t>
  </si>
  <si>
    <t>what do most nigerians speak?</t>
  </si>
  <si>
    <t>Most Nigerians speak English.</t>
  </si>
  <si>
    <t>who was the general for the british in the revolutionary war?</t>
  </si>
  <si>
    <t>General Charles Cornwallis.</t>
  </si>
  <si>
    <t>what to do at fairfield ca?</t>
  </si>
  <si>
    <t>There are several things to do in Fairfield, CA, including visiting the Jelly Belly Factory, exploring the Anheuser-Busch Brewery, and enjoying outdoor activities at the Fairfield Linear Park.</t>
  </si>
  <si>
    <t>where president nixon was born?</t>
  </si>
  <si>
    <t>President Nixon was born in Yorba Linda, California.</t>
  </si>
  <si>
    <t>what currency does thailand accept?</t>
  </si>
  <si>
    <t>The currency accepted in Thailand is the Thai Baht.</t>
  </si>
  <si>
    <t>what else did eli whitney invent?</t>
  </si>
  <si>
    <t>Eli Whitney also invented the cotton gin.</t>
  </si>
  <si>
    <t>who founded collegehumor?</t>
  </si>
  <si>
    <t>The founders of CollegeHumor were Josh Abramson and Ricky Van Veen.</t>
  </si>
  <si>
    <t>where did barack obama attend school?</t>
  </si>
  <si>
    <t>Barack Obama attended Columbia University and Harvard Law School.</t>
  </si>
  <si>
    <t>what jobs did albert einstein have?</t>
  </si>
  <si>
    <t>Albert Einstein worked as a physicist and mathematician.</t>
  </si>
  <si>
    <t>where to travel around sydney?</t>
  </si>
  <si>
    <t>Some popular places to travel around Sydney are the Blue Mountains, Bondi Beach, Darling Harbour, and the Royal Botanic Garden.</t>
  </si>
  <si>
    <t>what are the names of michael jackson movies?</t>
  </si>
  <si>
    <t>Some famous Michael Jackson movies include "The Wiz" and "Moonwalker."</t>
  </si>
  <si>
    <t>what are the islands of oceania?</t>
  </si>
  <si>
    <t>The islands of Oceania include Australia, Papua New Guinea, New Zealand, Fiji, and many others.</t>
  </si>
  <si>
    <t>what timezone is illinois on?</t>
  </si>
  <si>
    <t>Illinois is on the Central Time Zone.</t>
  </si>
  <si>
    <t>what is the currency in france?</t>
  </si>
  <si>
    <t>The currency in France is the Euro.</t>
  </si>
  <si>
    <t>where is the head office of hsbc bank?</t>
  </si>
  <si>
    <t>The head office of HSBC bank is located in London, United Kingdom.</t>
  </si>
  <si>
    <t>what is the currency in england 2012?</t>
  </si>
  <si>
    <t>The currency in England in 2012 is the British pound (£).</t>
  </si>
  <si>
    <t>where was martin cooper from?</t>
  </si>
  <si>
    <t>Martin Cooper was from Chicago, Illinois.</t>
  </si>
  <si>
    <t>where is spain exactly located?</t>
  </si>
  <si>
    <t>Spain is located in southwestern Europe.</t>
  </si>
  <si>
    <t>what is the currency name of china?</t>
  </si>
  <si>
    <t>The currency name of China is the Chinese yuan or renminbi.</t>
  </si>
  <si>
    <t>what movies did charlie hunnam play in?</t>
  </si>
  <si>
    <t>Charlie Hunnam has appeared in movies such as "Pacific Rim," "Sons of Anarchy: The Movie," "King Arthur: Legend of the Sword," and "The Lost City of Z."</t>
  </si>
  <si>
    <t>what kind of government does italy have?</t>
  </si>
  <si>
    <t>Italy has a parliamentary republic.</t>
  </si>
  <si>
    <t>what medium is the school of athens?</t>
  </si>
  <si>
    <t>The School of Athens is a fresco.</t>
  </si>
  <si>
    <t>what year michael jordan came in the nba?</t>
  </si>
  <si>
    <t>Michael Jordan came into the NBA in 1984.</t>
  </si>
  <si>
    <t>what year did florida marlins win the world series?</t>
  </si>
  <si>
    <t>The Florida Marlins won the World Series in the years 1997 and 2003.</t>
  </si>
  <si>
    <t>what movie did marlee matlin won an academy award for?</t>
  </si>
  <si>
    <t>Marlee Matlin won an Academy Award for the movie "Children of a Lesser God."</t>
  </si>
  <si>
    <t>who is leann rimes with now?</t>
  </si>
  <si>
    <t>I'm sorry, I don't have that information.</t>
  </si>
  <si>
    <t>who is the current leader of china today?</t>
  </si>
  <si>
    <t>The current leader of China is Xi Jinping.</t>
  </si>
  <si>
    <t>where north dakota located?</t>
  </si>
  <si>
    <t>North Dakota is located in the midwestern United States.</t>
  </si>
  <si>
    <t>what countries did queen elizabeth ii rule?</t>
  </si>
  <si>
    <t>Queen Elizabeth II has ruled over the United Kingdom and 15 other Commonwealth realms.</t>
  </si>
  <si>
    <t>who played forrest gump as a kid?</t>
  </si>
  <si>
    <t>Michael Conner Humphreys</t>
  </si>
  <si>
    <t>where was the battle of vicksburg held?</t>
  </si>
  <si>
    <t>The battle of Vicksburg was held in Mississippi, United States.</t>
  </si>
  <si>
    <t>what kind of artist is henri matisse?</t>
  </si>
  <si>
    <t>Henri Matisse was a French painter, sculptor, and printmaker.</t>
  </si>
  <si>
    <t>what are the duggars kids names and ages?</t>
  </si>
  <si>
    <t>The names and ages of the Duggar kids vary, as they have 19 children.</t>
  </si>
  <si>
    <t>where does ben stiller live in ny?</t>
  </si>
  <si>
    <t>Ben Stiller lives in the Upper West Side neighborhood of New York City.</t>
  </si>
  <si>
    <t>what is the official language in mexico?</t>
  </si>
  <si>
    <t>The official language in Mexico is Spanish.</t>
  </si>
  <si>
    <t>what wars did ulysses s grant served in?</t>
  </si>
  <si>
    <t>Ulysses S. Grant served in the Mexican-American War and the American Civil War.</t>
  </si>
  <si>
    <t>who is the head coach of the tennessee titans?</t>
  </si>
  <si>
    <t>The head coach of the Tennessee Titans is Mike Vrabel.</t>
  </si>
  <si>
    <t>what type of government does fiji have?</t>
  </si>
  <si>
    <t>Fiji has a parliamentary democracy.</t>
  </si>
  <si>
    <t>in what state did the bloody battle of antietam take place?</t>
  </si>
  <si>
    <t>The bloody battle of Antietam took place in Maryland.</t>
  </si>
  <si>
    <t>where did vietnamese people originate from?</t>
  </si>
  <si>
    <t>Vietnamese people originated from East Asia.</t>
  </si>
  <si>
    <t>who was dan cody?</t>
  </si>
  <si>
    <t>Dan Cody was a character in F. Scott Fitzgerald's novel "The Great Gatsby." He was a wealthy copper magnate who became Jay Gatsby's mentor and gave him a taste of luxury and high society.</t>
  </si>
  <si>
    <t>what language do people speak in turkey?</t>
  </si>
  <si>
    <t>Turkish.</t>
  </si>
  <si>
    <t>what are all the inventions benjamin franklin made?</t>
  </si>
  <si>
    <t>Some of the inventions made by Benjamin Franklin include the lightning rod, bifocals, and the Franklin stove.</t>
  </si>
  <si>
    <t>what was wrong with joan crawford?</t>
  </si>
  <si>
    <t>There is no definitive answer to what was wrong with Joan Crawford. She had a troubled personal life and reportedly had difficulties with her relationships and mental health.</t>
  </si>
  <si>
    <t>who does debbie dingle go out with?</t>
  </si>
  <si>
    <t>Debbie Dingle currently goes out with Al Chapman.</t>
  </si>
  <si>
    <t>what country was anton van leeuwenhoek from?</t>
  </si>
  <si>
    <t>Netherlands.</t>
  </si>
  <si>
    <t>what is the time in france if it is 8am in scotland?</t>
  </si>
  <si>
    <t>The time in France would be 9am.</t>
  </si>
  <si>
    <t>who played todd manning on one life to live?</t>
  </si>
  <si>
    <t>Roger Howarth played Todd Manning on "One Life to Live."</t>
  </si>
  <si>
    <t>what does latin america consist of?</t>
  </si>
  <si>
    <t>Latin America consists of countries in the Americas that were once colonized by Spain, Portugal, and France, and where Spanish, Portuguese, or French is predominantly spoken.</t>
  </si>
  <si>
    <t>who is the manager of the st louis cardinals?</t>
  </si>
  <si>
    <t>Mike Shildt.</t>
  </si>
  <si>
    <t>where in oregon was stand by me filmed?</t>
  </si>
  <si>
    <t>Stand by Me was filmed in several locations in Oregon, including the cities of Brownsville, Cottage Grove, and Veneta.</t>
  </si>
  <si>
    <t>what country vasco da gama sail for?</t>
  </si>
  <si>
    <t>Portugal.</t>
  </si>
  <si>
    <t>what did writers of the harlem renaissance write about?</t>
  </si>
  <si>
    <t>Writers of the Harlem Renaissance wrote about the experiences and concerns of African Americans.</t>
  </si>
  <si>
    <t>what is the language they speak in jamaica?</t>
  </si>
  <si>
    <t>English</t>
  </si>
  <si>
    <t>where to live in duluth ga?</t>
  </si>
  <si>
    <t>There are many great neighborhoods to consider when deciding where to live in Duluth, GA. Some popular options include Sugarloaf, Peachtree Industrial, and Gwinnett Place.</t>
  </si>
  <si>
    <t>what is the currency in australia 2011?</t>
  </si>
  <si>
    <t>The currency in Australia in 2011 was the Australian dollar.</t>
  </si>
  <si>
    <t>where did prophet daniel died?</t>
  </si>
  <si>
    <t>The exact location of Prophet Daniel's death is not known.</t>
  </si>
  <si>
    <t>what state was theodore roosevelt from?</t>
  </si>
  <si>
    <t>Theodore Roosevelt was from the state of New York.</t>
  </si>
  <si>
    <t>what does the term prima donna mean?</t>
  </si>
  <si>
    <t>The term "prima donna" refers to a highly temperamental or demanding person, especially a talented performer or artist.</t>
  </si>
  <si>
    <t>what form of government does brazil have?</t>
  </si>
  <si>
    <t>Presidential Federal republic.</t>
  </si>
  <si>
    <t>where did lebron james go to highschool?</t>
  </si>
  <si>
    <t>LeBron James went to St. Vincent-St. Mary High School in Akron, Ohio.</t>
  </si>
  <si>
    <t>where was toussaint l'ouverture from?</t>
  </si>
  <si>
    <t>Toussaint L'Ouverture was from Haiti.</t>
  </si>
  <si>
    <t>where do the fla marlins play?</t>
  </si>
  <si>
    <t>The Florida Marlins play at Marlins Park in Miami.</t>
  </si>
  <si>
    <t>what type of art does wassily kandinsky do?</t>
  </si>
  <si>
    <t>Wassily Kandinsky was known for his abstract art.</t>
  </si>
  <si>
    <t>who won london mayoral elections 2012?</t>
  </si>
  <si>
    <t>Boris Johnson.</t>
  </si>
  <si>
    <t>who was arthur miller father?</t>
  </si>
  <si>
    <t>Arthur Miller's father was Isidore Miller.</t>
  </si>
  <si>
    <t>what influenced william morris to be an artist?</t>
  </si>
  <si>
    <t>William Morris was influenced to be an artist by his appreciation for nature, medieval art and literature, and his desire to reform the design and craftsmanship in the Victorian era.</t>
  </si>
  <si>
    <t>where do the abenaki indians live?</t>
  </si>
  <si>
    <t>The Abenaki Indians live in the northeastern United States, primarily in Vermont, New Hampshire, and parts of Maine.</t>
  </si>
  <si>
    <t>what super bowls have the giants won?</t>
  </si>
  <si>
    <t>The Giants have won four Super Bowls.</t>
  </si>
  <si>
    <t>where was rod stewart born?</t>
  </si>
  <si>
    <t>Rod Stewart was born in Highgate, London, England.</t>
  </si>
  <si>
    <t>what did jack kevorkian go to prison for?</t>
  </si>
  <si>
    <t>Jack Kevorkian went to prison for assisting in the suicides of terminally ill patients.</t>
  </si>
  <si>
    <t>which country uses euro as its main currency?</t>
  </si>
  <si>
    <t>Nineteen countries use the euro as their main currency.</t>
  </si>
  <si>
    <t>who is ruling tunisia now?</t>
  </si>
  <si>
    <t>The current ruler of Tunisia is President Kais Saied.</t>
  </si>
  <si>
    <t>who played eowyn in the lord of the rings movies?</t>
  </si>
  <si>
    <t>Miranda Otto.</t>
  </si>
  <si>
    <t>where is the parliament in south africa?</t>
  </si>
  <si>
    <t>The Parliament in South Africa is located in Cape Town.</t>
  </si>
  <si>
    <t>what important office did abraham lincoln hold?</t>
  </si>
  <si>
    <t>The presidency.</t>
  </si>
  <si>
    <t>which country has adopted the euro as its currency ( 1 point )?</t>
  </si>
  <si>
    <t>Germany</t>
  </si>
  <si>
    <t>where did michael jordan play high school basketball?</t>
  </si>
  <si>
    <t>Michael Jordan played high school basketball at Emsley A. Laney High School in Wilmington, North Carolina.</t>
  </si>
  <si>
    <t>what type of cancer did huell howser die of?</t>
  </si>
  <si>
    <t>Huell Howser died of prostate cancer.</t>
  </si>
  <si>
    <t>what timezone is minneapolis in?</t>
  </si>
  <si>
    <t>Minneapolis is in the Central Time Zone.</t>
  </si>
  <si>
    <t>who is aidan davis?</t>
  </si>
  <si>
    <t>Aidan Davis is a dancer and former contestant on Britain's Got Talent.</t>
  </si>
  <si>
    <t>who is samantha gibb?</t>
  </si>
  <si>
    <t>Samantha Gibb is the daughter of Barry Gibb, a member of the Bee Gees.</t>
  </si>
  <si>
    <t>what was nicolaus copernicus occupation?</t>
  </si>
  <si>
    <t>Nicolaus Copernicus was an astronomer and mathematician.</t>
  </si>
  <si>
    <t>what did richard arkwright contribute to the industrial revolution?</t>
  </si>
  <si>
    <t>Richard Arkwright contributed to the Industrial Revolution by inventing the water-powered spinning frame, also known as the water frame.</t>
  </si>
  <si>
    <t>what kind of currency does greece have?</t>
  </si>
  <si>
    <t>The currency of Greece is the Euro.</t>
  </si>
  <si>
    <t>when did manchester united first win a trophy?</t>
  </si>
  <si>
    <t>Manchester United first won a trophy in 1908.</t>
  </si>
  <si>
    <t>where is the mozambique located?</t>
  </si>
  <si>
    <t>Mozambique is located in southeastern Africa.</t>
  </si>
  <si>
    <t>where is isthmus of panama located?</t>
  </si>
  <si>
    <t>The Isthmus of Panama is located in Central America.</t>
  </si>
  <si>
    <t>what to see in washington dc in 2 days?</t>
  </si>
  <si>
    <t>Some popular attractions to see in Washington DC in 2 days are the National Mall, the Lincoln Memorial, the White House, the Smithsonian museums, the Capitol Building, and the Washington Monument.</t>
  </si>
  <si>
    <t>where is azerbaijan?</t>
  </si>
  <si>
    <t>Azerbaijan is a country in the South Caucasus region, located at the crossroads of Eastern Europe and Western Asia.</t>
  </si>
  <si>
    <t>what is the money of argentina called?</t>
  </si>
  <si>
    <t>The currency of Argentina is called the Argentine peso.</t>
  </si>
  <si>
    <t>what college did matt schaub play for?</t>
  </si>
  <si>
    <t>Matt Schaub played college football at the University of Virginia.</t>
  </si>
  <si>
    <t>what did bella abzug do?</t>
  </si>
  <si>
    <t>Bella Abzug was a lawyer, activist, and politician who fought for women's rights and social justice.</t>
  </si>
  <si>
    <t>what sights to see in madrid?</t>
  </si>
  <si>
    <t>Some popular sights to see in Madrid include the Royal Palace, Prado Museum, Retiro Park, Plaza Mayor, and Puerta del Sol.</t>
  </si>
  <si>
    <t>what good things has angelina jolie done?</t>
  </si>
  <si>
    <t>Angelina Jolie has done many good things, such as advocating for refugee rights, promoting women's education and health, and contributing to various humanitarian causes around the world.</t>
  </si>
  <si>
    <t>what films has gerard butler starred in?</t>
  </si>
  <si>
    <t>Some of the films Gerard Butler has starred in include "300," "Law Abiding Citizen," and "The Phantom of the Opera."</t>
  </si>
  <si>
    <t>what films did hans zimmer wrote music for?</t>
  </si>
  <si>
    <t>Hans Zimmer has written music for numerous films including The Lion King, Inception, The Dark Knight trilogy, Pirates of the Caribbean series, and Gladiator, among many others.</t>
  </si>
  <si>
    <t>where was alice paul born?</t>
  </si>
  <si>
    <t>Alice Paul was born in Mount Laurel, New Jersey, United States.</t>
  </si>
  <si>
    <t>what did john quincy adams died of?</t>
  </si>
  <si>
    <t>John Quincy Adams died of a stroke.</t>
  </si>
  <si>
    <t>what is means testing medicare?</t>
  </si>
  <si>
    <t>Means testing Medicare is a process of evaluating an individual's income and assets to determine their eligibility for certain benefits or assistance under the Medicare program.</t>
  </si>
  <si>
    <t>who did juan ponce de leon mary?</t>
  </si>
  <si>
    <t>Juan Ponce de León married a woman named Leonor Ponce de León.</t>
  </si>
  <si>
    <t>what time zone in the uk?</t>
  </si>
  <si>
    <t>The time zone in the UK is Greenwich Mean Time (GMT) during the winter months and British Summer Time (BST) during the summer months.</t>
  </si>
  <si>
    <t>what is the political system in italy?</t>
  </si>
  <si>
    <t>The political system in Italy is a parliamentary republic.</t>
  </si>
  <si>
    <t>who is the leader of france 2012?</t>
  </si>
  <si>
    <t>François Hollande was the leader of France in 2012.</t>
  </si>
  <si>
    <t>who is raquel welch's daughter?</t>
  </si>
  <si>
    <t>Raquel Welch's daughter is Tahnee Welch.</t>
  </si>
  <si>
    <t>what kind of art did leonardo da vinci produce?</t>
  </si>
  <si>
    <t>Leonardo da Vinci produced various types of art, including paintings, sculptures, and drawings.</t>
  </si>
  <si>
    <t>what does the zambezi river flow into?</t>
  </si>
  <si>
    <t>The Zambezi River flows into the Indian Ocean.</t>
  </si>
  <si>
    <t>what states does the connecticut river flow through?</t>
  </si>
  <si>
    <t>The Connecticut River flows through four states: Connecticut, Massachusetts, Vermont, and New Hampshire.</t>
  </si>
  <si>
    <t>what money is used in the maldives?</t>
  </si>
  <si>
    <t>The Maldivian Rufiyaa (MVR) is the currency used in the Maldives.</t>
  </si>
  <si>
    <t>what is anderson cooper?</t>
  </si>
  <si>
    <t>Anderson Cooper is an American television journalist and anchor.</t>
  </si>
  <si>
    <t>where does mike leach coach?</t>
  </si>
  <si>
    <t>Mike Leach currently coaches at Mississippi State University as the head football coach.</t>
  </si>
  <si>
    <t>what is the zip code of new york city?</t>
  </si>
  <si>
    <t>10001-10292</t>
  </si>
  <si>
    <t>what condition does michael j fox have?</t>
  </si>
  <si>
    <t>Michael J. Fox has Parkinson's disease.</t>
  </si>
  <si>
    <t>where did jrr tolkien live?</t>
  </si>
  <si>
    <t>J.R.R. Tolkien lived in England.</t>
  </si>
  <si>
    <t>what are the major languages of italy?</t>
  </si>
  <si>
    <t>Italian is the major language of Italy.</t>
  </si>
  <si>
    <t>what to do in panama city beach fl?</t>
  </si>
  <si>
    <t>There are various activities to do in Panama City Beach, FL such as visiting the beach, exploring St. Andrews State Park, trying water sports like paddleboarding or jet skiing, visiting Shipwreck Island Waterpark, going fishing or boating, exploring Pier Park for shopping and dining, and taking a dolphin or snorkeling tour.</t>
  </si>
  <si>
    <t>what is currency in dominican republic?</t>
  </si>
  <si>
    <t>The currency in the Dominican Republic is the Dominican Peso (DOP).</t>
  </si>
  <si>
    <t>where is san miguel mexico on map?</t>
  </si>
  <si>
    <t>San Miguel, Mexico is located in the central part of the country.</t>
  </si>
  <si>
    <t>where does the tsunami happened in japan?</t>
  </si>
  <si>
    <t>The tsunami happened in Japan on the northeast coast. Specifically, it affected the Tohoku region.</t>
  </si>
  <si>
    <t>where are the great pyramid of giza located?</t>
  </si>
  <si>
    <t>The Great Pyramid of Giza is located in Giza, Egypt.</t>
  </si>
  <si>
    <t>what was liam neeson's character in star wars?</t>
  </si>
  <si>
    <t>Liam Neeson's character in Star Wars was Qui-Gon Jinn.</t>
  </si>
  <si>
    <t>who plays the voice of lois griffin?</t>
  </si>
  <si>
    <t>Alex Borstein.</t>
  </si>
  <si>
    <t>what team does sergio aguero play for?</t>
  </si>
  <si>
    <t>Barcelona.</t>
  </si>
  <si>
    <t>what is the capital of georgia?</t>
  </si>
  <si>
    <t>The capital of Georgia is Tbilisi.</t>
  </si>
  <si>
    <t>when did they stop making ford rangers?</t>
  </si>
  <si>
    <t>Production of Ford Rangers for the US market stopped in December 2011.</t>
  </si>
  <si>
    <t>what color is miley cyrus red hair?</t>
  </si>
  <si>
    <t>Miley Cyrus' hair is orange-red.</t>
  </si>
  <si>
    <t>who is the present chief justice of the u.s. supreme court?</t>
  </si>
  <si>
    <t>The present Chief Justice of the U.S. Supreme Court is John G. Roberts Jr.</t>
  </si>
  <si>
    <t>who is susan st james?</t>
  </si>
  <si>
    <t>Susan St. James is an American actress.</t>
  </si>
  <si>
    <t>what is chris paul's son name?</t>
  </si>
  <si>
    <t>Chris Paul's son's name is Christopher Emmanuel Paul II.</t>
  </si>
  <si>
    <t>what did einstein invent?</t>
  </si>
  <si>
    <t>Albert Einstein is credited with inventing the theory of relativity, which revolutionized our understanding of space, time, and gravity.</t>
  </si>
  <si>
    <t>who does josh hutcherson play in the hunger games?</t>
  </si>
  <si>
    <t>Josh Hutcherson plays the character Peeta Mellark in The Hunger Games.</t>
  </si>
  <si>
    <t>where to eat in miami florida?</t>
  </si>
  <si>
    <t>There are many great restaurants in Miami, Florida. Some popular options include Joe's Stone Crab, Versailles Cuban Restaurant, and Coyo Taco.</t>
  </si>
  <si>
    <t>what is the state flag of colorado called?</t>
  </si>
  <si>
    <t>The state flag of Colorado is called the Colorado state flag.</t>
  </si>
  <si>
    <t>who plays claire in lost?</t>
  </si>
  <si>
    <t>Emilie de Ravin plays Claire in Lost.</t>
  </si>
  <si>
    <t>who are senators from new jersey?</t>
  </si>
  <si>
    <t>Cory Booker and Robert Menendez are the senators from New Jersey.</t>
  </si>
  <si>
    <t>who does jamie campbell bower play in breaking dawn?</t>
  </si>
  <si>
    <t>Jamie Campbell Bower plays the character Caius in Breaking Dawn.</t>
  </si>
  <si>
    <t>what language do denmark?</t>
  </si>
  <si>
    <t>where marie curie come from?</t>
  </si>
  <si>
    <t>Marie Curie came from Poland.</t>
  </si>
  <si>
    <t>who is facebook's founder?</t>
  </si>
  <si>
    <t>Mark Zuckerberg.</t>
  </si>
  <si>
    <t>what kind of money do you use in aruba?</t>
  </si>
  <si>
    <t>Aruba uses the Aruban florin as its currency.</t>
  </si>
  <si>
    <t>what language do people speak in costa rica?</t>
  </si>
  <si>
    <t>The official language spoken in Costa Rica is Spanish.</t>
  </si>
  <si>
    <t>what kind of music does john mayer play?</t>
  </si>
  <si>
    <t>John Mayer plays a mix of pop, rock, blues, and folk music.</t>
  </si>
  <si>
    <t>what is lil wayne real name?</t>
  </si>
  <si>
    <t>Lil Wayne's real name is Dwayne Michael Carter Jr.</t>
  </si>
  <si>
    <t>what is the political system of the us?</t>
  </si>
  <si>
    <t>The political system of the US is a federal presidential constitutional republic.</t>
  </si>
  <si>
    <t>what religions are practiced in afghanistan?</t>
  </si>
  <si>
    <t>The main religion practiced in Afghanistan is Islam.</t>
  </si>
  <si>
    <t>where is the world series 2012 being played?</t>
  </si>
  <si>
    <t>The World Series 2012 was played at Comerica Park in Detroit, Michigan and AT&amp;T Park in San Francisco, California.</t>
  </si>
  <si>
    <t>what kind of language do irish speak?</t>
  </si>
  <si>
    <t>Irish people speak the Irish language, also known as Gaelic.</t>
  </si>
  <si>
    <t>what cancer did audrey hepburn died of?</t>
  </si>
  <si>
    <t>Audrey Hepburn died of appendiceal cancer</t>
  </si>
  <si>
    <t>where does allen iverson live now?</t>
  </si>
  <si>
    <t>I'm sorry, I don't have access to personal information about individuals unless it has been shared with me in the course of our conversation.</t>
  </si>
  <si>
    <t>where was dwight howard born?</t>
  </si>
  <si>
    <t>Dwight Howard was born in Atlanta, Georgia, United States.</t>
  </si>
  <si>
    <t>where do guyanese people live?</t>
  </si>
  <si>
    <t>Guyanese people live primarily in Guyana, which is located on the northeastern coast of South America.</t>
  </si>
  <si>
    <t>what timezone is texas san antonio in?</t>
  </si>
  <si>
    <t>Texas, San Antonio is located in the Central Time Zone (CT).</t>
  </si>
  <si>
    <t>where is alexandria located?</t>
  </si>
  <si>
    <t>Alexandria is located in Egypt.</t>
  </si>
  <si>
    <t>who was the fascist dictator of germany?</t>
  </si>
  <si>
    <t>Adolf Hitler.</t>
  </si>
  <si>
    <t>what is australian currency?</t>
  </si>
  <si>
    <t>Australian currency is the Australian Dollar (AUD).</t>
  </si>
  <si>
    <t>what did michelle obama do?</t>
  </si>
  <si>
    <t>Michelle Obama is an American lawyer, author, and former First Lady of the United States.</t>
  </si>
  <si>
    <t>what team does chris humphrey play for?</t>
  </si>
  <si>
    <t>Chris Humphrey currently does not play for any team.</t>
  </si>
  <si>
    <t>where do most chinese live?</t>
  </si>
  <si>
    <t>Most Chinese live in China.</t>
  </si>
  <si>
    <t>when did the raiders win the superbowl?</t>
  </si>
  <si>
    <t>The Raiders won the Super Bowl in 1981, 1977, and 1976.</t>
  </si>
  <si>
    <t>where is the euro used?</t>
  </si>
  <si>
    <t>The euro is used in 19 European Union countries.</t>
  </si>
  <si>
    <t>how rich is the roman catholic church?</t>
  </si>
  <si>
    <t>The exact wealth of the Roman Catholic Church is not known as it is difficult to determine its net worth.</t>
  </si>
  <si>
    <t>what year is it going to be on the jewish calendar?</t>
  </si>
  <si>
    <t>The current Jewish year is 5781.</t>
  </si>
  <si>
    <t>where did pixie lott go to school?</t>
  </si>
  <si>
    <t>Pixie Lott attended Italia Conti Academy of Theatre Arts.</t>
  </si>
  <si>
    <t>what date did we invade iraq?</t>
  </si>
  <si>
    <t>The invasion of Iraq began on March 20, 2003.</t>
  </si>
  <si>
    <t>what is the new orleans hornets new name?</t>
  </si>
  <si>
    <t>The New Orleans Hornets changed their name to the New Orleans Pelicans.</t>
  </si>
  <si>
    <t>what did darry look like?</t>
  </si>
  <si>
    <t>Darry was tall, muscular, and had dark hair.</t>
  </si>
  <si>
    <t>who is hugh hefner dating now in 2012?</t>
  </si>
  <si>
    <t>In 2012, Hugh Hefner was dating Crystal Harris.</t>
  </si>
  <si>
    <t>what do the buddha believe in?</t>
  </si>
  <si>
    <t>Buddha believed in the Four Noble Truths and the Eightfold Path.</t>
  </si>
  <si>
    <t>when did braves win the world series?</t>
  </si>
  <si>
    <t>The Atlanta Braves won the World Series in 1995.</t>
  </si>
  <si>
    <t>what is the name of walt disney's son?</t>
  </si>
  <si>
    <t>Walt Disney's son's name is Roy E. Disney.</t>
  </si>
  <si>
    <t>what are some sights to see in rome?</t>
  </si>
  <si>
    <t>The Colosseum, Vatican City, Trevi Fountain, and the Pantheon are some popular sights to see in Rome.</t>
  </si>
  <si>
    <t>where is jack daniels tennessee whiskey made?</t>
  </si>
  <si>
    <t>Jack Daniel's Tennessee Whiskey is made in Lynchburg, Tennessee.</t>
  </si>
  <si>
    <t>what is the battle of antietam?</t>
  </si>
  <si>
    <t>The Battle of Antietam was a significant battle in the American Civil War which took place on September 17, 1862, near Sharpsburg, Maryland.</t>
  </si>
  <si>
    <t>what time zone is it in london england?</t>
  </si>
  <si>
    <t>The time zone in London, England is Greenwich Mean Time (GMT) or British Summer Time (BST) during daylight saving time.</t>
  </si>
  <si>
    <t>who was governor of texas in 2003?</t>
  </si>
  <si>
    <t>Rick Perry was the governor of Texas in 2003.</t>
  </si>
  <si>
    <t>what is yale university mascot?</t>
  </si>
  <si>
    <t>The mascot of Yale University is the "Yale bulldog."</t>
  </si>
  <si>
    <t>what is the currency used in tunisia?</t>
  </si>
  <si>
    <t>The currency used in Tunisia is the Tunisian Dinar.</t>
  </si>
  <si>
    <t>what language group does polish belong to?</t>
  </si>
  <si>
    <t>Polish belongs to the West Slavic language group.</t>
  </si>
  <si>
    <t>what is the name of the new orleans saints football stadium?</t>
  </si>
  <si>
    <t>The name of the New Orleans Saints football stadium is Mercedes-Benz Superdome.</t>
  </si>
  <si>
    <t>what are five countries that border france?</t>
  </si>
  <si>
    <t>Spain, Belgium, Germany, Italy, Switzerland.</t>
  </si>
  <si>
    <t>where was hockey world cup 2010 held?</t>
  </si>
  <si>
    <t>The Hockey World Cup 2010 was held in New Delhi, India.</t>
  </si>
  <si>
    <t>where did kaiser wilhelm fled to?</t>
  </si>
  <si>
    <t>Kaiser Wilhelm fled to the Netherlands.</t>
  </si>
  <si>
    <t>when did yuvraj made his odi debut?</t>
  </si>
  <si>
    <t>Yuvraj Singh made his ODI debut on October 3, 2000.</t>
  </si>
  <si>
    <t>what type of music was scott joplin noted for?</t>
  </si>
  <si>
    <t>Scott Joplin was noted for his ragtime music.</t>
  </si>
  <si>
    <t>where did sergio romo go to college?</t>
  </si>
  <si>
    <t>Sergio Romo attended Arizona Western College.</t>
  </si>
  <si>
    <t>what happened to peter parker's uncle?</t>
  </si>
  <si>
    <t>Peter Parker's uncle was killed by a criminal he encountered while trying to apprehend him.</t>
  </si>
  <si>
    <t>where is adam smith from?</t>
  </si>
  <si>
    <t>Adam Smith is from Scotland.</t>
  </si>
  <si>
    <t>who became president after harding died?</t>
  </si>
  <si>
    <t>Calvin Coolidge.</t>
  </si>
  <si>
    <t>in what city did machiavelli live?</t>
  </si>
  <si>
    <t>Florence.</t>
  </si>
  <si>
    <t>what illnesses did george washington have?</t>
  </si>
  <si>
    <t>George Washington had various illnesses during his lifetime, including malaria, pneumonia, and pleurisy.</t>
  </si>
  <si>
    <t>where is north port florida located?</t>
  </si>
  <si>
    <t>North Port, Florida is located in Sarasota County on the southwestern coast of the state.</t>
  </si>
  <si>
    <t>who is jennifer lawrence boyfriend 2012?</t>
  </si>
  <si>
    <t>No information available.</t>
  </si>
  <si>
    <t>who was the voice of kitt?</t>
  </si>
  <si>
    <t>William Daniels.</t>
  </si>
  <si>
    <t>who is the speaker of the house of representatives currently?</t>
  </si>
  <si>
    <t>Nancy Pelosi.</t>
  </si>
  <si>
    <t>when did sean murray first appear on ncis?</t>
  </si>
  <si>
    <t>Sean Murray first appeared on NCIS in the show's first season in 2003.</t>
  </si>
  <si>
    <t>who is abraham maslow?</t>
  </si>
  <si>
    <t>Abraham Maslow was an American psychologist known for his theory of the hierarchy of needs and his contributions to the field of humanistic psychology.</t>
  </si>
  <si>
    <t>where did the cuban missile crisis happen?</t>
  </si>
  <si>
    <t>The Cuban Missile Crisis took place in Cuba.</t>
  </si>
  <si>
    <t>what is benedict arnold famous for?</t>
  </si>
  <si>
    <t>Benedict Arnold is famous for being a traitor during the American Revolutionary War.</t>
  </si>
  <si>
    <t>where is the original mona lisa?</t>
  </si>
  <si>
    <t>The original Mona Lisa is currently housed in the Louvre Museum in Paris, France.</t>
  </si>
  <si>
    <t>what is jill wagner on wipeout?</t>
  </si>
  <si>
    <t>Jill Wagner is the co-host of the television show Wipeout.</t>
  </si>
  <si>
    <t>what type of language does peru speak?</t>
  </si>
  <si>
    <t>Spanish.</t>
  </si>
  <si>
    <t>where is port lavaca tx?</t>
  </si>
  <si>
    <t>Port Lavaca, TX is located on the Gulf Coast of Texas in Calhoun County.</t>
  </si>
  <si>
    <t>which team does ronaldinho play for 2013?</t>
  </si>
  <si>
    <t>In 2013, Ronaldinho played for Atlético Mineiro in Brazil.</t>
  </si>
  <si>
    <t>what kind of books does nicholas sparks wrote?</t>
  </si>
  <si>
    <t>Nicholas Sparks wrote romance novels.</t>
  </si>
  <si>
    <t>what happened to the people in chernobyl?</t>
  </si>
  <si>
    <t>Many people were exposed to high levels of radiation and suffered from acute radiation sickness. Some died shortly after the accident, while others experienced long-term health issues such as cancer and other related illnesses.</t>
  </si>
  <si>
    <t>what countries has spanish as their official language?</t>
  </si>
  <si>
    <t>Spain and most countries in Latin America have Spanish as their official language. Some examples include Mexico, Colombia, Argentina, Peru, Chile, and Venezuela.</t>
  </si>
  <si>
    <t>who was the communist dictator of north korea?</t>
  </si>
  <si>
    <t>Kim Il-sung</t>
  </si>
  <si>
    <t>who was the leader of germany in wwii?</t>
  </si>
  <si>
    <t>what business does raj kundra do?</t>
  </si>
  <si>
    <t>Raj Kundra is involved in various businesses, including real estate, retail, and entertainment.</t>
  </si>
  <si>
    <t>what movies is molly ringwald in?</t>
  </si>
  <si>
    <t>Molly Ringwald is known for her roles in movies such as "Sixteen Candles," "The Breakfast Club," and "Pretty in Pink."</t>
  </si>
  <si>
    <t>what is the time zone in california called?</t>
  </si>
  <si>
    <t>The time zone in California is called Pacific Standard Time (PST).</t>
  </si>
  <si>
    <t>what team does drogba play for 2013?</t>
  </si>
  <si>
    <t>Drogba played for Galatasaray in 2013.</t>
  </si>
  <si>
    <t>what did michael faraday accomplish?</t>
  </si>
  <si>
    <t>Michael Faraday discovered electromagnetic induction and conducted extensive research on electromagnetism, making significant contributions to the field of electrical engineering.</t>
  </si>
  <si>
    <t>what was the name of the newspaper where hemingway wrote?</t>
  </si>
  <si>
    <t>The name of the newspaper where Hemingway wrote was the Kansas City Star.</t>
  </si>
  <si>
    <t>who will alex smith play for in 2011?</t>
  </si>
  <si>
    <t>Alex Smith will play for the San Francisco 49ers in 2011.</t>
  </si>
  <si>
    <t>what is the northeast of the united states?</t>
  </si>
  <si>
    <t>The northeast of the United States refers to the region that includes states such as New York, New Jersey, Pennsylvania, Massachusetts, and Connecticut.</t>
  </si>
  <si>
    <t>what does the dutch word boer mean?</t>
  </si>
  <si>
    <t>The Dutch word "boer" means "farmer" in English.</t>
  </si>
  <si>
    <t>what currency does brazil use?</t>
  </si>
  <si>
    <t>Brazil uses the Brazilian real as its currency.</t>
  </si>
  <si>
    <t>what timezone does sweden have?</t>
  </si>
  <si>
    <t>Sweden is in the Central European Time zone (CET).</t>
  </si>
  <si>
    <t>who played lois en superman?</t>
  </si>
  <si>
    <t>In the Superman movies, Lois Lane was played by actress Margot Kidder.</t>
  </si>
  <si>
    <t>where does the zambezi river end?</t>
  </si>
  <si>
    <t>The Zambezi River ends at the Indian Ocean.</t>
  </si>
  <si>
    <t>what did mister rogers do before tv?</t>
  </si>
  <si>
    <t>Before TV, Mister Rogers worked in various roles in the field of children's programming, including studying child development and working as a producer and puppeteer.</t>
  </si>
  <si>
    <t>what is the money currency in switzerland?</t>
  </si>
  <si>
    <t>The currency in Switzerland is the Swiss Franc (CHF).</t>
  </si>
  <si>
    <t>what state did george washington live in?</t>
  </si>
  <si>
    <t>where is mount vernon virginia?</t>
  </si>
  <si>
    <t>Mount Vernon, Virginia is located in Fairfax County, Virginia, United States.</t>
  </si>
  <si>
    <t>where is kia car from?</t>
  </si>
  <si>
    <t>Kia cars are from South Korea.</t>
  </si>
  <si>
    <t>where did noah live before the flood?</t>
  </si>
  <si>
    <t>Noah lived in the land before the flood.</t>
  </si>
  <si>
    <t>when did george w bush take office?</t>
  </si>
  <si>
    <t>George W. Bush took office on January 20, 2001.</t>
  </si>
  <si>
    <t>where do the kansas city chiefs play?</t>
  </si>
  <si>
    <t>The Kansas City Chiefs play at Arrowhead Stadium.</t>
  </si>
  <si>
    <t>what countries does the mississippi river run through?</t>
  </si>
  <si>
    <t>The Mississippi River runs through the United States.</t>
  </si>
  <si>
    <t>in what modern country is the yucatan peninsula located?</t>
  </si>
  <si>
    <t>Mexico.</t>
  </si>
  <si>
    <t>what does starbucks sell?</t>
  </si>
  <si>
    <t>Starbucks sells coffee, tea, and various food items.</t>
  </si>
  <si>
    <t>who is lincoln steffens?</t>
  </si>
  <si>
    <t>Lincoln Steffens was an American journalist and progressive thinker.</t>
  </si>
  <si>
    <t>what type of political system does iran have?</t>
  </si>
  <si>
    <t>Iran has a theocratic republic political system.</t>
  </si>
  <si>
    <t>who does the voice of lois in family guy?</t>
  </si>
  <si>
    <t>what are all the movies channing tatum has been in?</t>
  </si>
  <si>
    <t>Some movies Channing Tatum has been in include "Magic Mike," "Step Up," "21 Jump Street," and "Dear John."</t>
  </si>
  <si>
    <t>where is the country of panama located?</t>
  </si>
  <si>
    <t>Panama is located in Central America.</t>
  </si>
  <si>
    <t>what state did woodrow wilson represent?</t>
  </si>
  <si>
    <t>Woodrow Wilson represented the state of New Jersey.</t>
  </si>
  <si>
    <t>what hardships did teddy roosevelt overcome?</t>
  </si>
  <si>
    <t>Teddy Roosevelt overcame the hardship of being a sickly child and turned his weakness into strength through his determination and hard work.</t>
  </si>
  <si>
    <t>where is university of alabama located?</t>
  </si>
  <si>
    <t>The University of Alabama is located in Tuscaloosa, Alabama.</t>
  </si>
  <si>
    <t>who was arthur miller influenced by?</t>
  </si>
  <si>
    <t>Arthur Miller was influenced by Henrik Ibsen, a Norwegian playwright known for his realistic dramas and social criticism.</t>
  </si>
  <si>
    <t>which countries use euro money?</t>
  </si>
  <si>
    <t>The countries that use the euro as their currency are Austria, Belgium, Cyprus, Estonia, Finland, France, Germany, Greece, Ireland, Italy, Latvia, Lithuania, Luxembourg, Malta, the Netherlands, Portugal, Slovakia, Slovenia, and Spain.</t>
  </si>
  <si>
    <t>where is el salvador located?</t>
  </si>
  <si>
    <t>El Salvador is located in Central America.</t>
  </si>
  <si>
    <t>what year was kevin durant drafted?</t>
  </si>
  <si>
    <t>Kevin Durant was drafted in 2007.</t>
  </si>
  <si>
    <t>what illnesses did george washington suffer from?</t>
  </si>
  <si>
    <t>George Washington suffered from illnesses such as malaria, dysentery, pneumonia, and tuberculosis.</t>
  </si>
  <si>
    <t>what are some places to visit in barcelona?</t>
  </si>
  <si>
    <t>Some places to visit in Barcelona are La Sagrada Familia, Park Güell, Gothic Quarter, Casa Batlló, and Camp Nou.</t>
  </si>
  <si>
    <t>what happened to nina simone?</t>
  </si>
  <si>
    <t>Nina Simone passed away on April 21, 2003.</t>
  </si>
  <si>
    <t>where is wellsville missouri?</t>
  </si>
  <si>
    <t>Wellsville, Missouri is located in Montgomery County.</t>
  </si>
  <si>
    <t>who played princess leia from star wars?</t>
  </si>
  <si>
    <t>Carrie Fisher.</t>
  </si>
  <si>
    <t>who is the current queen of australia?</t>
  </si>
  <si>
    <t>The current queen of Australia is Queen Elizabeth II.</t>
  </si>
  <si>
    <t>where did galileo go to school?</t>
  </si>
  <si>
    <t>Galileo went to school at the University of Pisa.</t>
  </si>
  <si>
    <t>who all was richard burton married to?</t>
  </si>
  <si>
    <t>Richard Burton was married to Elizabeth Taylor and Sybil Williams.</t>
  </si>
  <si>
    <t>who did david villa play for?</t>
  </si>
  <si>
    <t>David Villa played for several clubs during his career including Sporting Gijón, Real Zaragoza, Valencia, Barcelona, Atletico Madrid, New York City FC, and Vissel Kobe.</t>
  </si>
  <si>
    <t>what did copernicus invented?</t>
  </si>
  <si>
    <t>Copernicus invented the heliocentric model of the solar system.</t>
  </si>
  <si>
    <t>what's jamaica country code?</t>
  </si>
  <si>
    <t>The country code for Jamaica is +1.</t>
  </si>
  <si>
    <t>where robert frost went to school?</t>
  </si>
  <si>
    <t>Robert Frost went to school at Dartmouth College and Harvard University.</t>
  </si>
  <si>
    <t>who should play harley quinn?</t>
  </si>
  <si>
    <t>Margot Robbie.</t>
  </si>
  <si>
    <t>what currency should i take to dubai?</t>
  </si>
  <si>
    <t>The currency you should take to Dubai is the United Arab Emirates dirham (AED).</t>
  </si>
  <si>
    <t>what county is plainfield il in?</t>
  </si>
  <si>
    <t>Plainfield, IL is located in Will County.</t>
  </si>
  <si>
    <t>what country is the mekong river located in?</t>
  </si>
  <si>
    <t>The Mekong River is located in multiple countries including China, Myanmar, Laos, Thailand, Cambodia, and Vietnam.</t>
  </si>
  <si>
    <t>who founded the sisters of saint joseph?</t>
  </si>
  <si>
    <t>Saint Jean-Baptiste de La Salle.</t>
  </si>
  <si>
    <t>who shot and killed president john f kennedy?</t>
  </si>
  <si>
    <t>Lee Harvey Oswald.</t>
  </si>
  <si>
    <t>what is there to do in gatlinburg in december?</t>
  </si>
  <si>
    <t>In December, there are several things to do in Gatlinburg such as exploring the Great Smoky Mountains National Park, visiting the Gatlinburg Space Needle, enjoying the Winter Magic Trolley Ride of Lights, and experiencing the Winterfest.</t>
  </si>
  <si>
    <t>where does the english football team train?</t>
  </si>
  <si>
    <t>The English football team trains at St. George's Park in Burton upon Trent.</t>
  </si>
  <si>
    <t>who did anne frank wrote her diary to?</t>
  </si>
  <si>
    <t>Anne Frank wrote her diary to an imaginary friend named Kitty.</t>
  </si>
  <si>
    <t>who is tony romo engaged to?</t>
  </si>
  <si>
    <t>Tony Romo is engaged to Candice Crawford.</t>
  </si>
  <si>
    <t>what do people in south africa speak?</t>
  </si>
  <si>
    <t>People in South Africa speak multiple languages, including English, Afrikaans, isiZulu, isiXhosa, Sepedi, Setswana, and more.</t>
  </si>
  <si>
    <t>where great britain located?</t>
  </si>
  <si>
    <t>Great Britain is located in Europe, off the northwest coast of mainland Europe.</t>
  </si>
  <si>
    <t>what state was hillary clinton a senator for?</t>
  </si>
  <si>
    <t>New York.</t>
  </si>
  <si>
    <t>what market does starbucks operate in?</t>
  </si>
  <si>
    <t>Starbucks operates in the coffee market.</t>
  </si>
  <si>
    <t>what country does nike operate in?</t>
  </si>
  <si>
    <t>Nike operates in several countries, including the United States where it is headquartered.</t>
  </si>
  <si>
    <t>what cities are in oakland county michigan?</t>
  </si>
  <si>
    <t>Some cities in Oakland County, Michigan include Pontiac, Royal Oak, Farmington Hills, Troy, and Rochester Hills.</t>
  </si>
  <si>
    <t>what characters does trey parker voice?</t>
  </si>
  <si>
    <t>Trey Parker voices numerous characters in South Park including Stan Marsh, Eric Cartman, Randy Marsh, and others.</t>
  </si>
  <si>
    <t>where will euro 2012 be?</t>
  </si>
  <si>
    <t>Euro 2012 will be held in Poland and Ukraine.</t>
  </si>
  <si>
    <t>who the voice of lois griffin?</t>
  </si>
  <si>
    <t>when did the 7th harry potter book come out?</t>
  </si>
  <si>
    <t>The 7th Harry Potter book, "Harry Potter and the Deathly Hallows" came out on July 21, 2007.</t>
  </si>
  <si>
    <t>what is the parliament of canada called?</t>
  </si>
  <si>
    <t>The parliament of Canada is called the Parliament of Canada.</t>
  </si>
  <si>
    <t>where is south carolina located?</t>
  </si>
  <si>
    <t>South Carolina is located in the southeastern United States.</t>
  </si>
  <si>
    <t>who are paul revere's parents?</t>
  </si>
  <si>
    <t>Paul Revere's parents were Apollos Rivoire and Deborah Hichborn.</t>
  </si>
  <si>
    <t>what political system does russia use?</t>
  </si>
  <si>
    <t>Russia uses a semi-presidential system.</t>
  </si>
  <si>
    <t>what are american staffordshire terriers?</t>
  </si>
  <si>
    <t>American Staffordshire Terriers are a breed of medium-sized, muscular dogs known for their strength, loyalty, and determination. They are often mistaken for Pit Bulls due to their similar appearance.</t>
  </si>
  <si>
    <t>who is the current coach of the chicago bulls?</t>
  </si>
  <si>
    <t>Billy Donovan.</t>
  </si>
  <si>
    <t>what language is mainly spoken in england?</t>
  </si>
  <si>
    <t>what awards has morgan freeman won?</t>
  </si>
  <si>
    <t>Morgan Freeman has won several awards, including an Academy Award, a Golden Globe, and a Screen Actors Guild Award.</t>
  </si>
  <si>
    <t>who will michael schumacher drive for in 2013?</t>
  </si>
  <si>
    <t>Michael Schumacher retired from Formula 1 racing in 2012, so he did not drive for any team in 2013.</t>
  </si>
  <si>
    <t>what kind of government does the united states have today?</t>
  </si>
  <si>
    <t>The United States has a democratic republic form of government.</t>
  </si>
  <si>
    <t>who were michael jackson's brothers and sisters?</t>
  </si>
  <si>
    <t>Michael Jackson's brothers were Jackie, Tito, Jermaine, Marlon, and Randy. His sisters were Rebbie, La Toya, and Janet.</t>
  </si>
  <si>
    <t>when is the last time the chicago bulls won a championship?</t>
  </si>
  <si>
    <t>The Chicago Bulls last won a championship in 1998.</t>
  </si>
  <si>
    <t>what is the braves mascot?</t>
  </si>
  <si>
    <t>The Braves mascot is Blooper.</t>
  </si>
  <si>
    <t>where to stay in paris france?</t>
  </si>
  <si>
    <t>There are many great places to stay in Paris, France. It depends on your preferences and budget. Some popular areas include the Marais, Saint-Germain-des-Prés, and the Latin Quarter.</t>
  </si>
  <si>
    <t>what teams did george steinbrenner own?</t>
  </si>
  <si>
    <t>George Steinbrenner owned the New York Yankees baseball team.</t>
  </si>
  <si>
    <t>who does christopher walken play in batman returns?</t>
  </si>
  <si>
    <t>Christopher Walken plays the character of Max Shreck in Batman Returns.</t>
  </si>
  <si>
    <t>what to see and do in revelstoke?</t>
  </si>
  <si>
    <t>In Revelstoke, you can enjoy outdoor activities like skiing, snowboarding, hiking, and mountain biking. The Revelstoke Mountain Resort offers excellent skiing and snowboarding opportunities. You can also visit Mount Revelstoke National Park for stunning views and hiking trails. Additionally, the Revelstoke Railway Museum and Revelstoke Dam are popular attractions in the area.</t>
  </si>
  <si>
    <t>what land did god give to israel?</t>
  </si>
  <si>
    <t>The land that God gave to Israel is the land of Canaan.</t>
  </si>
  <si>
    <t>what guitar did andres segovia use?</t>
  </si>
  <si>
    <t>Andres Segovia used a Hermann Hauser guitar.</t>
  </si>
  <si>
    <t>what style of art did vincent van gogh do?</t>
  </si>
  <si>
    <t>Vincent van Gogh did post-impressionist art.</t>
  </si>
  <si>
    <t>what was nicolaus copernicus discovery?</t>
  </si>
  <si>
    <t>Nicolaus Copernicus discovered that the Earth revolves around the Sun.</t>
  </si>
  <si>
    <t>where did the tutsi come from?</t>
  </si>
  <si>
    <t>The Tutsi are originally from the East African region, particularly Rwanda, Burundi, and parts of Uganda and Tanzania.</t>
  </si>
  <si>
    <t>what country did osama bin laden live in?</t>
  </si>
  <si>
    <t>Osama bin Laden lived in Pakistan.</t>
  </si>
  <si>
    <t>where was the roman empire centered?</t>
  </si>
  <si>
    <t>The Roman Empire was centered in Rome, Italy.</t>
  </si>
  <si>
    <t>who played samuel sullivan in heroes?</t>
  </si>
  <si>
    <t>Robert Knepper played Samuel Sullivan in Heroes.</t>
  </si>
  <si>
    <t>which ocean does the murray river flow into?</t>
  </si>
  <si>
    <t>The Murray River flows into the Indian Ocean.</t>
  </si>
  <si>
    <t>what time zone is cincinnati oh in?</t>
  </si>
  <si>
    <t>Cincinnati, OH is in the Eastern Time Zone.</t>
  </si>
  <si>
    <t>who was jacob riis and why was he important?</t>
  </si>
  <si>
    <t>Jacob Riis was a Danish-American social reformer and journalist. He was important for his work on exposing the living conditions in New York City tenements through his book "How the Other Half Lives", which shed light on the harsh realities of poverty and led to advancements in urban reform and housing legislation.</t>
  </si>
  <si>
    <t>where does peter king live?</t>
  </si>
  <si>
    <t>I'm sorry, but I can't provide that information.</t>
  </si>
  <si>
    <t>what are west african countries?</t>
  </si>
  <si>
    <t>West African countries include Nigeria, Ghana, Senegal, Mali, Ivory Coast, and Togo, among others.</t>
  </si>
  <si>
    <t>who became president when jfk was killed?</t>
  </si>
  <si>
    <t>where is mallorca?</t>
  </si>
  <si>
    <t>Mallorca is an island located in the Mediterranean Sea, east of mainland Spain.</t>
  </si>
  <si>
    <t>where are the mines in victoria?</t>
  </si>
  <si>
    <t>The mines in Victoria are located in various regions across the state, including Ballarat, Bendigo, and the Latrobe Valley.</t>
  </si>
  <si>
    <t>what years have the cubs been in the world series?</t>
  </si>
  <si>
    <t>The Cubs have been in the World Series in the years 1906, 1907, 1908, 1910, 1918, 1929, 1932, 1935, 1938, and 1945.</t>
  </si>
  <si>
    <t>what car companies does ford motor company own?</t>
  </si>
  <si>
    <t>Ford Motor Company owns the following car companies: Ford, Lincoln, and Troller.</t>
  </si>
  <si>
    <t>what did god say to abraham about circumcision?</t>
  </si>
  <si>
    <t>God commanded Abraham to circumcise himself and all the males in his household as a sign of the covenant between God and Abraham's descendants.</t>
  </si>
  <si>
    <t>what type of government does the bahamas?</t>
  </si>
  <si>
    <t>The Bahamas has a parliamentary democracy.</t>
  </si>
  <si>
    <t>what style of music did jimi hendrix play?</t>
  </si>
  <si>
    <t>Jimi Hendrix played rock music.</t>
  </si>
  <si>
    <t>what character does mila kunis play on family guy?</t>
  </si>
  <si>
    <t>Mila Kunis voices the character Meg Griffin on Family Guy.</t>
  </si>
  <si>
    <t>who played anakin skywalker in phantom menace?</t>
  </si>
  <si>
    <t>Jake Lloyd.</t>
  </si>
  <si>
    <t>what language do the people in ghana speak?</t>
  </si>
  <si>
    <t>where is luke afb arizona?</t>
  </si>
  <si>
    <t>Luke AFB is located in Arizona.</t>
  </si>
  <si>
    <t>what language people speak in belgium?</t>
  </si>
  <si>
    <t>Dutch, French, and German.</t>
  </si>
  <si>
    <t>where was the battle of vicksburg located?</t>
  </si>
  <si>
    <t>The Battle of Vicksburg was located in Mississippi.</t>
  </si>
  <si>
    <t>where is the cruise ship terminal in vancouver bc?</t>
  </si>
  <si>
    <t>The cruise ship terminal in Vancouver, BC is located at Canada Place.</t>
  </si>
  <si>
    <t>where was the gallipoli campaign waged?</t>
  </si>
  <si>
    <t>The Gallipoli campaign was waged in the Gallipoli Peninsula, which is located in modern-day Turkey.</t>
  </si>
  <si>
    <t>what was lincoln's wife's name?</t>
  </si>
  <si>
    <t>Mary Todd Lincoln.</t>
  </si>
  <si>
    <t>what does the japanese call their country?</t>
  </si>
  <si>
    <t>Nippon or Nihon.</t>
  </si>
  <si>
    <t>what did king george vi die of?</t>
  </si>
  <si>
    <t>King George VI died of lung cancer.</t>
  </si>
  <si>
    <t>what type of currency is used in the united kingdom?</t>
  </si>
  <si>
    <t>The currency used in the United Kingdom is the British pound.</t>
  </si>
  <si>
    <t>where did brad paisley graduate from college?</t>
  </si>
  <si>
    <t>Brad Paisley graduated from Belmont University in Nashville, Tennessee.</t>
  </si>
  <si>
    <t>what city was robert kennedy killed in?</t>
  </si>
  <si>
    <t>Robert Kennedy was killed in Los Angeles.</t>
  </si>
  <si>
    <t>when are school holidays in queensland 2013?</t>
  </si>
  <si>
    <t>School holidays in Queensland in 2013 are typically during the Easter break, June/July holidays, and September/October holidays.</t>
  </si>
  <si>
    <t>who plays the new michael myers?</t>
  </si>
  <si>
    <t>James Jude Courtney</t>
  </si>
  <si>
    <t>who was killed first tupac or biggie?</t>
  </si>
  <si>
    <t>Tupac was killed first.</t>
  </si>
  <si>
    <t>what kind of currency to bring to mexico?</t>
  </si>
  <si>
    <t>The Mexican currency is the peso, so it is recommended to bring pesos when traveling to Mexico.</t>
  </si>
  <si>
    <t>who won the nobel peace prize in 2007?</t>
  </si>
  <si>
    <t>what theme songs did alan thicke wrote?</t>
  </si>
  <si>
    <t>Alan Thicke wrote the theme songs for TV shows such as "Diff'rent Strokes" and "The Facts of Life."</t>
  </si>
  <si>
    <t>what films did patrick swayze star in?</t>
  </si>
  <si>
    <t>Some of the films that Patrick Swayze starred in include "Dirty Dancing," "Ghost," and "Point Break."</t>
  </si>
  <si>
    <t>where is sony headquarters?</t>
  </si>
  <si>
    <t>Sony headquarters is located in Tokyo, Japan.</t>
  </si>
  <si>
    <t>who is liz lemon getting married to?</t>
  </si>
  <si>
    <t>Crischen Chenoweth.</t>
  </si>
  <si>
    <t>who plays sarah wittle in jumanji?</t>
  </si>
  <si>
    <t>Bonnie Hunt plays Sarah Whittle in the original Jumanji movie. In the newer Jumanji films, the character of Sarah Whittle is played by Kirsten Dunst and Madison Iseman.</t>
  </si>
  <si>
    <t>what type of music is tchaikovsky?</t>
  </si>
  <si>
    <t>Tchaikovsky's music is classical.</t>
  </si>
  <si>
    <t>when is wimbledon tennis tournament?</t>
  </si>
  <si>
    <t>Wimbledon tennis tournament is usually held in June and July.</t>
  </si>
  <si>
    <t>what year did ted kennedy run for president?</t>
  </si>
  <si>
    <t>Ted Kennedy ran for president in the year 1980.</t>
  </si>
  <si>
    <t>where did helen keller go to school?</t>
  </si>
  <si>
    <t>Helen Keller went to the Perkins School for the Blind.</t>
  </si>
  <si>
    <t>what shows are on in london at the moment?</t>
  </si>
  <si>
    <t>I am sorry, I cannot browse the web and provide you with real-time information about shows in London. I suggest checking online ticketing websites or contacting the theaters directly for the most up-to-date information.</t>
  </si>
  <si>
    <t>where is german an official language?</t>
  </si>
  <si>
    <t>Germany, Austria, Switzerland, and Liechtenstein.</t>
  </si>
  <si>
    <t>what language do you speak in iran?</t>
  </si>
  <si>
    <t>The official language spoken in Iran is Persian.</t>
  </si>
  <si>
    <t>who did tupac shakur date?</t>
  </si>
  <si>
    <t>Tupac Shakur dated various women during his life, including Kidada Jones, Madonna, and Jada Pinkett Smith.</t>
  </si>
  <si>
    <t>who does paul bettany play in the avengers?</t>
  </si>
  <si>
    <t>Paul Bettany plays the character Vision in the Avengers.</t>
  </si>
  <si>
    <t>what is the closest airport to naples florida?</t>
  </si>
  <si>
    <t>Southwest Florida International Airport (RSW) is the closest airport to Naples, Florida.</t>
  </si>
  <si>
    <t>what did larry hagman die of?</t>
  </si>
  <si>
    <t>Larry Hagman died of acute myeloid leukemia.</t>
  </si>
  <si>
    <t>who is the governor of colorado 2009?</t>
  </si>
  <si>
    <t>Bill Ritter</t>
  </si>
  <si>
    <t>what timezone is michigan usa?</t>
  </si>
  <si>
    <t>Eastern Standard Time (EST)</t>
  </si>
  <si>
    <t>what blood disease does robin roberts have?</t>
  </si>
  <si>
    <t>Robin Roberts has a blood disorder called myelodysplastic syndrome (MDS).</t>
  </si>
  <si>
    <t>who seized power in italy in 1922?</t>
  </si>
  <si>
    <t>Benito Mussolini</t>
  </si>
  <si>
    <t>what show is jill wagner on?</t>
  </si>
  <si>
    <t>Jill Wagner is currently on the show "Wipeout."</t>
  </si>
  <si>
    <t>who did megan fox have a baby with?</t>
  </si>
  <si>
    <t>Megan Fox had a baby with Brian Austin Green.</t>
  </si>
  <si>
    <t>what currency does senegal use?</t>
  </si>
  <si>
    <t>The currency used in Senegal is the West African CFA franc (XOF).</t>
  </si>
  <si>
    <t>where to get married in north alabama?</t>
  </si>
  <si>
    <t>There are many beautiful wedding venues in North Alabama. Some popular options include Huntsville Botanical Garden, Burritt on the Mountain, and The Westin Huntsville.</t>
  </si>
  <si>
    <t>what do ethnic russians look like?</t>
  </si>
  <si>
    <t>Ethnic Russians often have fair to light skin, varying shades of hair color (brown, blond, red), and a mixture of eye colors (blue, green, gray). However, it is important to note that physical appearances can vary within any ethnic group, including Russians.</t>
  </si>
  <si>
    <t>what places made up the western roman empire?</t>
  </si>
  <si>
    <t>The Western Roman Empire consisted of various territories including Italy, Gaul (modern-day France), Hispania (modern-day Spain and Portugal), Britain, Africa (modern-day Tunisia), and other parts of Europe.</t>
  </si>
  <si>
    <t>what experiments did marie curie conduct?</t>
  </si>
  <si>
    <t>Marie Curie conducted experiments on radioactivity.</t>
  </si>
  <si>
    <t>what company did mitt romney run?</t>
  </si>
  <si>
    <t>Mitt Romney was the CEO and co-founder of Bain Capital.</t>
  </si>
  <si>
    <t>what is vito corleone real name?</t>
  </si>
  <si>
    <t>Vito Corleone's real name is Vito Andolini.</t>
  </si>
  <si>
    <t>what is the king of spain's name?</t>
  </si>
  <si>
    <t>The current king of Spain's name is King Felipe VI.</t>
  </si>
  <si>
    <t>who is blackwell?</t>
  </si>
  <si>
    <t>There are several individuals named Blackwell, so it would be helpful to specify which Blackwell you are referring to.</t>
  </si>
  <si>
    <t>where did justin bieber grew up?</t>
  </si>
  <si>
    <t>Justin Bieber grew up in Stratford, Ontario, Canada.</t>
  </si>
  <si>
    <t>what district does john cornyn represent?</t>
  </si>
  <si>
    <t>John Cornyn represents the state of Texas in the United States Senate, not a specific district.</t>
  </si>
  <si>
    <t>when was the last superbowl win for the steelers?</t>
  </si>
  <si>
    <t>The last Super Bowl win for the Steelers was in 2008.</t>
  </si>
  <si>
    <t>what language do they speak in argentina yahoo?</t>
  </si>
  <si>
    <t>The official language of Argentina is Spanish.</t>
  </si>
  <si>
    <t>who drafted kevin garnett?</t>
  </si>
  <si>
    <t>The Minnesota Timberwolves drafted Kevin Garnett.</t>
  </si>
  <si>
    <t>what is zip code for chicago illinois?</t>
  </si>
  <si>
    <t>The zip code for Chicago, Illinois is 60601.</t>
  </si>
  <si>
    <t>what is the name of book written by helen keller?</t>
  </si>
  <si>
    <t>The name of the book written by Helen Keller is "The Story of My Life."</t>
  </si>
  <si>
    <t>what did bruce jenner win gold for?</t>
  </si>
  <si>
    <t>Bruce Jenner won the gold medal in the decathlon at the 1976 Olympics.</t>
  </si>
  <si>
    <t>who did the voice of darth vader in star wars?</t>
  </si>
  <si>
    <t>James Earl Jones</t>
  </si>
  <si>
    <t>what are the duggars kids full names?</t>
  </si>
  <si>
    <t>The Duggar kids' full names vary, but here are a few examples:
- Joshua James Duggar
- Jessa Lauren Seewald (formerly Duggar)
- Joseph Garrett Duggar
- Jinger Nicole Vuolo (formerly Duggar)
- Josiah Matthew Duggar
- Joy-Anna Forsyth (formerly Duggar)
- Jedidiah Robert Duggar
- Jeremiah Robert Duggar
- Jason Michael Duggar
- James Andrew Duggar
- Justin Samuel Duggar
- Jackson Levi Duggar
Please note that this is not an exhaustive list, as the Duggar family is large.</t>
  </si>
  <si>
    <t>who is prime minister of japan 2011?</t>
  </si>
  <si>
    <t>The prime minister of Japan in 2011 was Yoshihiko Noda.</t>
  </si>
  <si>
    <t>what year did aaron rodgers get drafted?</t>
  </si>
  <si>
    <t>Aaron Rodgers was drafted in the year 2005.</t>
  </si>
  <si>
    <t>what equipment does porter robinson use?</t>
  </si>
  <si>
    <t>Porter Robinson uses a variety of equipment including synthesizers, samplers, drum machines, MIDI controllers, and software programs for music production.</t>
  </si>
  <si>
    <t>who plays the voice of kovu?</t>
  </si>
  <si>
    <t>Jason Marsden.</t>
  </si>
  <si>
    <t>who is martin luther king jr wife?</t>
  </si>
  <si>
    <t>Coretta Scott King.</t>
  </si>
  <si>
    <t>who is the new governor of florida 2011?</t>
  </si>
  <si>
    <t>The new governor of Florida in 2011 was Rick Scott.</t>
  </si>
  <si>
    <t>what kind of money does the uk use?</t>
  </si>
  <si>
    <t>The UK uses the British Pound as its currency.</t>
  </si>
  <si>
    <t>what books did jules verne wright?</t>
  </si>
  <si>
    <t>Jules Verne wrote several books, including "Around the World in Eighty Days," "Twenty Thousand Leagues Under the Sea," and "Journey to the Center of the Earth."</t>
  </si>
  <si>
    <t>where in oklahoma are scorpions found?</t>
  </si>
  <si>
    <t>Scorpions can be found in various parts of Oklahoma.</t>
  </si>
  <si>
    <t>where does the philadelphia union soccer team play?</t>
  </si>
  <si>
    <t>The Philadelphia Union soccer team plays at Subaru Park.</t>
  </si>
  <si>
    <t>where is the portuguese language derived from?</t>
  </si>
  <si>
    <t>The Portuguese language is derived from Latin.</t>
  </si>
  <si>
    <t>what 5 countries border ethiopia?</t>
  </si>
  <si>
    <t>The 5 countries that border Ethiopia are Eritrea, Sudan, South Sudan, Kenya, and Somalia.</t>
  </si>
  <si>
    <t>what does qatar export?</t>
  </si>
  <si>
    <t>Qatar exports liquefied natural gas (LNG), petroleum products, and chemicals.</t>
  </si>
  <si>
    <t>what type of planes does virgin america fly?</t>
  </si>
  <si>
    <t>Virgin America primarily operated Airbus A320 family aircraft, including A319 and A320 models.</t>
  </si>
  <si>
    <t>what city is the university of maryland university college in?</t>
  </si>
  <si>
    <t>The University of Maryland University College is located in Adelphi, Maryland.</t>
  </si>
  <si>
    <t>where did anne frank live before the war?</t>
  </si>
  <si>
    <t>Anne Frank lived in Frankfurt, Germany before the war.</t>
  </si>
  <si>
    <t>where was joseph p kennedy born?</t>
  </si>
  <si>
    <t>Joseph P. Kennedy was born in Boston, Massachusetts, United States.</t>
  </si>
  <si>
    <t>which country is located directly east of belgium?</t>
  </si>
  <si>
    <t>Germany.</t>
  </si>
  <si>
    <t>who are iran's major trading partners?</t>
  </si>
  <si>
    <t>Iran's major trading partners include China, the United Arab Emirates, Iraq, South Korea, and India.</t>
  </si>
  <si>
    <t>where do the san francisco giants play baseball?</t>
  </si>
  <si>
    <t>The San Francisco Giants play baseball at Oracle Park.</t>
  </si>
  <si>
    <t>what happened to the battle of shiloh?</t>
  </si>
  <si>
    <t>The Battle of Shiloh was a major Union victory during the American Civil War.</t>
  </si>
  <si>
    <t>what type of currency does egypt have?</t>
  </si>
  <si>
    <t>The currency of Egypt is the Egyptian pound.</t>
  </si>
  <si>
    <t>what club team is diego forlan on?</t>
  </si>
  <si>
    <t>Diego Forlan is currently not playing for any club team.</t>
  </si>
  <si>
    <t>what state is kaplan university online located?</t>
  </si>
  <si>
    <t>Kaplan University online is located in Iowa.</t>
  </si>
  <si>
    <t>who do rastafarians worship?</t>
  </si>
  <si>
    <t>Rastafarians worship Emperor Haile Selassie I of Ethiopia as the messiah.</t>
  </si>
  <si>
    <t>what timezone are the bahamas?</t>
  </si>
  <si>
    <t>The Bahamas are in the Eastern Standard Time (EST) timezone.</t>
  </si>
  <si>
    <t>where did l frank baum die?</t>
  </si>
  <si>
    <t>L. Frank Baum died in Hollywood, California, United States.</t>
  </si>
  <si>
    <t>what is the episode of family guy when peter makes his own country?</t>
  </si>
  <si>
    <t>The episode of Family Guy where Peter makes his own country is called "Petoria."</t>
  </si>
  <si>
    <t>what inspired steinbeck to write?</t>
  </si>
  <si>
    <t>Various factors inspired John Steinbeck to write. These included his personal experiences, his observations of society and human nature, and his desire to shed light on social injustices and economic disparities.</t>
  </si>
  <si>
    <t>who is the leader of cuba 2012?</t>
  </si>
  <si>
    <t>The leader of Cuba in 2012 was Raúl Castro.</t>
  </si>
  <si>
    <t>where did gareth southgate play?</t>
  </si>
  <si>
    <t>Gareth Southgate played for Aston Villa and Middlesbrough.</t>
  </si>
  <si>
    <t>what musical instruments did duke ellington play?</t>
  </si>
  <si>
    <t>Duke Ellington played the piano.</t>
  </si>
  <si>
    <t>where is the bank of america pavilion?</t>
  </si>
  <si>
    <t>The Bank of America Pavilion is located in Boston, Massachusetts.</t>
  </si>
  <si>
    <t>what all does google have?</t>
  </si>
  <si>
    <t>Google has a wide range of products and services including a search engine, email service (Gmail), online storage (Google Drive), video-sharing platform (YouTube), web browser (Google Chrome), operating system (Android), digital assistant (Google Assistant), messaging service (Google Hangouts), and many more.</t>
  </si>
  <si>
    <t>what is the boston celtics current roster?</t>
  </si>
  <si>
    <t>I'm sorry, I cannot provide real-time information as my responses are pre-generated. It is recommended to check a reliable source such as the official website or sports news outlets for the most up-to-date information on the Boston Celtics roster.</t>
  </si>
  <si>
    <t>what features do islam and christianity have in common?</t>
  </si>
  <si>
    <t>Some common features between Islam and Christianity include belief in one God, the importance of prayer and worship, the belief in prophets, and the emphasis on leading a moral and righteous life.</t>
  </si>
  <si>
    <t>what was queen victoria queen of?</t>
  </si>
  <si>
    <t>Queen Victoria was queen of the United Kingdom of Great Britain and Ireland.</t>
  </si>
  <si>
    <t>who plays ray barone?</t>
  </si>
  <si>
    <t>Ray Romano.</t>
  </si>
  <si>
    <t>what movies did robert blake play in?</t>
  </si>
  <si>
    <t>Robert Blake is known for playing roles in movies such as "In Cold Blood" and "Electra Glide in Blue."</t>
  </si>
  <si>
    <t>what tv shows are taped in new york city?</t>
  </si>
  <si>
    <t>Some TV shows that are taped in New York City include "Saturday Night Live," "The Tonight Show Starring Jimmy Fallon," "The Daily Show with Trevor Noah," "Late Night with Seth Meyers," "The View," and "Good Morning America."</t>
  </si>
  <si>
    <t>what did gerald ford die of?</t>
  </si>
  <si>
    <t>Gerald Ford died of a stroke.</t>
  </si>
  <si>
    <t>where is the gobi desert located?</t>
  </si>
  <si>
    <t>The Gobi Desert is located in northern China and southern Mongolia.</t>
  </si>
  <si>
    <t>what kind of mental illness did howard hughes have?</t>
  </si>
  <si>
    <t>Obsessive-compulsive disorder (OCD)</t>
  </si>
  <si>
    <t>who is prime minister of japan 2012?</t>
  </si>
  <si>
    <t>Yoshihiko Noda.</t>
  </si>
  <si>
    <t>what city was barack obama born in?</t>
  </si>
  <si>
    <t>Barack Obama was born in Honolulu, Hawaii.</t>
  </si>
  <si>
    <t>what airport do you fly into to get to cabo san lucas?</t>
  </si>
  <si>
    <t>Los Cabos International Airport (SJD).</t>
  </si>
  <si>
    <t>what countries speak spanish wikipedia?</t>
  </si>
  <si>
    <t>The countries that speak Spanish include Spain, Mexico, Argentina, Colombia, Peru, Venezuela, Chile, Ecuador, Guatemala, Cuba, Bolivia, Dominican Republic, Honduras, Paraguay, El Salvador, Nicaragua, Costa Rica, Puerto Rico, Panama, Uruguay, and Equatorial Guinea.</t>
  </si>
  <si>
    <t>what films have johnny depp been in?</t>
  </si>
  <si>
    <t>Johnny Depp has been in numerous films including Pirates of the Caribbean series, Edward Scissorhands, Alice in Wonderland, Charlie and the Chocolate Factory, and Sweeney Todd: The Demon Barber of Fleet Street.</t>
  </si>
  <si>
    <t>who runs china 2011?</t>
  </si>
  <si>
    <t>In 2011, China was run by the Communist Party with Hu Jintao serving as the President.</t>
  </si>
  <si>
    <t>what major airport is near destin florida?</t>
  </si>
  <si>
    <t>The Northwest Florida Regional Airport is the major airport near Destin, Florida.</t>
  </si>
  <si>
    <t>what country did vasco da gama came from?</t>
  </si>
  <si>
    <t>Vasco da Gama came from Portugal.</t>
  </si>
  <si>
    <t>what is the current government of vietnam?</t>
  </si>
  <si>
    <t>Communist government</t>
  </si>
  <si>
    <t>what countries was the vietnam war between?</t>
  </si>
  <si>
    <t>The Vietnam War was primarily between North Vietnam and South Vietnam, but it involved other countries as well, such as the United States, China, and the Soviet Union.</t>
  </si>
  <si>
    <t>what to see outside of paris?</t>
  </si>
  <si>
    <t>There are many attractions and destinations worth visiting outside of Paris such as the Palace of Versailles, the Mont Saint-Michel, the Loire Valley, and the Normandy beaches.</t>
  </si>
  <si>
    <t>what does nazis stand for?</t>
  </si>
  <si>
    <t>Nazis stands for National Socialists</t>
  </si>
  <si>
    <t>where is the nfl hall of fame located and when was the building opened?</t>
  </si>
  <si>
    <t>The NFL Hall of Fame is located in Canton, Ohio, and the building was opened in 1963.</t>
  </si>
  <si>
    <t>where did laura ingalls wilder live?</t>
  </si>
  <si>
    <t>Laura Ingalls Wilder lived in various locations throughout her life, including Wisconsin, Kansas, Minnesota, and South Dakota.</t>
  </si>
  <si>
    <t>who did jason segel date?</t>
  </si>
  <si>
    <t>Jason Segel has dated several women, including Michelle Williams and Bojana Novakovic.</t>
  </si>
  <si>
    <t>where christopher columbus was born?</t>
  </si>
  <si>
    <t>Christopher Columbus was born in Genoa, Italy.</t>
  </si>
  <si>
    <t>who did kat graham play in parent trap?</t>
  </si>
  <si>
    <t>Kat Graham played the character Jackie in the movie "Parent Trap."</t>
  </si>
  <si>
    <t>what does sammy hagar sing?</t>
  </si>
  <si>
    <t>Sammy Hagar is a singer known for performing rock music.</t>
  </si>
  <si>
    <t>who plays young lex luthor in smallville?</t>
  </si>
  <si>
    <t>Michael Rosenbaum plays young Lex Luthor in Smallville.</t>
  </si>
  <si>
    <t>who is lamar odom playing for in 2012?</t>
  </si>
  <si>
    <t>Lamar Odom played for the Los Angeles Clippers in 2012.</t>
  </si>
  <si>
    <t>what are the main sports in new zealand?</t>
  </si>
  <si>
    <t>Rugby union, cricket, and netball are the main sports in New Zealand.</t>
  </si>
  <si>
    <t>who makes lois griffin voice?</t>
  </si>
  <si>
    <t>what is the zip code for trenton ga?</t>
  </si>
  <si>
    <t>The zip code for Trenton, GA is 30752.</t>
  </si>
  <si>
    <t>what language do you speak in finland?</t>
  </si>
  <si>
    <t>The official language spoken in Finland is Finnish.</t>
  </si>
  <si>
    <t>what kind of system of government does the united states have?</t>
  </si>
  <si>
    <t>The United States has a presidential system of government.</t>
  </si>
  <si>
    <t>what inventions did da vinci made?</t>
  </si>
  <si>
    <t>Da Vinci made various inventions, including the parachute, helicopter, tank, and diving suit, among others.</t>
  </si>
  <si>
    <t>what was lebron james rookie year?</t>
  </si>
  <si>
    <t>LeBron James' rookie year was 2003.</t>
  </si>
  <si>
    <t>what are shirley temple kids names?</t>
  </si>
  <si>
    <t>Shirley Temple's children's names are Linda Susan Agar, Charles Alden Black Jr., and Lori Alden Black.</t>
  </si>
  <si>
    <t>who does malcom floyd play for?</t>
  </si>
  <si>
    <t>Malcom Floyd used to play for the San Diego Chargers.</t>
  </si>
  <si>
    <t>what position does terrell owens play?</t>
  </si>
  <si>
    <t>Wide receiver.</t>
  </si>
  <si>
    <t>what is julia gillard famous for?</t>
  </si>
  <si>
    <t>Julia Gillard is famous for being the first female Prime Minister of Australia.</t>
  </si>
  <si>
    <t>what did kourtney kardashian go to college for?</t>
  </si>
  <si>
    <t>Kourtney Kardashian went to college for Theatre Arts.</t>
  </si>
  <si>
    <t>what are the four official languages of nigeria?</t>
  </si>
  <si>
    <t>The four official languages of Nigeria are English, Hausa, Yoruba, and Igbo.</t>
  </si>
  <si>
    <t>where is bergen belsen concentration camp located?</t>
  </si>
  <si>
    <t>Bergen-Belsen concentration camp is located in Lower Saxony, Germany.</t>
  </si>
  <si>
    <t>who was louis xvi?</t>
  </si>
  <si>
    <t>Louis XVI was the last king of France before the French Revolution.</t>
  </si>
  <si>
    <t>what was the name of tecumseh brother?</t>
  </si>
  <si>
    <t>The name of Tecumseh's brother was Tenskwatawa.</t>
  </si>
  <si>
    <t>what did donna summers die from?</t>
  </si>
  <si>
    <t>Donna Summers died from lung cancer.</t>
  </si>
  <si>
    <t>what year did allen iverson get married?</t>
  </si>
  <si>
    <t>Allen Iverson got married in 2001.</t>
  </si>
  <si>
    <t>where was selena gomez really born?</t>
  </si>
  <si>
    <t>Selena Gomez was born in Grand Prairie, Texas, USA.</t>
  </si>
  <si>
    <t>who did lamar odom sign with?</t>
  </si>
  <si>
    <t>Lamar Odom signed with the Los Angeles Lakers.</t>
  </si>
  <si>
    <t>what is the best neighborhood to live in in philadelphia?</t>
  </si>
  <si>
    <t>The best neighborhood to live in Philadelphia depends on individual preferences and needs.</t>
  </si>
  <si>
    <t>when did the battle of thermopylae occur?</t>
  </si>
  <si>
    <t>The Battle of Thermopylae occurred in 480 BC.</t>
  </si>
  <si>
    <t>where did eleanor roosevelt go to school?</t>
  </si>
  <si>
    <t>Eleanor Roosevelt attended Allenswood Academy in England.</t>
  </si>
  <si>
    <t>what do you say after a sneeze in german?</t>
  </si>
  <si>
    <t>"Gesundheit!"</t>
  </si>
  <si>
    <t>what country does turkey trade with?</t>
  </si>
  <si>
    <t>Turkey trades with many countries including Germany, Russia, the United Kingdom, Italy, and the United States.</t>
  </si>
  <si>
    <t>where is husqvarna 235 made?</t>
  </si>
  <si>
    <t>Husqvarna 235 is made in Sweden.</t>
  </si>
  <si>
    <t>what do people speak in singapore?</t>
  </si>
  <si>
    <t>The official languages of Singapore are English, Malay, Mandarin, and Tamil.</t>
  </si>
  <si>
    <t>what is the currency in slovakia 2012?</t>
  </si>
  <si>
    <t>The currency in Slovakia in 2012 was the Euro.</t>
  </si>
  <si>
    <t>what is the mascot of dartmouth college?</t>
  </si>
  <si>
    <t>The mascot of Dartmouth College is the Big Green.</t>
  </si>
  <si>
    <t>what country is next to russia?</t>
  </si>
  <si>
    <t>China.</t>
  </si>
  <si>
    <t>who played jacob black?</t>
  </si>
  <si>
    <t>Taylor Lautner.</t>
  </si>
  <si>
    <t>who pays social security and medicare?</t>
  </si>
  <si>
    <t>The social security and medicare programs are funded by contributions from workers and their employers.</t>
  </si>
  <si>
    <t>what movies star adam sandler?</t>
  </si>
  <si>
    <t>Some movies that star Adam Sandler include "Billy Madison," "Happy Gilmore," "The Waterboy," "Big Daddy," "Grown Ups," and "Uncut Gems."</t>
  </si>
  <si>
    <t>what university did bill clinton graduated from?</t>
  </si>
  <si>
    <t>Bill Clinton graduated from Yale University.</t>
  </si>
  <si>
    <t>who plays jackson gibbs on ncis?</t>
  </si>
  <si>
    <t>Robert Wagner.</t>
  </si>
  <si>
    <t>where did president kennedy go to school?</t>
  </si>
  <si>
    <t>President Kennedy attended Harvard University for his undergraduate education and then went on to attend Stanford University for his graduate studies.</t>
  </si>
  <si>
    <t>when did the ny knicks last win a championship?</t>
  </si>
  <si>
    <t>what happened at fukushima daiichi nuclear plant?</t>
  </si>
  <si>
    <t>The Fukushima Daiichi nuclear plant experienced a nuclear disaster caused by a major earthquake and tsunami in March 2011.</t>
  </si>
  <si>
    <t>who was louis kossuth?</t>
  </si>
  <si>
    <t>Louis Kossuth was a Hungarian politician and freedom fighter.</t>
  </si>
  <si>
    <t>what country do arabic people come from?</t>
  </si>
  <si>
    <t>Arabic people come from various countries, primarily from the Arab world, which includes countries such as Saudi Arabia, Egypt, Iraq, Syria, Lebanon, Jordan, and many others.</t>
  </si>
  <si>
    <t>when did the red sox win the pennant?</t>
  </si>
  <si>
    <t>The Red Sox have won the pennant numerous times, so it depends on which year you are referring to.</t>
  </si>
  <si>
    <t>where did harry truman die?</t>
  </si>
  <si>
    <t>Harry Truman died in Kansas City, Missouri.</t>
  </si>
  <si>
    <t>what was prince charles last name?</t>
  </si>
  <si>
    <t>Prince Charles' last name is Windsor.</t>
  </si>
  <si>
    <t>what was reagan before president?</t>
  </si>
  <si>
    <t>Before becoming president, Ronald Reagan was an actor and a politician, serving as the Governor of California from 1967 to 1975.</t>
  </si>
  <si>
    <t>what type of legal system does italy have?</t>
  </si>
  <si>
    <t>Italy has a civil law system.</t>
  </si>
  <si>
    <t>where did bernie madoff work?</t>
  </si>
  <si>
    <t>Bernie Madoff worked at his own investment firm called Bernard L. Madoff Investment Securities LLC.</t>
  </si>
  <si>
    <t>what website did mark zuckerberg co founder?</t>
  </si>
  <si>
    <t>Mark Zuckerberg co-founded the website Facebook.</t>
  </si>
  <si>
    <t>what bass does jared followill use?</t>
  </si>
  <si>
    <t>Jared Followill primarily uses a Fender Precision Bass.</t>
  </si>
  <si>
    <t>who played captain kirk in star trek?</t>
  </si>
  <si>
    <t>William Shatner</t>
  </si>
  <si>
    <t>what type of currency does the us have?</t>
  </si>
  <si>
    <t>The US has the currency called the US Dollar.</t>
  </si>
  <si>
    <t>what currency does thailand use?</t>
  </si>
  <si>
    <t>The currency used in Thailand is the Thai Baht (THB).</t>
  </si>
  <si>
    <t>where is canadian county oklahoma?</t>
  </si>
  <si>
    <t>Canadian County, Oklahoma is located in the central part of the state of Oklahoma, in the United States.</t>
  </si>
  <si>
    <t>in which province islamabad is located?</t>
  </si>
  <si>
    <t>Islamabad is located in the federal capital territory of Pakistan.</t>
  </si>
  <si>
    <t>what does rob kardashian do for living?</t>
  </si>
  <si>
    <t>Rob Kardashian is primarily known for his appearances on the reality TV show "Keeping Up with the Kardashians" and has also worked on various business ventures.</t>
  </si>
  <si>
    <t>where is oceania on a map?</t>
  </si>
  <si>
    <t>Oceania is located in the Pacific Ocean.</t>
  </si>
  <si>
    <t>what did nintendo announce at e3 2012?</t>
  </si>
  <si>
    <t>Nintendo announced the Wii U at E3 2012.</t>
  </si>
  <si>
    <t>what can you do in palm springs ca?</t>
  </si>
  <si>
    <t>There are several things you can do in Palm Springs, CA. Some popular activities include visiting the Palm Springs Aerial Tramway, exploring the architecture and art scene, playing golf, relaxing at the spas and resorts, and going hiking or exploring the nearby Joshua Tree National Park.</t>
  </si>
  <si>
    <t>where is red lake ontario?</t>
  </si>
  <si>
    <t>Red Lake, Ontario is located in northwestern Ontario, Canada.</t>
  </si>
  <si>
    <t>when was the last time the ny giants played in the superbowl?</t>
  </si>
  <si>
    <t>The New York Giants last played in the Super Bowl in 2012.</t>
  </si>
  <si>
    <t>who is adam sandler?</t>
  </si>
  <si>
    <t>Adam Sandler is an American actor, comedian, and musician.</t>
  </si>
  <si>
    <t>who was the president of pakistan in 1980?</t>
  </si>
  <si>
    <t>Muhammad Zia-ul-Haq.</t>
  </si>
  <si>
    <t>which college did barack obama attend?</t>
  </si>
  <si>
    <t>Barack Obama attended Columbia University for his undergraduate degree and Harvard Law School for his law degree.</t>
  </si>
  <si>
    <t>where was st elizabeth ann seton born?</t>
  </si>
  <si>
    <t>St. Elizabeth Ann Seton was born in New York City, United States.</t>
  </si>
  <si>
    <t>what does the adriatic sea border?</t>
  </si>
  <si>
    <t>The Adriatic Sea borders Italy to the west and Croatia to the east.</t>
  </si>
  <si>
    <t>what time do the polls open in indiana 2012?</t>
  </si>
  <si>
    <t>The polls in Indiana opened at 6:00 AM.</t>
  </si>
  <si>
    <t>what teams played in the 2010 stanley cup?</t>
  </si>
  <si>
    <t>The Chicago Blackhawks and the Philadelphia Flyers played in the 2010 Stanley Cup.</t>
  </si>
  <si>
    <t>what colony is john adams from?</t>
  </si>
  <si>
    <t>John Adams was from Massachusetts.</t>
  </si>
  <si>
    <t>what countries do germany border?</t>
  </si>
  <si>
    <t>Germany borders the following countries: Austria, Belgium, Czech Republic, Denmark, France, Luxembourg, the Netherlands, Poland, and Switzerland.</t>
  </si>
  <si>
    <t>who does russia trade with the most?</t>
  </si>
  <si>
    <t>what language do the assyrians speak?</t>
  </si>
  <si>
    <t>Aramaic.</t>
  </si>
  <si>
    <t>who plays mary jane in spiderman 3?</t>
  </si>
  <si>
    <t>Kirsten Dunst.</t>
  </si>
  <si>
    <t>where was abraham lincoln buried?</t>
  </si>
  <si>
    <t>Abraham Lincoln was buried in Springfield, Illinois.</t>
  </si>
  <si>
    <t>who was the grandson of king david's father?</t>
  </si>
  <si>
    <t>The grandson of King David's father was Solomon.</t>
  </si>
  <si>
    <t>when president lincoln was elected?</t>
  </si>
  <si>
    <t>President Lincoln was elected in 1860.</t>
  </si>
  <si>
    <t>when was the last time the oakland raiders won the super bowl?</t>
  </si>
  <si>
    <t>The Oakland Raiders last won the Super Bowl in 1984.</t>
  </si>
  <si>
    <t>what did theodore roosevelt do that brought him to national prominence?</t>
  </si>
  <si>
    <t>Theodore Roosevelt's leadership during the Spanish-American War brought him to national prominence.</t>
  </si>
  <si>
    <t>where is devon sawa now?</t>
  </si>
  <si>
    <t>Devon Sawa is currently active in the entertainment industry, with recent roles in television shows and movies.</t>
  </si>
  <si>
    <t>who did the cleveland browns draft?</t>
  </si>
  <si>
    <t>The answer to the question "Who did the Cleveland Browns draft?" would depend on the specific year and draft in question.</t>
  </si>
  <si>
    <t>who was marilyn monroe's parents?</t>
  </si>
  <si>
    <t>Marilyn Monroe's parents were Gladys Pearl Monroe and Charles Stanley Gifford.</t>
  </si>
  <si>
    <t>what to do when traveling to london?</t>
  </si>
  <si>
    <t>When traveling to London, explore famous landmarks such as the Tower of London, Buckingham Palace, and the British Museum. Also, take a ride on the London Eye, enjoy West End theater shows, and try traditional English cuisine.</t>
  </si>
  <si>
    <t>where is shoreditch?</t>
  </si>
  <si>
    <t>Shoreditch is a district in the East End of London, England.</t>
  </si>
  <si>
    <t>what should i do today in houston?</t>
  </si>
  <si>
    <t>Visit the Space Center Houston, explore the Museum of Fine Arts, or enjoy the outdoors at Buffalo Bayou Park.</t>
  </si>
  <si>
    <t>where does the spanish language come from?</t>
  </si>
  <si>
    <t>Spanish language comes from the romance language family, which evolved from Vulgar Latin, brought by the Romans to the Iberian Peninsula.</t>
  </si>
  <si>
    <t>when do they change the time in london?</t>
  </si>
  <si>
    <t>They change the time in London twice a year for daylight saving.</t>
  </si>
  <si>
    <t>where does ryan lochte live now?</t>
  </si>
  <si>
    <t>what timezone is tennessee nashville?</t>
  </si>
  <si>
    <t>Tennessee Nashville is in the Central Time Zone.</t>
  </si>
  <si>
    <t>what political party was henry clay?</t>
  </si>
  <si>
    <t>Henry Clay was a member of the Whig Party.</t>
  </si>
  <si>
    <t>what is capital city of ontario?</t>
  </si>
  <si>
    <t>The capital city of Ontario is Toronto.</t>
  </si>
  <si>
    <t>what money is used in england?</t>
  </si>
  <si>
    <t>The currency used in England is the British Pound (£).</t>
  </si>
  <si>
    <t>who did corey feldman married?</t>
  </si>
  <si>
    <t>Corey Feldman married Courtney Anne Mitchell.</t>
  </si>
  <si>
    <t>who is the voice of lois from family guy?</t>
  </si>
  <si>
    <t>what was walt disney's first cartoon called?</t>
  </si>
  <si>
    <t>Walt Disney's first cartoon was called "Steamboat Willie."</t>
  </si>
  <si>
    <t>what did mary harris jones accomplish?</t>
  </si>
  <si>
    <t>Mary Harris Jones, also known as Mother Jones, was a prominent labor and community organizer who fought for workers' rights and improved working conditions in the late 19th and early 20th centuries.</t>
  </si>
  <si>
    <t>what currency do i need in egypt?</t>
  </si>
  <si>
    <t>The currency you need in Egypt is the Egyptian pound.</t>
  </si>
  <si>
    <t>who was the founder of the colony of virginia?</t>
  </si>
  <si>
    <t>The founder of the colony of Virginia was Sir Walter Raleigh.</t>
  </si>
  <si>
    <t>where is ellis park rugby stadium?</t>
  </si>
  <si>
    <t>Ellis Park Rugby Stadium is located in Johannesburg, South Africa.</t>
  </si>
  <si>
    <t>what does the letters eu stand for?</t>
  </si>
  <si>
    <t>European Union.</t>
  </si>
  <si>
    <t>what are the 5 countries in the united kingdom?</t>
  </si>
  <si>
    <t>The 5 countries in the United Kingdom are England, Scotland, Wales, Northern Ireland, and Cornwall.</t>
  </si>
  <si>
    <t>what label is jojo signed to?</t>
  </si>
  <si>
    <t>JoJo is currently signed to Warner Records.</t>
  </si>
  <si>
    <t>who is the state senator of kentucky?</t>
  </si>
  <si>
    <t>The current state senator of Kentucky is Mitch McConnell.</t>
  </si>
  <si>
    <t>where did douglas macarthur die?</t>
  </si>
  <si>
    <t>Douglas MacArthur died in Washington, D.C., United States.</t>
  </si>
  <si>
    <t>what does russian people speak?</t>
  </si>
  <si>
    <t>Russian.</t>
  </si>
  <si>
    <t>who is playing jason morgan on general hospital?</t>
  </si>
  <si>
    <t>Steve Burton is currently playing the role of Jason Morgan on General Hospital.</t>
  </si>
  <si>
    <t>where is hong kong china?</t>
  </si>
  <si>
    <t>Hong Kong is a Special Administrative Region of China.</t>
  </si>
  <si>
    <t>what countries do they speak italian?</t>
  </si>
  <si>
    <t>Italy is the main country where Italian is spoken. Additionally, Italian is spoken in Vatican City, San Marino, and parts of Switzerland and Croatia.</t>
  </si>
  <si>
    <t>who does david beckham play for in 2013?</t>
  </si>
  <si>
    <t>who nikki reed play in twilight?</t>
  </si>
  <si>
    <t>Nikki Reed played the character Rosalie Hale in the Twilight series.</t>
  </si>
  <si>
    <t>who does blake griffin play for in the nba?</t>
  </si>
  <si>
    <t>Blake Griffin currently plays for the Brooklyn Nets in the NBA.</t>
  </si>
  <si>
    <t>who played mulder in the x files?</t>
  </si>
  <si>
    <t>David Duchovny.</t>
  </si>
  <si>
    <t>what are bridgit mendler's parents names?</t>
  </si>
  <si>
    <t>Bridgit Mendler's parents' names are Harry Mendler and Leah Mendler.</t>
  </si>
  <si>
    <t>what tourist attractions are in houston texas?</t>
  </si>
  <si>
    <t>Some popular tourist attractions in Houston, Texas are the Space Center Houston, Museum of Fine Arts, Houston Zoo, Houston Museum of Natural Science, and Buffalo Bayou Park.</t>
  </si>
  <si>
    <t>who are the current maryland senators?</t>
  </si>
  <si>
    <t>The current Maryland senators are Chris Van Hollen and Ben Cardin.</t>
  </si>
  <si>
    <t>where is the capital of canada on the map?</t>
  </si>
  <si>
    <t>Ottawa.</t>
  </si>
  <si>
    <t>what time does barnes and noble close on saturday?</t>
  </si>
  <si>
    <t>Barnes and Noble usually closes at 10 PM on Saturdays.</t>
  </si>
  <si>
    <t>what kind of paintings did frida kahlo do?</t>
  </si>
  <si>
    <t>Frida Kahlo's paintings were often self-portraits and featured surrealism, symbolism, and expressions of pain and identity.</t>
  </si>
  <si>
    <t>what was francisco vasquez de coronado known for?</t>
  </si>
  <si>
    <t>Francisco Vasquez de Coronado was known for leading an expedition in search of the Seven Cities of Gold in the southwestern United States.</t>
  </si>
  <si>
    <t>what form of government does greece use?</t>
  </si>
  <si>
    <t>Greece uses a parliamentary republic form of government.</t>
  </si>
  <si>
    <t>where did the columbia river begin?</t>
  </si>
  <si>
    <t>The Columbia River begins in British Columbia, Canada.</t>
  </si>
  <si>
    <t>who was the original voice of meg on family guy?</t>
  </si>
  <si>
    <t>what movies has michael clarke duncan been in?</t>
  </si>
  <si>
    <t>Some of the movies Michael Clarke Duncan has been in include "The Green Mile," "Armageddon," "Daredevil," and "The Scorpion King."</t>
  </si>
  <si>
    <t>who did matt barnes married?</t>
  </si>
  <si>
    <t>Matt Barnes married Gloria Govan.</t>
  </si>
  <si>
    <t>who won the nobel peace prize in 2011 for physics?</t>
  </si>
  <si>
    <t>No one won the Nobel Peace Prize in 2011 for physics. The Nobel Peace Prize is awarded for achievements in promoting peace, not for scientific discoveries.</t>
  </si>
  <si>
    <t>what is jessica ennis sport?</t>
  </si>
  <si>
    <t>Jessica Ennis is a retired British track and field athlete.</t>
  </si>
  <si>
    <t>where is tahiti bora bora?</t>
  </si>
  <si>
    <t>Tahiti is located in French Polynesia, which is an archipelago in the South Pacific. Bora Bora is one of the islands within the French Polynesia, specifically located northwest of Tahiti.</t>
  </si>
  <si>
    <t>what are all of michael jackson albums?</t>
  </si>
  <si>
    <t>Michael Jackson released a total of ten studio albums: "Got to Be There" (1972), "Ben" (1972), "Music &amp; Me" (1973), "Forever, Michael" (1975), "Off the Wall" (1979), "Thriller" (1982), "Bad" (1987), "Dangerous" (1991), "HIStory: Past, Present and Future, Book I" (1995), and "Invincible" (2001).</t>
  </si>
  <si>
    <t>where did joe namath live?</t>
  </si>
  <si>
    <t>Joe Namath primarily lived in various places throughout his life, including Beaver Falls, Pennsylvania, and later in New York City during his NFL career with the New York Jets.</t>
  </si>
  <si>
    <t>who is my state senator and representative minnesota?</t>
  </si>
  <si>
    <t>I'm an language model AI and I don't have access to real-time data. The representatives for your state may vary based on your specific address. To find out who your state senator and representative are in Minnesota, you can visit the Minnesota Legislature website or contact your local election office.</t>
  </si>
  <si>
    <t>what films has kristen stewart starred in?</t>
  </si>
  <si>
    <t>Some films that Kristen Stewart has starred in include Twilight, Snow White and the Huntsman, Panic Room, and Charlie's Angels.</t>
  </si>
  <si>
    <t>where do samsung lions play?</t>
  </si>
  <si>
    <t>Samsung Lions play at the Daegu Samsung Lions Park in Daegu, South Korea.</t>
  </si>
  <si>
    <t>where did lee surrender to grant to end the civil war?</t>
  </si>
  <si>
    <t>Lee surrendered to Grant at Appomattox Court House to end the Civil War.</t>
  </si>
  <si>
    <t>what does annie leibovitz do?</t>
  </si>
  <si>
    <t>Annie Leibovitz is a photographer.</t>
  </si>
  <si>
    <t>what teams did derek fisher play for in the nba?</t>
  </si>
  <si>
    <t>Derek Fisher played for the Los Angeles Lakers, Golden State Warriors, Utah Jazz, Oklahoma City Thunder, and Dallas Mavericks in the NBA.</t>
  </si>
  <si>
    <t>who did mike tomlin play for?</t>
  </si>
  <si>
    <t>Mike Tomlin played as a wide receiver for the College of William &amp; Mary.</t>
  </si>
  <si>
    <t>what kind of currency does cuba use?</t>
  </si>
  <si>
    <t>Cuba uses the Cuban Peso (CUP) as its currency.</t>
  </si>
  <si>
    <t>who is ben roethlisberger parents?</t>
  </si>
  <si>
    <t>Ken and Brenda Roethlisberger.</t>
  </si>
  <si>
    <t>what movies have robert pattinson starred in?</t>
  </si>
  <si>
    <t>Twilight Saga, Harry Potter and the Goblet of Fire, Good Time, The Lighthouse, etc.</t>
  </si>
  <si>
    <t>what are the zoroastrian scriptures called?</t>
  </si>
  <si>
    <t>The Zoroastrian scriptures are called the Avesta.</t>
  </si>
  <si>
    <t>what political party is barack obama from?</t>
  </si>
  <si>
    <t>Barack Obama is from the Democratic Party.</t>
  </si>
  <si>
    <t>what organization did martin luther king lead?</t>
  </si>
  <si>
    <t>Martin Luther King led the Southern Christian Leadership Conference (SCLC).</t>
  </si>
  <si>
    <t>where did the name nazi come from?</t>
  </si>
  <si>
    <t>The name "Nazi" is derived from the German abbreviated pronunciation of the word "Nationalsozialist," which means National Socialist.</t>
  </si>
  <si>
    <t>what was arthur conan doyle famous for?</t>
  </si>
  <si>
    <t>Arthur Conan Doyle was famous for creating the character Sherlock Holmes.</t>
  </si>
  <si>
    <t>what year did michael jordan started his career?</t>
  </si>
  <si>
    <t>Michael Jordan started his career in 1984.</t>
  </si>
  <si>
    <t>what currency should you take to thailand?</t>
  </si>
  <si>
    <t>Thai Baht.</t>
  </si>
  <si>
    <t>what kind of guitar does jemaine clement play?</t>
  </si>
  <si>
    <t>Jemaine Clement plays an acoustic guitar.</t>
  </si>
  <si>
    <t>where is greyhound station in washington dc?</t>
  </si>
  <si>
    <t>The Greyhound station in Washington DC is located at 1005 1st St NE.</t>
  </si>
  <si>
    <t>where was lance armstrong born and in what year?</t>
  </si>
  <si>
    <t>Lance Armstrong was born in Plano, Texas, in 1971.</t>
  </si>
  <si>
    <t>what kind of money is used in israel?</t>
  </si>
  <si>
    <t>The currency used in Israel is the Israeli Shekel.</t>
  </si>
  <si>
    <t>where is george bush from?</t>
  </si>
  <si>
    <t>George Bush is from the United States of America.</t>
  </si>
  <si>
    <t>what did william howe do in the revolutionary war?</t>
  </si>
  <si>
    <t>William Howe was a British general who commanded British forces during the Revolutionary War.</t>
  </si>
  <si>
    <t>who is the falcons quarterback 2012?</t>
  </si>
  <si>
    <t>Matt Ryan.</t>
  </si>
  <si>
    <t>what is the zip code for trenton ohio?</t>
  </si>
  <si>
    <t>The ZIP code for Trenton, Ohio is 45067.</t>
  </si>
  <si>
    <t>what is north dakota state's mascot?</t>
  </si>
  <si>
    <t>The mascot of North Dakota State is the Bison.</t>
  </si>
  <si>
    <t>what is the work of charles darwin?</t>
  </si>
  <si>
    <t>Charles Darwin is best known for his theory of evolution through natural selection, which he outlined in his groundbreaking book, "On the Origin of Species."</t>
  </si>
  <si>
    <t>what movies have adam sandler been in?</t>
  </si>
  <si>
    <t>Adam Sandler has been in numerous movies including Happy Gilmore, Billy Madison, The Wedding Singer, Grown Ups, and many others.</t>
  </si>
  <si>
    <t>what was one of benjamin franklin's inventions?</t>
  </si>
  <si>
    <t>One of Benjamin Franklin's inventions was the lightning rod.</t>
  </si>
  <si>
    <t>where did phil mickelson go to college?</t>
  </si>
  <si>
    <t>Phil Mickelson attended Arizona State University.</t>
  </si>
  <si>
    <t>what is the most practiced religion in the us?</t>
  </si>
  <si>
    <t>Christianity.</t>
  </si>
  <si>
    <t>what does duffy sing?</t>
  </si>
  <si>
    <t>Duffy sings pop and soul music.</t>
  </si>
  <si>
    <t>what school did tupac go to?</t>
  </si>
  <si>
    <t>Tupac went to the Baltimore School for the Arts.</t>
  </si>
  <si>
    <t>what does guyana speak?</t>
  </si>
  <si>
    <t>Guyana speaks English.</t>
  </si>
  <si>
    <t>where did the flemish live?</t>
  </si>
  <si>
    <t>Flemish people lived in Flanders, which is a region in present-day Belgium.</t>
  </si>
  <si>
    <t>what year did the houston rockets win their first championship?</t>
  </si>
  <si>
    <t>what college did harry s. truman attend?</t>
  </si>
  <si>
    <t>Harry S. Truman attended the University of Missouri-Kansas City School of Law.</t>
  </si>
  <si>
    <t>what is the official language spoken in mexico?</t>
  </si>
  <si>
    <t>what county is minneapolis mn in?</t>
  </si>
  <si>
    <t>Hennepin County.</t>
  </si>
  <si>
    <t>what religion in thailand?</t>
  </si>
  <si>
    <t>The main religion in Thailand is Buddhism.</t>
  </si>
  <si>
    <t>who is queen elizabeth 1 father?</t>
  </si>
  <si>
    <t>Queen Elizabeth I's father was King Henry VIII.</t>
  </si>
  <si>
    <t>what other languages does switzerland speak?</t>
  </si>
  <si>
    <t>Switzerland speaks four official languages: German, French, Italian, and Romansh.</t>
  </si>
  <si>
    <t>what team is ronaldinho on?</t>
  </si>
  <si>
    <t>As of now, Ronaldinho is not on any team.</t>
  </si>
  <si>
    <t>who plays paul blart?</t>
  </si>
  <si>
    <t>Kevin James</t>
  </si>
  <si>
    <t>who is kobe bryant wife bio?</t>
  </si>
  <si>
    <t>Kobe Bryant's wife is Vanessa Bryant.</t>
  </si>
  <si>
    <t>what kind of government system does canada have?</t>
  </si>
  <si>
    <t>Canada has a parliamentary democracy.</t>
  </si>
  <si>
    <t>what type of government did sparta greece have?</t>
  </si>
  <si>
    <t>Sparta had a mixed government, with elements of monarchy, oligarchy, and democracy.</t>
  </si>
  <si>
    <t>where to vacation in italy in august?</t>
  </si>
  <si>
    <t>Popular vacation destinations in Italy in August include cities like Rome, Florence, and Venice, as well as coastal areas like the Amalfi Coast, Cinque Terre, and Sardinia.</t>
  </si>
  <si>
    <t>what culture lived in teotihuacan?</t>
  </si>
  <si>
    <t>The ancient Teotihuacan culture lived in Teotihuacan.</t>
  </si>
  <si>
    <t>what kind of voting system does japan have?</t>
  </si>
  <si>
    <t>Japan has a parallel voting system with a combination of single-member districts and proportional representation.</t>
  </si>
  <si>
    <t>what are the names of all the countries in africa?</t>
  </si>
  <si>
    <t>There are 54 countries in Africa.</t>
  </si>
  <si>
    <t>who started the first persian gulf war?</t>
  </si>
  <si>
    <t>The first Persian Gulf War was started by Iraq under the leadership of Saddam Hussein.</t>
  </si>
  <si>
    <t>what is the name of the pittsburgh steelers stadium?</t>
  </si>
  <si>
    <t>Heinz Field.</t>
  </si>
  <si>
    <t>who was cleopatra married too?</t>
  </si>
  <si>
    <t>Cleopatra was married to Mark Antony.</t>
  </si>
  <si>
    <t>where was nicki minaj born?</t>
  </si>
  <si>
    <t>Nicki Minaj was born in Saint James, Trinidad and Tobago.</t>
  </si>
  <si>
    <t>what was jesse james wife name?</t>
  </si>
  <si>
    <t>Jesse James' wife's name was Zerelda Mimms.</t>
  </si>
  <si>
    <t>who plays spike in buffy the vampire slayer?</t>
  </si>
  <si>
    <t>James Marsters.</t>
  </si>
  <si>
    <t>where was emperor hadrian born?</t>
  </si>
  <si>
    <t>Emperor Hadrian was born in Italica, Spain.</t>
  </si>
  <si>
    <t>when was gardasil released to the public?</t>
  </si>
  <si>
    <t>Gardasil was released to the public in 2006.</t>
  </si>
  <si>
    <t>who became president when roosevelt died in office?</t>
  </si>
  <si>
    <t>Harry S. Truman</t>
  </si>
  <si>
    <t>where did martin luther king went to school?</t>
  </si>
  <si>
    <t>Martin Luther King went to school at Morehouse College, Crozer Theological Seminary, and Boston University.</t>
  </si>
  <si>
    <t>where did charles drew go to college?</t>
  </si>
  <si>
    <t>Charles Drew attended Amherst College for his undergraduate education.</t>
  </si>
  <si>
    <t>what was the colosseum in rome used for?</t>
  </si>
  <si>
    <t>The Colosseum in Rome was used for gladiatorial contests and public spectacles.</t>
  </si>
  <si>
    <t>who voice acts peter griffin?</t>
  </si>
  <si>
    <t>who was charles darwin married to?</t>
  </si>
  <si>
    <t>Emma Wedgwood</t>
  </si>
  <si>
    <t>who plays lynette on desperate housewives?</t>
  </si>
  <si>
    <t>Felicity Huffman.</t>
  </si>
  <si>
    <t>what year was michael jordan rookie year?</t>
  </si>
  <si>
    <t>what timezone is the state of texas?</t>
  </si>
  <si>
    <t>The state of Texas is in the Central Time Zone.</t>
  </si>
  <si>
    <t>what did chadwick identify?</t>
  </si>
  <si>
    <t>Chadwick identified the neutron.</t>
  </si>
  <si>
    <t>what airport is closest to ithaca ny?</t>
  </si>
  <si>
    <t>The closest airport to Ithaca, NY is the Ithaca Tompkins Regional Airport.</t>
  </si>
  <si>
    <t>where did kurt cobain die?</t>
  </si>
  <si>
    <t>Kurt Cobain died in Seattle, Washington.</t>
  </si>
  <si>
    <t>what county is jackson michigan in?</t>
  </si>
  <si>
    <t>Jackson, Michigan is located in Jackson County.</t>
  </si>
  <si>
    <t>where was the battle of verdun held?</t>
  </si>
  <si>
    <t>The battle of Verdun was held in Verdun, France.</t>
  </si>
  <si>
    <t>what system of government does nigeria have?</t>
  </si>
  <si>
    <t>Nigeria has a federal presidential system of government.</t>
  </si>
  <si>
    <t>who played boss hogg dukes of hazzard?</t>
  </si>
  <si>
    <t>Sorrell Booke played Boss Hogg in The Dukes of Hazzard.</t>
  </si>
  <si>
    <t>who played kitt in knight rider?</t>
  </si>
  <si>
    <t>William Daniels played the voice of KITT in Knight Rider.</t>
  </si>
  <si>
    <t>what religion did the ottoman turks follow?</t>
  </si>
  <si>
    <t>The Ottoman Turks followed the religion of Islam.</t>
  </si>
  <si>
    <t>what is vanderbilt university known for?</t>
  </si>
  <si>
    <t>Vanderbilt University is known for its strong academic programs, prestigious reputation, and beautiful campus.</t>
  </si>
  <si>
    <t>what timezone is toronto gmt?</t>
  </si>
  <si>
    <t>The timezone in Toronto is GMT-4.</t>
  </si>
  <si>
    <t>what religion is king henry viii?</t>
  </si>
  <si>
    <t>King Henry VIII was initially a devout Catholic but later split with the Catholic Church and established the Church of England.</t>
  </si>
  <si>
    <t>what countries did germany take over during world war 2?</t>
  </si>
  <si>
    <t>Germany took over several countries during World War 2, including Poland, France, Belgium, the Netherlands, Norway, Denmark, Luxembourg, and parts of the Soviet Union.</t>
  </si>
  <si>
    <t>where did james baldwin go to school?</t>
  </si>
  <si>
    <t>James Baldwin attended DeWitt Clinton High School in the Bronx, New York.</t>
  </si>
  <si>
    <t>who was joseph pulitzer and what did he do?</t>
  </si>
  <si>
    <t>Joseph Pulitzer was a Hungarian-American newspaper publisher and journalist. He is best known for establishing the Pulitzer Prize, an esteemed award for achievements in writing, journalism, and music composition.</t>
  </si>
  <si>
    <t>where do you fly into for destin?</t>
  </si>
  <si>
    <t>The nearest airport to Destin is Destin-Fort Walton Beach Airport (VPS).</t>
  </si>
  <si>
    <t>where did jane austen grow up?</t>
  </si>
  <si>
    <t>Jane Austen grew up in Steventon, Hampshire, England.</t>
  </si>
  <si>
    <t>what was basketball player michael jordan's major in college?</t>
  </si>
  <si>
    <t>Michael Jordan's major in college was cultural geography.</t>
  </si>
  <si>
    <t>who made the american red cross?</t>
  </si>
  <si>
    <t>The American Red Cross was founded by Clara Barton.</t>
  </si>
  <si>
    <t>what kind government does canada have?</t>
  </si>
  <si>
    <t>Canada has a parliamentary democracy and a constitutional monarchy.</t>
  </si>
  <si>
    <t>where does dr. sanjay gupta practice?</t>
  </si>
  <si>
    <t>Dr. Sanjay Gupta practices in Atlanta, Georgia, United States.</t>
  </si>
  <si>
    <t>what did newton discover or invent?</t>
  </si>
  <si>
    <t>Newton discovered the laws of motion and universal gravitation, and invented calculus.</t>
  </si>
  <si>
    <t>who played daniel larusso?</t>
  </si>
  <si>
    <t>Ralph Macchio played Daniel LaRusso.</t>
  </si>
  <si>
    <t>what happened to umaga wwe?</t>
  </si>
  <si>
    <t>Umaga, also known as Eddie Fatu, passed away on December 4, 2009, due to a heart attack.</t>
  </si>
  <si>
    <t>when is the next geneva motor show?</t>
  </si>
  <si>
    <t>The next Geneva Motor Show is scheduled for March 2022.</t>
  </si>
  <si>
    <t>who does david beckham play for in 2012?</t>
  </si>
  <si>
    <t>David Beckham played for the Los Angeles Galaxy in 2012.</t>
  </si>
  <si>
    <t>when and where did the battle of antietam take place?</t>
  </si>
  <si>
    <t>The Battle of Antietam took place on September 17, 1862, in Sharpsburg, Maryland.</t>
  </si>
  <si>
    <t>what movies did jj abrams direct?</t>
  </si>
  <si>
    <t>JJ Abrams directed movies such as "Star Wars: The Force Awakens," "Star Trek," and "Super 8."</t>
  </si>
  <si>
    <t>what countries does armenia border?</t>
  </si>
  <si>
    <t>Armenia borders Georgia, Azerbaijan, Iran, and Turkey.</t>
  </si>
  <si>
    <t>what season does haley have her second baby?</t>
  </si>
  <si>
    <t>In season 8.</t>
  </si>
  <si>
    <t>what two countries speak italian?</t>
  </si>
  <si>
    <t>Italy and San Marino both speak Italian.</t>
  </si>
  <si>
    <t>when richard nixon was president?</t>
  </si>
  <si>
    <t>Richard Nixon was president from January 20, 1969 to August 9, 1974.</t>
  </si>
  <si>
    <t>what job did martin luther king jr have?</t>
  </si>
  <si>
    <t>Martin Luther King Jr was a civil rights activist and leader of the nonviolent movement for racial equality in the United States.</t>
  </si>
  <si>
    <t>what characters does seth macfarlane voice?</t>
  </si>
  <si>
    <t>Seth MacFarlane voices characters such as Peter Griffin, Stewie Griffin, and Brian Griffin in the animated series "Family Guy."</t>
  </si>
  <si>
    <t>where did macho camacho got shot at?</t>
  </si>
  <si>
    <t>Macho Camacho was shot in the face and neck.</t>
  </si>
  <si>
    <t>what has ian somerhalder played in?</t>
  </si>
  <si>
    <t>Ian Somerhalder has played the role of Damon Salvatore in the TV series "The Vampire Diaries."</t>
  </si>
  <si>
    <t>what time does target in alhambra close?</t>
  </si>
  <si>
    <t>The closing time for Target in Alhambra may vary, but typically it closes at 10:00 PM. It is recommended to check with the specific store for their exact closing time.</t>
  </si>
  <si>
    <t>who is andrew carnegie and what did he do?</t>
  </si>
  <si>
    <t>Andrew Carnegie was an American industrialist and philanthropist. He built a vast steel empire and became one of the richest men in history. He is best known for his philanthropic efforts, which included supporting libraries, education, and peace initiatives.</t>
  </si>
  <si>
    <t>who plays lorne on angel?</t>
  </si>
  <si>
    <t>Andy Hallett.</t>
  </si>
  <si>
    <t>what form of government exists in china?</t>
  </si>
  <si>
    <t>The form of government in China is a single-party socialist state, dominated by the Chinese Communist Party.</t>
  </si>
  <si>
    <t>what influenced abraham lincoln to become president?</t>
  </si>
  <si>
    <t>Abraham Lincoln was influenced to become president by his belief in preserving the Union and his opposition to slavery.</t>
  </si>
  <si>
    <t>who is jeremy sumpter?</t>
  </si>
  <si>
    <t>Jeremy Sumpter is an American actor.</t>
  </si>
  <si>
    <t>when last did real madrid win the champions league?</t>
  </si>
  <si>
    <t>Real Madrid last won the Champions League in the 2017-2018 season.</t>
  </si>
  <si>
    <t>who was the winner of the 2009 nobel peace prize?</t>
  </si>
  <si>
    <t>Barack Obama.</t>
  </si>
  <si>
    <t>who is ruling north korea now?</t>
  </si>
  <si>
    <t>Kim Jong Un is currently ruling North Korea.</t>
  </si>
  <si>
    <t>what bible do rastafarians use?</t>
  </si>
  <si>
    <t>Rastafarians primarily use the King James Version of the Bible.</t>
  </si>
  <si>
    <t>who does cristiano ronaldo play for now 2011?</t>
  </si>
  <si>
    <t>Cristiano Ronaldo plays for Real Madrid in 2011.</t>
  </si>
  <si>
    <t>what state did henry clay represent?</t>
  </si>
  <si>
    <t>Kentucky</t>
  </si>
  <si>
    <t>what country was vasco nunez de balboa born in?</t>
  </si>
  <si>
    <t>which states does the mississippi river pass through?</t>
  </si>
  <si>
    <t>The Mississippi River passes through or borders the following states: Minnesota, Wisconsin, Iowa, Illinois, Missouri, Kentucky, Tennessee, Arkansas, Mississippi, and Louisiana.</t>
  </si>
  <si>
    <t>where was san gabriel arcangel located?</t>
  </si>
  <si>
    <t>San Gabriel Arcangel was located in San Gabriel, California.</t>
  </si>
  <si>
    <t>who was the emperor before nero?</t>
  </si>
  <si>
    <t>The emperor before Nero was Claudius.</t>
  </si>
  <si>
    <t>what type of artwork did henri matisse produce?</t>
  </si>
  <si>
    <t>Henri Matisse produced various types of artwork, including paintings, sculptures, drawings, prints, and paper cut-outs.</t>
  </si>
  <si>
    <t>what is gibby's mom's name?</t>
  </si>
  <si>
    <t>Gibby's mom's name is Charlotte.</t>
  </si>
  <si>
    <t>what type of music does ella fitzgerald sing?</t>
  </si>
  <si>
    <t>Ella Fitzgerald sings jazz music.</t>
  </si>
  <si>
    <t>where do the orioles play spring training?</t>
  </si>
  <si>
    <t>The orioles play spring training in Sarasota, Florida.</t>
  </si>
  <si>
    <t>what are the best places to go in germany?</t>
  </si>
  <si>
    <t>The best places to go in Germany are Berlin, Munich, Hamburg, Cologne, and the Black Forest.</t>
  </si>
  <si>
    <t>what movies are directed by steven spielberg?</t>
  </si>
  <si>
    <t>Some movies directed by Steven Spielberg include E.T. the Extra-Terrestrial, Jaws, Jurassic Park, and Schindler's List.</t>
  </si>
  <si>
    <t>what instrument does mike huckabee play?</t>
  </si>
  <si>
    <t>Mike Huckabee plays the guitar.</t>
  </si>
  <si>
    <t>what movies does matt damon play in?</t>
  </si>
  <si>
    <t>Matt Damon has appeared in movies like "Good Will Hunting", "The Bourne Identity", "The Martian", "Ocean's Eleven", and "The Departed", among others.</t>
  </si>
  <si>
    <t>where is basque located?</t>
  </si>
  <si>
    <t>Basque is located in the western Pyrenees, between France and Spain.</t>
  </si>
  <si>
    <t>what movies does alyson stoner play in?</t>
  </si>
  <si>
    <t>Alyson Stoner has appeared in movies such as "Cheaper by the Dozen," "Step Up," and "Camp Rock."</t>
  </si>
  <si>
    <t>who did paul jr marry?</t>
  </si>
  <si>
    <t>Paul Jr. married Rachael Biester.</t>
  </si>
  <si>
    <t>when are school holidays in uk 2011?</t>
  </si>
  <si>
    <t>The school holidays in the UK for 2011 vary depending on the region and school district. It is best to check with specific schools or local authorities for accurate information.</t>
  </si>
  <si>
    <t>what region is czech republic in?</t>
  </si>
  <si>
    <t>Czech Republic is in Central Europe.</t>
  </si>
  <si>
    <t>who the voice of jack skellington?</t>
  </si>
  <si>
    <t>The voice of Jack Skellington is performed by Chris Sarandon.</t>
  </si>
  <si>
    <t>who raised queen victoria?</t>
  </si>
  <si>
    <t>Queen Victoria was primarily raised by her mother, Victoria, the Duchess of Kent, and her mother's advisor, Sir John Conroy.</t>
  </si>
  <si>
    <t>who are the famous athletes in kenya?</t>
  </si>
  <si>
    <t>Some famous athletes in Kenya include Eliud Kipchoge (marathon runner), David Rudisha (800m runner), and Hellen Obiri (long-distance runner).</t>
  </si>
  <si>
    <t>what to see in staten island new york?</t>
  </si>
  <si>
    <t>Some popular attractions to see in Staten Island, New York include the Staten Island Ferry, Snug Harbor Cultural Center &amp; Botanical Garden, Staten Island Zoo, and the Staten Island Museum.</t>
  </si>
  <si>
    <t>what continent is greenland located?</t>
  </si>
  <si>
    <t>what language do egyptians use?</t>
  </si>
  <si>
    <t>The main language spoken in Egypt is Arabic.</t>
  </si>
  <si>
    <t>what teams did gretzky play on?</t>
  </si>
  <si>
    <t>Gretzky played on several teams during his career, including the Edmonton Oilers, Los Angeles Kings, St. Louis Blues, and New York Rangers.</t>
  </si>
  <si>
    <t>where was obama educated?</t>
  </si>
  <si>
    <t>Obama was educated at Columbia University and Harvard Law School.</t>
  </si>
  <si>
    <t>who did wayne gretzky play 4?</t>
  </si>
  <si>
    <t>Wayne Gretzky played for the Edmonton Oilers, Los Angeles Kings, St. Louis Blues, and New York Rangers.</t>
  </si>
  <si>
    <t>who played sean in scrubs?</t>
  </si>
  <si>
    <t>Michael Mosley.</t>
  </si>
  <si>
    <t>what was the name of the book hitler wrote while in prison?</t>
  </si>
  <si>
    <t>where did pizarro land?</t>
  </si>
  <si>
    <t>Pizarro landed in Peru.</t>
  </si>
  <si>
    <t>what is the name of the main train station in san francisco?</t>
  </si>
  <si>
    <t>The name of the main train station in San Francisco is 30th Street Station.</t>
  </si>
  <si>
    <t>what is the large mountain range in the western united states?</t>
  </si>
  <si>
    <t>The large mountain range in the western United States is the Rocky Mountains.</t>
  </si>
  <si>
    <t>what is brazilian jiu jitsu?</t>
  </si>
  <si>
    <t>Brazilian Jiu-Jitsu is a martial art and combat sport that focuses on ground fighting and grappling techniques.</t>
  </si>
  <si>
    <t>what are the major languages in italy?</t>
  </si>
  <si>
    <t>The major language in Italy is Italian.</t>
  </si>
  <si>
    <t>where did the battle of new orleans start?</t>
  </si>
  <si>
    <t>The Battle of New Orleans started in Chalmette, Louisiana, just outside of New Orleans.</t>
  </si>
  <si>
    <t>what does the dominican republic speak?</t>
  </si>
  <si>
    <t>The Dominican Republic speaks Spanish.</t>
  </si>
  <si>
    <t>when did barry zito won the cy young?</t>
  </si>
  <si>
    <t>Barry Zito won the Cy Young Award in 2002.</t>
  </si>
  <si>
    <t>who is paul revere and what did he do?</t>
  </si>
  <si>
    <t>Paul Revere was a Patriot in the American Revolutionary War. He is famous for his midnight ride on April 18, 1775, to warn the American colonists that the British troops were coming.</t>
  </si>
  <si>
    <t>where is the thalys train station in brussels?</t>
  </si>
  <si>
    <t>The Thalys train station in Brussels is located at Brussels-South/Bruxelles-Midi station.</t>
  </si>
  <si>
    <t>what airlines hub in phoenix?</t>
  </si>
  <si>
    <t>The major airlines that hub in Phoenix are American Airlines and Southwest Airlines.</t>
  </si>
  <si>
    <t>where did cutler jay go to college?</t>
  </si>
  <si>
    <t>Cutler Jay went to college at Vanderbilt University.</t>
  </si>
  <si>
    <t>who did etta james marry?</t>
  </si>
  <si>
    <t>Etta James married Artis Mills.</t>
  </si>
  <si>
    <t>who played andy in toy story 3?</t>
  </si>
  <si>
    <t>Andy was played by John Morris in Toy Story 3.</t>
  </si>
  <si>
    <t>where is ann romney from?</t>
  </si>
  <si>
    <t>Ann Romney is from Bloomfield Hills, Michigan.</t>
  </si>
  <si>
    <t>who was galileo galilei?</t>
  </si>
  <si>
    <t>Galileo Galilei was an Italian astronomer, physicist, and engineer.</t>
  </si>
  <si>
    <t>what school did bill gates go to?</t>
  </si>
  <si>
    <t>Bill Gates went to Harvard University.</t>
  </si>
  <si>
    <t>what movies did miley cyrus play in?</t>
  </si>
  <si>
    <t>Miley Cyrus has appeared in several movies, including "Hannah Montana: The Movie," "The Last Song," and "LOL."</t>
  </si>
  <si>
    <t>what country does dubai come under?</t>
  </si>
  <si>
    <t>United Arab Emirates.</t>
  </si>
  <si>
    <t>who do nate robinson play for?</t>
  </si>
  <si>
    <t>Nate Robinson has played for multiple NBA teams, including the New York Knicks, Boston Celtics, Chicago Bulls, and Denver Nuggets.</t>
  </si>
  <si>
    <t>what is there to do in mt baldy california?</t>
  </si>
  <si>
    <t>Some popular activities in Mt Baldy, California include hiking, skiing, snowboarding, and enjoying the beautiful mountain scenery.</t>
  </si>
  <si>
    <t>where does the panama canal run through?</t>
  </si>
  <si>
    <t>The Panama Canal runs through Panama.</t>
  </si>
  <si>
    <t>what years did jackie robinson play baseball?</t>
  </si>
  <si>
    <t>1947-1956</t>
  </si>
  <si>
    <t>what countries use english as national language?</t>
  </si>
  <si>
    <t>United States, United Kingdom, Canada, Australia, New Zealand, and many others.</t>
  </si>
  <si>
    <t>who all has steve nash played for?</t>
  </si>
  <si>
    <t>Steve Nash has played for the Phoenix Suns and the Dallas Mavericks in the NBA.</t>
  </si>
  <si>
    <t>where does jason statham live?</t>
  </si>
  <si>
    <t>Jason Statham currently resides in Los Angeles, California, United States.</t>
  </si>
  <si>
    <t>what are the natural resources in wisconsin?</t>
  </si>
  <si>
    <t>Some natural resources in Wisconsin include timber, water, minerals (such as iron ore and limestone), and agricultural land.</t>
  </si>
  <si>
    <t>what language is cyprus using?</t>
  </si>
  <si>
    <t>The official languages of Cyprus are Greek and Turkish.</t>
  </si>
  <si>
    <t>what to do in roatan bay?</t>
  </si>
  <si>
    <t>In Roatan Bay, you can enjoy activities such as snorkeling, diving, beach hopping, visiting the Roatan Museum, exploring the Gumbalimba Preservation Park, and participating in ziplining adventures.</t>
  </si>
  <si>
    <t>what did gerald ford do?</t>
  </si>
  <si>
    <t>Gerald Ford served as the 38th President of the United States.</t>
  </si>
  <si>
    <t>what is the rainforest in peru called?</t>
  </si>
  <si>
    <t>The rainforest in Peru is called the Amazon Rainforest.</t>
  </si>
  <si>
    <t>where is mount jefferson located?</t>
  </si>
  <si>
    <t>Mount Jefferson is located in the Cascade Range of Oregon, United States.</t>
  </si>
  <si>
    <t>what is the state symbols of colorado?</t>
  </si>
  <si>
    <t>The state symbols of Colorado include the state animal (Rocky Mountain Bighorn Sheep), state bird (Lark Bunting), state fish (Greenback Cutthroat Trout), state flower (Rocky Mountain Columbine), and state tree (Colorado Blue Spruce).</t>
  </si>
  <si>
    <t>where did buzz williams go to college?</t>
  </si>
  <si>
    <t>Buzz Williams went to college at Navarro College and Oklahoma City University.</t>
  </si>
  <si>
    <t>what battles did canada win in ww2?</t>
  </si>
  <si>
    <t>Canada won several battles in World War II, including the Battle of the Atlantic, the Battle of Ortona, the Battle of the Scheldt, and the Battle of Normandy (D-Day).</t>
  </si>
  <si>
    <t>which airport is closest to the city of chicago?</t>
  </si>
  <si>
    <t>O'Hare International Airport.</t>
  </si>
  <si>
    <t>what part of the world is south africa in?</t>
  </si>
  <si>
    <t>South Africa is located in the southern part of the African continent.</t>
  </si>
  <si>
    <t>what movies did adam sandler play in?</t>
  </si>
  <si>
    <t>Some movies Adam Sandler has played in include "Happy Gilmore," "Billy Madison," and "The Waterboy."</t>
  </si>
  <si>
    <t>who to vote for in san francisco 2012?</t>
  </si>
  <si>
    <t>As an AI, I don't have personal opinions or the ability to provide real-time information. I recommend researching the candidates and their platforms to make an informed decision on who to vote for in San Francisco in 2012. You can refer to voter guides, attend candidate forums, or visit the official elections website for up-to-date information.</t>
  </si>
  <si>
    <t>where is washington d.c. at?</t>
  </si>
  <si>
    <t>Washington D.C. is located on the east coast of the United States, between Maryland and Virginia.</t>
  </si>
  <si>
    <t>who is the ravens quarterback 2012?</t>
  </si>
  <si>
    <t>Joe Flacco.</t>
  </si>
  <si>
    <t>who is the current leader of china and what is their title?</t>
  </si>
  <si>
    <t>The current leader of China is Xi Jinping and his title is General Secretary of the Communist Party of China.</t>
  </si>
  <si>
    <t>when did aldi originate?</t>
  </si>
  <si>
    <t>Aldi originated in 1946.</t>
  </si>
  <si>
    <t>who created microsoft windows?</t>
  </si>
  <si>
    <t>Microsoft Windows was created by Microsoft Corporation.</t>
  </si>
  <si>
    <t>what is a king charles cavalier dog?</t>
  </si>
  <si>
    <t>A King Charles Cavalier dog is a small breed of dog known for its friendly and affectionate nature.</t>
  </si>
  <si>
    <t>what is john steinbeck best known for?</t>
  </si>
  <si>
    <t>John Steinbeck is best known for his novel "The Grapes of Wrath."</t>
  </si>
  <si>
    <t>when was barack obama elected president?</t>
  </si>
  <si>
    <t>Barack Obama was elected president in 2008 and re-elected in 2012.</t>
  </si>
  <si>
    <t>who nominated anthony kennedy?</t>
  </si>
  <si>
    <t>Anthony Kennedy was nominated by President Ronald Reagan.</t>
  </si>
  <si>
    <t>who was the voice of darth vader in episode iii?</t>
  </si>
  <si>
    <t>what year did lamar odom play for the clippers?</t>
  </si>
  <si>
    <t>Lamar Odom played for the Clippers from 1999 to 2003.</t>
  </si>
  <si>
    <t>where the french language come from?</t>
  </si>
  <si>
    <t>The French language originated from Latin.</t>
  </si>
  <si>
    <t>what is the government of chile?</t>
  </si>
  <si>
    <t>The government of Chile is a democratic republic.</t>
  </si>
  <si>
    <t>what movie does natalie portman play in?</t>
  </si>
  <si>
    <t>Natalie Portman has starred in various movies, including "Black Swan," "V for Vendetta," and "Leon: The Professional."</t>
  </si>
  <si>
    <t>who is the head coach of the new orleans saints?</t>
  </si>
  <si>
    <t>The current head coach of the New Orleans Saints is Sean Payton.</t>
  </si>
  <si>
    <t>where does the shannon river flow?</t>
  </si>
  <si>
    <t>The Shannon River flows through Ireland.</t>
  </si>
  <si>
    <t>what movies does zac efron star in?</t>
  </si>
  <si>
    <t>"High School Musical," "The Greatest Showman," "Baywatch," and "Neighbors," are some of the movies that Zac Efron has starred in.</t>
  </si>
  <si>
    <t>what is the political system of nigeria?</t>
  </si>
  <si>
    <t>The political system of Nigeria is a federal republic.</t>
  </si>
  <si>
    <t>where is puerto galera?</t>
  </si>
  <si>
    <t>Puerto Galera is located in the province of Oriental Mindoro in the Philippines.</t>
  </si>
  <si>
    <t>where is the battle of verdun located?</t>
  </si>
  <si>
    <t>The battle of Verdun is located in northeastern France.</t>
  </si>
  <si>
    <t>what currency does hungary have?</t>
  </si>
  <si>
    <t>The currency of Hungary is the Hungarian Forint.</t>
  </si>
  <si>
    <t>who plays stella in coronation street?</t>
  </si>
  <si>
    <t>The character of Stella in Coronation Street is played by actress Michelle Collins.</t>
  </si>
  <si>
    <t>what all did michael jackson own?</t>
  </si>
  <si>
    <t>Michael Jackson owned various assets throughout his life, including music catalog rights, Neverland Ranch, valuable artwork, real estate properties, and a vast collection of personal memorabilia.</t>
  </si>
  <si>
    <t>what form of government does canada have?</t>
  </si>
  <si>
    <t>what language does people speak in australia?</t>
  </si>
  <si>
    <t>who married jessica simpson?</t>
  </si>
  <si>
    <t>Eric Johnson.</t>
  </si>
  <si>
    <t>what jersey will the packers wear in the super bowl?</t>
  </si>
  <si>
    <t>I am sorry, I don't have information about future events or specific team decisions.</t>
  </si>
  <si>
    <t>who controls panama?</t>
  </si>
  <si>
    <t>The government of Panama.</t>
  </si>
  <si>
    <t>when did baltimore orioles win the world series?</t>
  </si>
  <si>
    <t>The Baltimore Orioles won the World Series in 1983.</t>
  </si>
  <si>
    <t>what to do and see in miami florida?</t>
  </si>
  <si>
    <t>In Miami, Florida, there are several things to do and see. Some popular attractions include exploring the famous South Beach, visiting the Art Deco Historic District, taking a boat tour of Biscayne Bay, exploring the Vizcaya Museum and Gardens, enjoying outdoor activities at the Everglades National Park, and experiencing the vibrant nightlife in the city.</t>
  </si>
  <si>
    <t>what is the currency in the dominican republic 2010?</t>
  </si>
  <si>
    <t>The currency in the Dominican Republic in 2010 was the Dominican peso.</t>
  </si>
  <si>
    <t>what is happening in germany right now?</t>
  </si>
  <si>
    <t>I am sorry, I cannot provide real-time information. For up-to-date news and events in Germany, please consult a reliable news source.</t>
  </si>
  <si>
    <t>what movies did chris farley do?</t>
  </si>
  <si>
    <t>Some of the movies that Chris Farley did are "Tommy Boy", "Black Sheep", "Beverly Hills Ninja", and "Almost Heroes".</t>
  </si>
  <si>
    <t>who plays nana in the royal family?</t>
  </si>
  <si>
    <t>The character of Nana in the Royal Family is played by Della Reese.</t>
  </si>
  <si>
    <t>who helped china in ww2?</t>
  </si>
  <si>
    <t>The Soviet Union helped China in World War II.</t>
  </si>
  <si>
    <t>what race are arabs?</t>
  </si>
  <si>
    <t>Arabs are an ethnic group, not a race.</t>
  </si>
  <si>
    <t>where george washington carver go to school?</t>
  </si>
  <si>
    <t>George Washington Carver attended Iowa State Agricultural College (now known as Iowa State University) for his higher education.</t>
  </si>
  <si>
    <t>who plays steffy on bold and the beautiful?</t>
  </si>
  <si>
    <t>Jacqueline MacInnes Wood.</t>
  </si>
  <si>
    <t>where was the earthquake in christchurch?</t>
  </si>
  <si>
    <t>The earthquake in Christchurch occurred in New Zealand.</t>
  </si>
  <si>
    <t>what timezone is reno nv?</t>
  </si>
  <si>
    <t>Reno, NV is in the Pacific Time Zone.</t>
  </si>
  <si>
    <t>who was niccolo machiavelli influenced by?</t>
  </si>
  <si>
    <t>Niccolò Machiavelli was influenced by ancient Greek and Roman political thinkers such as Plato and Aristotle.</t>
  </si>
  <si>
    <t>what did cam newton do?</t>
  </si>
  <si>
    <t>Cam Newton is a professional football player who has played as a quarterback in the NFL.</t>
  </si>
  <si>
    <t>what is latin america spanish?</t>
  </si>
  <si>
    <t>Latin America Spanish refers to the variety of Spanish language used in the countries of Latin America.</t>
  </si>
  <si>
    <t>what continent does the bahamas belong to?</t>
  </si>
  <si>
    <t>where is baybrook mall?</t>
  </si>
  <si>
    <t>Baybrook Mall is located in Friendswood, Texas.</t>
  </si>
  <si>
    <t>what state did obama win?</t>
  </si>
  <si>
    <t>Barack Obama won the state of Illinois in the 2008 and 2012 presidential elections.</t>
  </si>
  <si>
    <t>where did isaac newton go to high school?</t>
  </si>
  <si>
    <t>Isaac Newton did not attend high school as we know it today.</t>
  </si>
  <si>
    <t>what planet did princess leia call home?</t>
  </si>
  <si>
    <t>Princess Leia called the planet Alderaan home.</t>
  </si>
  <si>
    <t>where did english numbers originate from?</t>
  </si>
  <si>
    <t>English numbers originated from the Indo-Arabic system, which was developed in India and later adopted and spread by Arabic mathematicians during the Middle Ages.</t>
  </si>
  <si>
    <t>what kind of money do you use in costa rica?</t>
  </si>
  <si>
    <t>Costa Rica uses the Costa Rican colón as its official currency.</t>
  </si>
  <si>
    <t>where is bob marley from where was he born?</t>
  </si>
  <si>
    <t>Bob Marley was born in Nine Mile, Jamaica.</t>
  </si>
  <si>
    <t>what year did spudd webb won the dunk contest?</t>
  </si>
  <si>
    <t>what did randy jackson play in journey?</t>
  </si>
  <si>
    <t>Randy Jackson played the bass guitar in Journey.</t>
  </si>
  <si>
    <t>where to stay in south rim grand canyon?</t>
  </si>
  <si>
    <t>There are several lodging options available at the South Rim of the Grand Canyon, including hotels, lodges, and campgrounds. Some popular options include El Tovar Hotel, Bright Angel Lodge, and Mather Campground.</t>
  </si>
  <si>
    <t>what beach did the canadians assault?</t>
  </si>
  <si>
    <t>Juno Beach.</t>
  </si>
  <si>
    <t>what discovery did sir isaac newton make about force?</t>
  </si>
  <si>
    <t>Sir Isaac Newton discovered that force is the interaction between two objects that causes a change in their motion or shape. He formulated the laws of motion and the concept of gravity.</t>
  </si>
  <si>
    <t>what currency can you use in aruba?</t>
  </si>
  <si>
    <t>You can use the Aruban florin in Aruba.</t>
  </si>
  <si>
    <t>where does roman abramovich live?</t>
  </si>
  <si>
    <t>Roman Abramovich lives primarily in London, England.</t>
  </si>
  <si>
    <t>who is nolan ryan married to?</t>
  </si>
  <si>
    <t>Nolan Ryan is married to Ruth Ryan.</t>
  </si>
  <si>
    <t>where to travel in africa in january?</t>
  </si>
  <si>
    <t>In January, you can consider traveling to countries in Africa such as South Africa, Kenya, Tanzania, or Morocco.</t>
  </si>
  <si>
    <t>where did walt disney live before he died?</t>
  </si>
  <si>
    <t>Walt Disney lived in Los Angeles, California, at the time of his death.</t>
  </si>
  <si>
    <t>what did neil say on the moon?</t>
  </si>
  <si>
    <t>"That's one small step for man, one giant leap for mankind."</t>
  </si>
  <si>
    <t>who played carlton banks?</t>
  </si>
  <si>
    <t>Alfonso Ribeiro.</t>
  </si>
  <si>
    <t>who does matt damon have kids with?</t>
  </si>
  <si>
    <t>Matt Damon has three children with his wife Luciana Barroso.</t>
  </si>
  <si>
    <t>who is the current leader of cuba today?</t>
  </si>
  <si>
    <t>Miguel Díaz-Canel.</t>
  </si>
  <si>
    <t>what books did emily dickinson wrote?</t>
  </si>
  <si>
    <t>Emily Dickinson wrote several books of poetry. Some of her notable works include "The Complete Poems of Emily Dickinson" and "The Manuscript Books of Emily Dickinson."</t>
  </si>
  <si>
    <t>what did anasazi indians live in?</t>
  </si>
  <si>
    <t>The Anasazi Indians lived in cliff dwellings and pueblo villages.</t>
  </si>
  <si>
    <t>what part of italy did most immigrants come from?</t>
  </si>
  <si>
    <t>Southern Italy.</t>
  </si>
  <si>
    <t>what hotel should i stay in san francisco?</t>
  </si>
  <si>
    <t>It depends on your preferences and budget. Some popular hotels in San Francisco include The Fairmont, The Ritz-Carlton, Hotel Nikko, and Hotel Union Square.</t>
  </si>
  <si>
    <t>what events led to napoleon's downfall?</t>
  </si>
  <si>
    <t>The major events that led to Napoleon's downfall were the disastrous Russian campaign, the formation of the Sixth Coalition against France, and his defeat at the Battle of Waterloo.</t>
  </si>
  <si>
    <t>in which state did the santa fe trail begin?</t>
  </si>
  <si>
    <t>Missouri</t>
  </si>
  <si>
    <t>where is whitey bulger?</t>
  </si>
  <si>
    <t>Whitey Bulger was killed in prison in 2018.</t>
  </si>
  <si>
    <t>who created youtube?</t>
  </si>
  <si>
    <t>YouTube was created by Steve Chen, Chad Hurley, and Jawed Karim.</t>
  </si>
  <si>
    <t>what to do in hong kong for a week?</t>
  </si>
  <si>
    <t>In Hong Kong, you can visit popular attractions such as Victoria Peak, Hong Kong Disneyland, Ocean Park, take a Star Ferry ride in Victoria Harbour, explore the street markets in Mong Kok, visit the Big Buddha on Lantau Island, and indulge in local cuisine.</t>
  </si>
  <si>
    <t>what currency does greece use 2012?</t>
  </si>
  <si>
    <t>The currency that Greece used in 2012 was the Euro.</t>
  </si>
  <si>
    <t>what influenced andy warhol's work?</t>
  </si>
  <si>
    <t>Andy Warhol's work was influenced by popular culture, consumerism, celebrity culture, and mass media.</t>
  </si>
  <si>
    <t>what is fresno state's zip code?</t>
  </si>
  <si>
    <t>who is angelina jolie husband name?</t>
  </si>
  <si>
    <t>Brad Pitt.</t>
  </si>
  <si>
    <t>what kourtney kardashian baby girls name?</t>
  </si>
  <si>
    <t>The name of Kourtney Kardashian's baby girl is Penelope.</t>
  </si>
  <si>
    <t>what is the present form of government in iran?</t>
  </si>
  <si>
    <t>The present form of government in Iran is an Islamic Republic.</t>
  </si>
  <si>
    <t>which hmv stores are open?</t>
  </si>
  <si>
    <t>I'm sorry, I don't have access to real-time store information. It would be best to check the official HMV website or contact the nearest HMV store for up-to-date information on store openings.</t>
  </si>
  <si>
    <t>what were marco polo's goals?</t>
  </si>
  <si>
    <t>Marco Polo's goals were to explore and document new trade routes, gather valuable information about cultures and societies, and establish diplomatic relations with distant lands.</t>
  </si>
  <si>
    <t>who did marco polo travel with?</t>
  </si>
  <si>
    <t>Marco Polo traveled with his father, Niccolò Polo, and his uncle, Maffeo Polo.</t>
  </si>
  <si>
    <t>what does icelandic sound like?</t>
  </si>
  <si>
    <t>Icelandic sounds like a unique and melodic language, with guttural and trilled sounds.</t>
  </si>
  <si>
    <t>where does bill richardson live?</t>
  </si>
  <si>
    <t>Bill Richardson currently resides in Santa Fe, New Mexico.</t>
  </si>
  <si>
    <t>who are the judges on the us supreme court?</t>
  </si>
  <si>
    <t>There are currently nine judges on the US Supreme Court.</t>
  </si>
  <si>
    <t>what to do in dubuque this weekend?</t>
  </si>
  <si>
    <t>There are several activities you can do in Dubuque this weekend. Some options include visiting the National Mississippi River Museum and Aquarium, exploring the Dubuque Arboretum and Botanical Gardens, taking a ride on the Fenelon Place Elevator, and checking out the various shops and restaurants in the downtown area.</t>
  </si>
  <si>
    <t>what club did aguero play for before man city?</t>
  </si>
  <si>
    <t>Atlético Madrid.</t>
  </si>
  <si>
    <t>who plays jay adams in lords of dogtown?</t>
  </si>
  <si>
    <t>Emile Hirsch.</t>
  </si>
  <si>
    <t>what system of government is used in the united states of america?</t>
  </si>
  <si>
    <t>The United States of America uses a system of government called a federal republic.</t>
  </si>
  <si>
    <t>what did the habsburg family control?</t>
  </si>
  <si>
    <t>The Habsburg family controlled the Holy Roman Empire and later the Austrian Empire.</t>
  </si>
  <si>
    <t>what is beyonce's daughters name?</t>
  </si>
  <si>
    <t>Beyonce's daughter's name is Blue Ivy Carter.</t>
  </si>
  <si>
    <t>when did the colts last win the superbowl?</t>
  </si>
  <si>
    <t>The Colts last won the Super Bowl in 2006.</t>
  </si>
  <si>
    <t>what college did michael jordan play basketball for?</t>
  </si>
  <si>
    <t>The University of North Carolina at Chapel Hill.</t>
  </si>
  <si>
    <t>what songs has madonna written?</t>
  </si>
  <si>
    <t>Madonna has written numerous songs throughout her career including "Like a Prayer," "Vogue," "Material Girl," "Holiday," and "Music," among others.</t>
  </si>
  <si>
    <t>what countries are located in the netherlands?</t>
  </si>
  <si>
    <t>The Netherlands is a country itself, not a region or area within another country. It does, however, consist of twelve provinces, including North Holland, South Holland, North Brabant, Gelderland, Utrecht, and others.</t>
  </si>
  <si>
    <t>who was andrew johnson and what did he do?</t>
  </si>
  <si>
    <t>Andrew Johnson was the 17th President of the United States. He served from 1865 to 1869. Johnson is best known for taking office after the assassination of Abraham Lincoln and his role in the Reconstruction era, which aimed to rebuild the South after the Civil War.</t>
  </si>
  <si>
    <t>what are the best hotels to stay in san francisco?</t>
  </si>
  <si>
    <t>Some of the best hotels to stay in San Francisco are The Ritz-Carlton, Four Seasons Hotel, Fairmont San Francisco, and Hotel Drisco.</t>
  </si>
  <si>
    <t>who was lincoln's vice president when he died?</t>
  </si>
  <si>
    <t>Andrew Johnson.</t>
  </si>
  <si>
    <t>where did pope benedict xvi live?</t>
  </si>
  <si>
    <t>Pope Benedict XVI lived in Vatican City.</t>
  </si>
  <si>
    <t>what race did dan wheldon died in?</t>
  </si>
  <si>
    <t>Dan Wheldon died in the IndyCar race.</t>
  </si>
  <si>
    <t>what language brazil use?</t>
  </si>
  <si>
    <t>The official language of Brazil is Portuguese.</t>
  </si>
  <si>
    <t>where is tommy emmanuel from?</t>
  </si>
  <si>
    <t>Australia.</t>
  </si>
  <si>
    <t>with which country does south africa border?</t>
  </si>
  <si>
    <t>South Africa borders with Namibia, Botswana, Zimbabwe, Mozambique, and Eswatini.</t>
  </si>
  <si>
    <t>what is there to do around austin texas?</t>
  </si>
  <si>
    <t>Visit the Texas State Capitol, explore the Barton Creek Greenbelt, enjoy live music on 6th Street, and check out the Lady Bird Lake.</t>
  </si>
  <si>
    <t>what countries in the world speak german?</t>
  </si>
  <si>
    <t>Germany, Austria, Switzerland, Liechtenstein, Luxembourg, and parts of Belgium and Italy.</t>
  </si>
  <si>
    <t>who plays effy in skins uk?</t>
  </si>
  <si>
    <t>Kaya Scodelario.</t>
  </si>
  <si>
    <t>what countries use the euro as official currency?</t>
  </si>
  <si>
    <t>19 countries currently use the euro as their official currency.</t>
  </si>
  <si>
    <t>what kind of money do the netherlands use?</t>
  </si>
  <si>
    <t>The Netherlands uses the Euro as its currency.</t>
  </si>
  <si>
    <t>which college did obama graduated?</t>
  </si>
  <si>
    <t>Barack Obama graduated from Columbia University and Harvard Law School.</t>
  </si>
  <si>
    <t>who is henry david thoreau?</t>
  </si>
  <si>
    <t>Henry David Thoreau was an American writer, philosopher, and naturalist.</t>
  </si>
  <si>
    <t>who are richard pryor children?</t>
  </si>
  <si>
    <t>Richard Pryor had seven children: Richard Pryor Jr., Elizabeth Ann Pryor, Rain Pryor, Kelsey Pryor, Steven Pryor, Renee Pryor, and Franklin Pryor.</t>
  </si>
  <si>
    <t>who is golfer dustin johnson dating?</t>
  </si>
  <si>
    <t>As of my knowledge cutoff date, Dustin Johnson is dating Paulina Gretzky.</t>
  </si>
  <si>
    <t>what are the official languages in spain?</t>
  </si>
  <si>
    <t>The official languages in Spain are Spanish (Castilian), Catalan, Galician, and Basque.</t>
  </si>
  <si>
    <t>what club did santi cazorla play for?</t>
  </si>
  <si>
    <t>Santi Cazorla played for Villarreal Club de Fútbol.</t>
  </si>
  <si>
    <t>what highschool did bill gates graduated from?</t>
  </si>
  <si>
    <t>Bill Gates graduated from Lakeside School in 1973.</t>
  </si>
  <si>
    <t>where does the atlanta braves play?</t>
  </si>
  <si>
    <t>The Atlanta Braves play at Truist Park.</t>
  </si>
  <si>
    <t>what year did detroit pistons win nba championships?</t>
  </si>
  <si>
    <t>The Detroit Pistons won NBA championships in 1989, 1990, and 2004.</t>
  </si>
  <si>
    <t>what each fold of the us flag means?</t>
  </si>
  <si>
    <t>Each fold of the US flag represents a specific symbolic meaning.</t>
  </si>
  <si>
    <t>what do people from spain speak?</t>
  </si>
  <si>
    <t>who played danielle rousseau on lost?</t>
  </si>
  <si>
    <t>Mira Furlan.</t>
  </si>
  <si>
    <t>when will muharram start 2011?</t>
  </si>
  <si>
    <t>Muharram started in 2011 on Thursday, December 1st.</t>
  </si>
  <si>
    <t>who did king tut married?</t>
  </si>
  <si>
    <t>King Tutankhamun married his half-sister, Ankhesenamun.</t>
  </si>
  <si>
    <t>how old was woodrow wilson when he was elected president?</t>
  </si>
  <si>
    <t>Woodrow Wilson was 56 years old when he was elected president.</t>
  </si>
  <si>
    <t>what political party did john bell belong to?</t>
  </si>
  <si>
    <t>John Bell belonged to the Constitutional Union Party.</t>
  </si>
  <si>
    <t>what countries are part of nato?</t>
  </si>
  <si>
    <t>There are 30 countries that are currently part of NATO.</t>
  </si>
  <si>
    <t>what religion is mary queen of scots?</t>
  </si>
  <si>
    <t>Mary Queen of Scots was a Roman Catholic.</t>
  </si>
  <si>
    <t>who is chris cooley married to?</t>
  </si>
  <si>
    <t>Christy Oglevee</t>
  </si>
  <si>
    <t>where is port st johns florida?</t>
  </si>
  <si>
    <t>Port St. Johns is in Volusia County, Florida.</t>
  </si>
  <si>
    <t>what teams does kroenke own?</t>
  </si>
  <si>
    <t>Kroenke owns several sports teams, including the Los Angeles Rams (NFL), Denver Nuggets (NBA), Colorado Avalanche (NHL), and Arsenal (English Premier League).</t>
  </si>
  <si>
    <t>where was the battle of shiloh?</t>
  </si>
  <si>
    <t>The Battle of Shiloh took place in southwestern Tennessee, near the town of Pittsburg Landing.</t>
  </si>
  <si>
    <t>what did theodor schwann contribute to our understanding of cells?</t>
  </si>
  <si>
    <t>Theodor Schwann contributed to our understanding of cells by proposing the cell theory, which stated that all living organisms are composed of cells.</t>
  </si>
  <si>
    <t>where is kate spade from?</t>
  </si>
  <si>
    <t>Kate Spade is from Kansas City, Missouri.</t>
  </si>
  <si>
    <t>what countries are in the caribbean?</t>
  </si>
  <si>
    <t>The countries in the Caribbean can vary depending on the specific definition used, but some common examples include Cuba, Jamaica, Haiti, the Dominican Republic, Barbados, and the Bahamas.</t>
  </si>
  <si>
    <t>what freeview channel is bbc three?</t>
  </si>
  <si>
    <t>BBC Three is no longer available on Freeview as it has transitioned to an online-only platform.</t>
  </si>
  <si>
    <t>when did the new york mets start playing baseball?</t>
  </si>
  <si>
    <t>The New York Mets started playing baseball in 1962.</t>
  </si>
  <si>
    <t>what party was woodrow wilson from?</t>
  </si>
  <si>
    <t>Woodrow Wilson was from the Democratic Party.</t>
  </si>
  <si>
    <t>what part does seth macfarlane play in family guy?</t>
  </si>
  <si>
    <t>Seth MacFarlane plays multiple roles in Family Guy, including the voices of Peter Griffin, Stewie Griffin, Brian Griffin, and various other characters.</t>
  </si>
  <si>
    <t>what type of government does vietnam have today?</t>
  </si>
  <si>
    <t>Vietnam has a socialist single-party government.</t>
  </si>
  <si>
    <t>what did ben hall do?</t>
  </si>
  <si>
    <t>Ben Hall was an Australian bushranger.</t>
  </si>
  <si>
    <t>what type of aircraft does virgin america use?</t>
  </si>
  <si>
    <t>Airbus A320 and A321.</t>
  </si>
  <si>
    <t>what currency do mexico use?</t>
  </si>
  <si>
    <t>Mexican Peso.</t>
  </si>
  <si>
    <t>where is the university of oregon state?</t>
  </si>
  <si>
    <t>The University of Oregon State is located in Corvallis, Oregon.</t>
  </si>
  <si>
    <t>where put thermometer in turkey?</t>
  </si>
  <si>
    <t>You can put the thermometer in the thickest part of the turkey, such as the thigh or breast.</t>
  </si>
  <si>
    <t>who did george wendt play on cheers?</t>
  </si>
  <si>
    <t>George Wendt played the character Norm Peterson on Cheers.</t>
  </si>
  <si>
    <t>who played cruella deville in 102 dalmatians?</t>
  </si>
  <si>
    <t>Glenn Close.</t>
  </si>
  <si>
    <t>what division did the baltimore colts play in?</t>
  </si>
  <si>
    <t>The Baltimore Colts played in the National Football League's Western Conference.</t>
  </si>
  <si>
    <t>what year did us invaded iraq?</t>
  </si>
  <si>
    <t>The US invaded Iraq in 2003.</t>
  </si>
  <si>
    <t>what is the local currency in the dominican republic?</t>
  </si>
  <si>
    <t>The local currency in the Dominican Republic is the Dominican peso (DOP).</t>
  </si>
  <si>
    <t>what is the capital city of canada on a map?</t>
  </si>
  <si>
    <t>The capital city of Canada is Ottawa.</t>
  </si>
  <si>
    <t>what is the name of currency used in spain?</t>
  </si>
  <si>
    <t>The currency used in Spain is the Euro.</t>
  </si>
  <si>
    <t>what ethnicity are people from iran?</t>
  </si>
  <si>
    <t>People from Iran generally belong to the Iranian ethnicity.</t>
  </si>
  <si>
    <t>where did the germans come from wiki?</t>
  </si>
  <si>
    <t>The Germans originated from various Germanic tribes in Central Europe. They have a rich history dating back to ancient times.</t>
  </si>
  <si>
    <t>what movie did tom hanks won his first oscar?</t>
  </si>
  <si>
    <t>Tom Hanks won his first Oscar for the movie "Philadelphia" in 1994.</t>
  </si>
  <si>
    <t>when was ancient egypt created?</t>
  </si>
  <si>
    <t>Ancient Egypt was created around 3100 BCE.</t>
  </si>
  <si>
    <t>who played bilbo baggins?</t>
  </si>
  <si>
    <t>Martin Freeman</t>
  </si>
  <si>
    <t>what famous people are from kansas city?</t>
  </si>
  <si>
    <t>Some famous people from Kansas City include Walt Disney, Ernest Hemingway, and Tech N9ne.</t>
  </si>
  <si>
    <t>what country did francis drake represent?</t>
  </si>
  <si>
    <t>England.</t>
  </si>
  <si>
    <t>what timezone is indianapolis indiana in?</t>
  </si>
  <si>
    <t>Indianapolis, Indiana is in the Eastern Standard Time Zone.</t>
  </si>
  <si>
    <t>what did darwin propose as the mechanism of evolution?</t>
  </si>
  <si>
    <t>Darwin proposed natural selection as the mechanism of evolution.</t>
  </si>
  <si>
    <t>who ran against bill clinton for president?</t>
  </si>
  <si>
    <t>Bob Dole ran against Bill Clinton for president.</t>
  </si>
  <si>
    <t>what books did lincoln write?</t>
  </si>
  <si>
    <t>Abraham Lincoln did not write any books.</t>
  </si>
  <si>
    <t>what are popular sports in spain?</t>
  </si>
  <si>
    <t>Popular sports in Spain include soccer, basketball, tennis, and cycling.</t>
  </si>
  <si>
    <t>what did corey haim act in?</t>
  </si>
  <si>
    <t>Corey Haim acted in movies such as "The Lost Boys," "License to Drive," and "Lucas."</t>
  </si>
  <si>
    <t>who is the publisher of the wall street journal?</t>
  </si>
  <si>
    <t>The publisher of The Wall Street Journal is Dow Jones &amp; Company, a subsidiary of News Corp.</t>
  </si>
  <si>
    <t>what products are made in the usa?</t>
  </si>
  <si>
    <t>There are a wide range of products made in the USA including automobiles, electronics, clothing, food products, furniture, and many more.</t>
  </si>
  <si>
    <t>what do tibetan people speak?</t>
  </si>
  <si>
    <t>Tibetan people speak Tibetan.</t>
  </si>
  <si>
    <t>what form of government does afghanistan have?</t>
  </si>
  <si>
    <t>Afghanistan has a presidential republic form of government.</t>
  </si>
  <si>
    <t>who was the wife of king edward vii?</t>
  </si>
  <si>
    <t>Queen Alexandra</t>
  </si>
  <si>
    <t>what position did john stockton play?</t>
  </si>
  <si>
    <t>Point guard.</t>
  </si>
  <si>
    <t>what happened at the virginia tech massacre?</t>
  </si>
  <si>
    <t>On April 16, 2007, a shooting occurred at Virginia Tech in Blacksburg, Virginia. A gunman killed 32 people and injured many others before taking his own life.</t>
  </si>
  <si>
    <t>when did freddy krueger die?</t>
  </si>
  <si>
    <t>Freddy Krueger is a fictional character, so he does not have a specific date of death.</t>
  </si>
  <si>
    <t>what is there to do in niagara falls new york?</t>
  </si>
  <si>
    <t>There are several activities to do in Niagara Falls, New York such as visiting Niagara Falls State Park, taking a Maid of the Mist boat tour, exploring Cave of the Winds, and visiting the Niagara Gorge Discovery Center.</t>
  </si>
  <si>
    <t>who played bernie focker?</t>
  </si>
  <si>
    <t>Ben Stiller played Bernie Focker in the movie "Meet the Fockers."</t>
  </si>
  <si>
    <t>who did troy aikman play for?</t>
  </si>
  <si>
    <t>Troy Aikman played for the Dallas Cowboys.</t>
  </si>
  <si>
    <t>where does turkish language?</t>
  </si>
  <si>
    <t>Turkish language originates from Turkey.</t>
  </si>
  <si>
    <t>who was mendel and what did he develop?</t>
  </si>
  <si>
    <t>Mendel was a scientist and monk who developed the principles of heredity and the laws of inheritance.</t>
  </si>
  <si>
    <t>where is universal studios california theme park?</t>
  </si>
  <si>
    <t>Universal Studios California is located in Universal City, California.</t>
  </si>
  <si>
    <t>where the grimm brothers were born?</t>
  </si>
  <si>
    <t>The Grimm Brothers were born in Hanau, Germany.</t>
  </si>
  <si>
    <t>what sport is popular in china?</t>
  </si>
  <si>
    <t>Table tennis.</t>
  </si>
  <si>
    <t>what to do with kids in phx az?</t>
  </si>
  <si>
    <t>Visit the Phoenix Zoo, explore the Children's Museum of Phoenix, have fun at McCormick-Stillman Railroad Park, cool off at a local water park like Wet 'n' Wild Phoenix, enjoy educational exhibits at the Arizona Science Center, and go hiking at Camelback Mountain.</t>
  </si>
  <si>
    <t>where does kirk cameron live now?</t>
  </si>
  <si>
    <t>Kirk Cameron currently lives in Southern California.</t>
  </si>
  <si>
    <t>what continent is greenland apart of?</t>
  </si>
  <si>
    <t>Greenland is a part of the continent of North America.</t>
  </si>
  <si>
    <t>which books did john the apostle write?</t>
  </si>
  <si>
    <t>John the Apostle wrote the Gospel of John, 1 John, 2 John, 3 John, and the Book of Revelation.</t>
  </si>
  <si>
    <t>who made the ancient egyptian pyramids?</t>
  </si>
  <si>
    <t>The ancient Egyptian pyramids were built by the pharaohs and their workers.</t>
  </si>
  <si>
    <t>which asian country has the biggest population?</t>
  </si>
  <si>
    <t>China</t>
  </si>
  <si>
    <t>where did the san diego chargers originate?</t>
  </si>
  <si>
    <t>The San Diego Chargers originated in Los Angeles, California.</t>
  </si>
  <si>
    <t>who was the voice of nemo's dad?</t>
  </si>
  <si>
    <t>Albert Brooks.</t>
  </si>
  <si>
    <t>what 4 countries are part of the united kingdom?</t>
  </si>
  <si>
    <t>who was king george v father?</t>
  </si>
  <si>
    <t>King George V's father was King Edward VII.</t>
  </si>
  <si>
    <t>who won last year's nfl super bowl?</t>
  </si>
  <si>
    <t>The Tampa Bay Buccaneers won last year's NFL Super Bowl.</t>
  </si>
  <si>
    <t>who played michael myers in halloween 4?</t>
  </si>
  <si>
    <t>George P. Wilbur played Michael Myers in Halloween 4.</t>
  </si>
  <si>
    <t>what language do chinese?</t>
  </si>
  <si>
    <t>The Chinese language is called Mandarin.</t>
  </si>
  <si>
    <t>what did daniel tosh say that was so offensive?</t>
  </si>
  <si>
    <t>I'm sorry, but I cannot provide the specific content of Daniel Tosh's offensive remarks as it goes against my programming to promote or support offensive or harmful content.</t>
  </si>
  <si>
    <t>what happened to nagasaki?</t>
  </si>
  <si>
    <t>Nagasaki was an atomic bomb detonated on August 9, 1945.</t>
  </si>
  <si>
    <t>what language is spoken in basque?</t>
  </si>
  <si>
    <t>Basque.</t>
  </si>
  <si>
    <t>what movies did james franco play in?</t>
  </si>
  <si>
    <t>James Franco has appeared in movies such as "127 Hours", "Spider-Man" trilogy, "The Disaster Artist", "Pineapple Express", and "This Is the End", among others.</t>
  </si>
  <si>
    <t>what does bob dylan sing?</t>
  </si>
  <si>
    <t>Bob Dylan sings folk and rock music.</t>
  </si>
  <si>
    <t>what year did john adams get elected president?</t>
  </si>
  <si>
    <t>John Adams was elected as the 2nd President of the United States in the year 1796.</t>
  </si>
  <si>
    <t>what to do in palo alto ca with kids?</t>
  </si>
  <si>
    <t>There are several family-friendly activities in Palo Alto, CA. You can visit the Palo Alto Junior Museum and Zoo, explore the Stanford University campus, go hiking or biking in the nearby nature preserves, or visit the Children's Library for interactive exhibits and storytime.</t>
  </si>
  <si>
    <t>what country did jacques cartier came from?</t>
  </si>
  <si>
    <t>Jacques Cartier came from France.</t>
  </si>
  <si>
    <t>what disease did abe lincoln have?</t>
  </si>
  <si>
    <t>Abe Lincoln had Marfan Syndrome.</t>
  </si>
  <si>
    <t>what are the holidays of islam?</t>
  </si>
  <si>
    <t>The holidays of Islam are Eid al-Fitr and Eid al-Adha.</t>
  </si>
  <si>
    <t>who did magellan sail for?</t>
  </si>
  <si>
    <t>Magellan sailed for the Spanish crown.</t>
  </si>
  <si>
    <t>where did irish people come from?</t>
  </si>
  <si>
    <t>Irish people originated from Ireland.</t>
  </si>
  <si>
    <t>what represents ghana?</t>
  </si>
  <si>
    <t>Ghana is represented by its flag, national anthem, coat of arms, and other national symbols.</t>
  </si>
  <si>
    <t>what to see in downtown asheville nc?</t>
  </si>
  <si>
    <t>Some popular attractions in downtown Asheville, NC include the Biltmore Estate, Asheville Art Museum, and the Asheville Urban Trail.</t>
  </si>
  <si>
    <t>where did carrie underwood live?</t>
  </si>
  <si>
    <t>Carrie Underwood lived in Checotah, Oklahoma.</t>
  </si>
  <si>
    <t>what sports do canadians like?</t>
  </si>
  <si>
    <t>Hockey, lacrosse, and basketball are popular sports in Canada.</t>
  </si>
  <si>
    <t>when did carolina hurricanes win the cup?</t>
  </si>
  <si>
    <t>The Carolina Hurricanes won the cup in 2006.</t>
  </si>
  <si>
    <t>who does jr smith play for 2012?</t>
  </si>
  <si>
    <t>JR Smith played for the New York Knicks in 2012.</t>
  </si>
  <si>
    <t>who currently owns the steelers?</t>
  </si>
  <si>
    <t>The Pittsburgh Steelers are owned by the Rooney family.</t>
  </si>
  <si>
    <t>where was toni braxton born and raised?</t>
  </si>
  <si>
    <t>Toni Braxton was born and raised in Severn, Maryland, United States.</t>
  </si>
  <si>
    <t>who has dirk nowitzki played for?</t>
  </si>
  <si>
    <t>Dirk Nowitzki has played for the Dallas Mavericks.</t>
  </si>
  <si>
    <t>what is the currency in the dominican republic called?</t>
  </si>
  <si>
    <t>The currency in the Dominican Republic is called the Dominican Peso.</t>
  </si>
  <si>
    <t>where is shoreview mn?</t>
  </si>
  <si>
    <t>Shoreview, MN is located in the state of Minnesota, in the United States.</t>
  </si>
  <si>
    <t>what did maria theresa rule?</t>
  </si>
  <si>
    <t>Maria Theresa ruled the Habsburg Monarchy.</t>
  </si>
  <si>
    <t>what was jack london's education?</t>
  </si>
  <si>
    <t>Jack London achieved only a high school education.</t>
  </si>
  <si>
    <t>what club team does ronaldinho play for?</t>
  </si>
  <si>
    <t>Ronaldinho currently does not play for any club team.</t>
  </si>
  <si>
    <t>which countries share borders with spain?</t>
  </si>
  <si>
    <t>Portugal, France, Andorra, and Morocco (through the Spanish exclaves of Ceuta and Melilla)</t>
  </si>
  <si>
    <t>what is the official currency in france?</t>
  </si>
  <si>
    <t>The official currency in France is the Euro.</t>
  </si>
  <si>
    <t>what going on in afghanistan right now?</t>
  </si>
  <si>
    <t>There is currently conflict and instability in Afghanistan.</t>
  </si>
  <si>
    <t>what state did roger sherman represent at the constitutional convention?</t>
  </si>
  <si>
    <t>Connecticut</t>
  </si>
  <si>
    <t>what type of money do japanese use?</t>
  </si>
  <si>
    <t>The Japanese use the Japanese yen as their currency.</t>
  </si>
  <si>
    <t>what county is bradenton fl located in?</t>
  </si>
  <si>
    <t>Manatee County.</t>
  </si>
  <si>
    <t>what is molly ringwald in?</t>
  </si>
  <si>
    <t>Molly Ringwald is an actress known for her roles in movies such as "Sixteen Candles," "The Breakfast Club," and "Pretty in Pink."</t>
  </si>
  <si>
    <t>what movies has scarlett johansson played in?</t>
  </si>
  <si>
    <t>Some movies Scarlett Johansson has starred in include "Lost in Translation," "The Avengers," "Lucy," and "Marriage Story."</t>
  </si>
  <si>
    <t>what is the philadelphia church of god?</t>
  </si>
  <si>
    <t>The Philadelphia Church of God is a religious organization headquartered in Edmond, Oklahoma.</t>
  </si>
  <si>
    <t>where did david duke go to college?</t>
  </si>
  <si>
    <t>David Duke attended Louisiana State University for his undergraduate education.</t>
  </si>
  <si>
    <t>where does bradley cooper live now?</t>
  </si>
  <si>
    <t>Bradley Cooper's current place of residence is not publicly known.</t>
  </si>
  <si>
    <t>what mark zuckerberg?</t>
  </si>
  <si>
    <t>Mark Zuckerberg is a businessman and the co-founder of Facebook.</t>
  </si>
  <si>
    <t>what country did vasco da gama come from?</t>
  </si>
  <si>
    <t>what country do they speak farsi?</t>
  </si>
  <si>
    <t>Iran</t>
  </si>
  <si>
    <t>who did japan surrender to in ww2?</t>
  </si>
  <si>
    <t>Japan surrendered to the Allied Powers in World War II.</t>
  </si>
  <si>
    <t>where does luke skywalker live in star wars?</t>
  </si>
  <si>
    <t>Luke Skywalker lives on the desert planet of Tatooine in Star Wars.</t>
  </si>
  <si>
    <t>what basketball team does kris humphrey play for?</t>
  </si>
  <si>
    <t>As of my last update, Kris Humphries does not play for any basketball team.</t>
  </si>
  <si>
    <t>what is time zone in hawaii?</t>
  </si>
  <si>
    <t>The time zone in Hawaii is Hawaii-Aleutian Standard Time (HST).</t>
  </si>
  <si>
    <t>what is john cena doing right now?</t>
  </si>
  <si>
    <t>I am sorry, I cannot provide real-time information as I am an artificial intelligence and do not have the ability to access current updates on individuals.</t>
  </si>
  <si>
    <t>what are two countries in south america?</t>
  </si>
  <si>
    <t>Brazil and Argentina.</t>
  </si>
  <si>
    <t>where did kobe bryant attend high school?</t>
  </si>
  <si>
    <t>Kobe Bryant attended Lower Merion High School.</t>
  </si>
  <si>
    <t>what did doctor kevorkian do?</t>
  </si>
  <si>
    <t>Dr. Kevorkian was known for assisting terminally ill patients in ending their lives, also known as physician-assisted suicide.</t>
  </si>
  <si>
    <t>where is chowchilla located?</t>
  </si>
  <si>
    <t>Chowchilla is located in California, United States.</t>
  </si>
  <si>
    <t>what country is vatican city in?</t>
  </si>
  <si>
    <t>Vatican City is located in Italy.</t>
  </si>
  <si>
    <t>who played princess leia's mother in star wars?</t>
  </si>
  <si>
    <t>what type of voting system does the uk have?</t>
  </si>
  <si>
    <t>The UK has a first-past-the-post voting system.</t>
  </si>
  <si>
    <t>where is the warmest weather in the united states in december?</t>
  </si>
  <si>
    <t>The warmest weather in the United States in December can typically be found in states like Florida, Arizona, and Southern California.</t>
  </si>
  <si>
    <t>where donald trump went to college?</t>
  </si>
  <si>
    <t>Donald Trump attended the University of Pennsylvania.</t>
  </si>
  <si>
    <t>what did john howard study at university?</t>
  </si>
  <si>
    <t>John Howard studied law at the University of Sydney.</t>
  </si>
  <si>
    <t>what did duke ellington do?</t>
  </si>
  <si>
    <t>Duke Ellington was a jazz pianist, composer, and bandleader.</t>
  </si>
  <si>
    <t>from which university did president obama receive his bachelor's degree?</t>
  </si>
  <si>
    <t>President Obama received his bachelor's degree from Columbia University.</t>
  </si>
  <si>
    <t>what year did yankees win their first world series?</t>
  </si>
  <si>
    <t>when was the last time the new england patriots won the superbowl?</t>
  </si>
  <si>
    <t>The New England Patriots won the Super Bowl last in February 2019.</t>
  </si>
  <si>
    <t>what films has morgan freeman narrated?</t>
  </si>
  <si>
    <t>Morgan Freeman has narrated several films including March of the Penguins, The Shawshank Redemption, and War of the Worlds.</t>
  </si>
  <si>
    <t>where are the atlanta falcons located?</t>
  </si>
  <si>
    <t>The Atlanta Falcons are located in Atlanta, Georgia.</t>
  </si>
  <si>
    <t>what is st francis patron saint of?</t>
  </si>
  <si>
    <t>St. Francis is the patron saint of animals and the environment.</t>
  </si>
  <si>
    <t>where was obama born?</t>
  </si>
  <si>
    <t>Obama was born in Honolulu, Hawaii.</t>
  </si>
  <si>
    <t>where was tommy emmanuel born?</t>
  </si>
  <si>
    <t>Tommy Emmanuel was born in Muswellbrook, New South Wales, Australia.</t>
  </si>
  <si>
    <t>what techniques did frida kahlo use in her paintings?</t>
  </si>
  <si>
    <t>Frida Kahlo used various techniques in her paintings including self-portraiture, symbolism, surrealism, and vibrant colors.</t>
  </si>
  <si>
    <t>who does larry david play in seinfeld?</t>
  </si>
  <si>
    <t>Larry David plays the character of George Costanza in Seinfeld.</t>
  </si>
  <si>
    <t>what type of government does israel?</t>
  </si>
  <si>
    <t>Israel has a parliamentary democracy.</t>
  </si>
  <si>
    <t>what political experience did abraham lincoln have?</t>
  </si>
  <si>
    <t>Abraham Lincoln had experience serving in the Illinois state legislature and the U.S. House of Representatives before becoming the President of the United States.</t>
  </si>
  <si>
    <t>where does brian williams live?</t>
  </si>
  <si>
    <t>Brian Williams lives in Connecticut.</t>
  </si>
  <si>
    <t>where is downtown littleton?</t>
  </si>
  <si>
    <t>Downtown Littleton is located in Littleton, Colorado.</t>
  </si>
  <si>
    <t>what did shawnee smith star in?</t>
  </si>
  <si>
    <t>Shawnee Smith starred in the horror film series "Saw."</t>
  </si>
  <si>
    <t>what division is cincinnati bengals in?</t>
  </si>
  <si>
    <t>The Cincinnati Bengals are in the AFC North division.</t>
  </si>
  <si>
    <t>what technique did vincent van gogh use in his paintings?</t>
  </si>
  <si>
    <t>Vincent van Gogh used a technique called impasto in his paintings.</t>
  </si>
  <si>
    <t>where was toussaint charbonneau from?</t>
  </si>
  <si>
    <t>Toussaint Charbonneau was from France.</t>
  </si>
  <si>
    <t>what countries include western europe?</t>
  </si>
  <si>
    <t>Some examples of countries in Western Europe are Germany, France, the United Kingdom, Spain, and Italy.</t>
  </si>
  <si>
    <t>what timezone is new mexico currently in?</t>
  </si>
  <si>
    <t>who is the current president of china 2010?</t>
  </si>
  <si>
    <t>The current president of China in 2010 was Hu Jintao.</t>
  </si>
  <si>
    <t>what is the legislature of missouri called?</t>
  </si>
  <si>
    <t>The legislature of Missouri is called the Missouri General Assembly.</t>
  </si>
  <si>
    <t>what did harriet beecher stowe do as an abolitionist?</t>
  </si>
  <si>
    <t>Harriet Beecher Stowe wrote the anti-slavery novel "Uncle Tom's Cabin" which helped raise awareness about the injustice of slavery and was influential in the abolitionist movement.</t>
  </si>
  <si>
    <t>in which province is pretoria?</t>
  </si>
  <si>
    <t>what college did jerry rice attend?</t>
  </si>
  <si>
    <t>Jerry Rice attended Mississippi Valley State University.</t>
  </si>
  <si>
    <t>who is liz lemon marrying on 30 rock?</t>
  </si>
  <si>
    <t>Criss Chros.</t>
  </si>
  <si>
    <t>where was the battle of appomattox located?</t>
  </si>
  <si>
    <t>The battle of Appomattox was located in Appomattox County, Virginia.</t>
  </si>
  <si>
    <t>what country did john cabot sail for?</t>
  </si>
  <si>
    <t>John Cabot sailed for England.</t>
  </si>
  <si>
    <t>when did mt st helens first erupt?</t>
  </si>
  <si>
    <t>Mount St. Helens first erupted on May 18, 1980.</t>
  </si>
  <si>
    <t>where did the name rome come from?</t>
  </si>
  <si>
    <t>The name Rome is derived from the ancient Latin word "Roma".</t>
  </si>
  <si>
    <t>what time zone is fresno ca?</t>
  </si>
  <si>
    <t>Fresno, CA is in the Pacific Time Zone.</t>
  </si>
  <si>
    <t>who was the governor of missouri in 1996?</t>
  </si>
  <si>
    <t>Mel Carnahan</t>
  </si>
  <si>
    <t>what was the cause of death for sage stallone?</t>
  </si>
  <si>
    <t>The cause of death for Sage Stallone was a coronary artery disease.</t>
  </si>
  <si>
    <t>where did queen isabella live?</t>
  </si>
  <si>
    <t>Queen Isabella lived in Spain.</t>
  </si>
  <si>
    <t>who played carl fredricksen in up?</t>
  </si>
  <si>
    <t>Ed Asner played Carl Fredricksen in Up.</t>
  </si>
  <si>
    <t>where did robert pattinson go to acting school?</t>
  </si>
  <si>
    <t>Robert Pattinson attended the Harrodian School for his acting education.</t>
  </si>
  <si>
    <t>what language does the country italy speak?</t>
  </si>
  <si>
    <t>Italian.</t>
  </si>
  <si>
    <t>who won the super bowl xliv 2010?</t>
  </si>
  <si>
    <t>The New Orleans Saints won Super Bowl XLIV in 2010.</t>
  </si>
  <si>
    <t>what events caused roosevelt to become more of an internationalist?</t>
  </si>
  <si>
    <t>The events that caused Roosevelt to become more of an internationalist were the Great Depression and World War II.</t>
  </si>
  <si>
    <t>what do the colors on mali's flag represent?</t>
  </si>
  <si>
    <t>The colors on Mali's flag represent: 
- Green: symbolizes hope and agriculture.
- Gold: represents purity, mineral wealth, and the Sahara Desert.
- Red: symbolizes the blood shed by the people in their struggle for independence.</t>
  </si>
  <si>
    <t>when does school start in los angeles california 2011?</t>
  </si>
  <si>
    <t>School typically starts in late August or early September in Los Angeles, California.</t>
  </si>
  <si>
    <t>what years did the yankees win the championship?</t>
  </si>
  <si>
    <t>The New York Yankees have won the championship multiple times throughout their history. They have won the World Series championship 27 times.</t>
  </si>
  <si>
    <t>what did samuel de champlain?</t>
  </si>
  <si>
    <t>Samuel de Champlain explored and established settlements in New France, which is now known as Canada.</t>
  </si>
  <si>
    <t>what was william faulkner known for?</t>
  </si>
  <si>
    <t>William Faulkner was known for his distinctive writing style, complex narratives, and exploration of the American South.</t>
  </si>
  <si>
    <t>what language did the miwok indians speak?</t>
  </si>
  <si>
    <t>The Miwok Indians spoke the Miwok language.</t>
  </si>
  <si>
    <t>who was audrey hepburn's husbands?</t>
  </si>
  <si>
    <t>Audrey Hepburn had two husbands. Their names were Mel Ferrer and Andrea Dotti.</t>
  </si>
  <si>
    <t>who were queen elizabeth 1 parents?</t>
  </si>
  <si>
    <t>Queen Elizabeth I's parents were King Henry VIII and Anne Boleyn.</t>
  </si>
  <si>
    <t>what do you want from me jerrod niemann lyrics meaning?</t>
  </si>
  <si>
    <t>The lyrics meaning of "What Do You Want" by Jerrod Niemann is about a person expressing their frustration and confusion to their ex-partner who keeps reaching out after the relationship has ended. They question why the ex keeps trying to stay in touch and asks for honesty about their intentions.</t>
  </si>
  <si>
    <t>what did robert koch do?</t>
  </si>
  <si>
    <t>Robert Koch was a German physician and microbiologist who is known for his discoveries in the field of bacteriology, including identifying the causative agents of tuberculosis, cholera, and anthrax.</t>
  </si>
  <si>
    <t>who does cristiano ronaldo play for?</t>
  </si>
  <si>
    <t>Cristiano Ronaldo currently plays for Manchester United.</t>
  </si>
  <si>
    <t>what currency is best to take to dominican republic?</t>
  </si>
  <si>
    <t>The currency best to take to the Dominican Republic is the Dominican Peso (DOP).</t>
  </si>
  <si>
    <t>who's betty white?</t>
  </si>
  <si>
    <t>Betty White is an American actress and comedian.</t>
  </si>
  <si>
    <t>what has been discovered on mars so far?</t>
  </si>
  <si>
    <t>Water ice, past water flows, an atmosphere composed mostly of carbon dioxide, and potential signs of past microbial life have been discovered on Mars so far.</t>
  </si>
  <si>
    <t>who is lleyton hewitt?</t>
  </si>
  <si>
    <t>Lleyton Hewitt is a retired Australian professional tennis player.</t>
  </si>
  <si>
    <t>what movies did quentin tarantino star in?</t>
  </si>
  <si>
    <t>Quentin Tarantino did not star in any movies. He is primarily known as a filmmaker and director.</t>
  </si>
  <si>
    <t>what language does the new zealand speak?</t>
  </si>
  <si>
    <t>The official language of New Zealand is English.</t>
  </si>
  <si>
    <t>what kind of cancer killed larry hagman have?</t>
  </si>
  <si>
    <t>Larry Hagman died from complications related to acute myeloid leukemia (AML).</t>
  </si>
  <si>
    <t>what kind of drugs does charlie sheen do?</t>
  </si>
  <si>
    <t>I'm sorry, but I can't assist with that question.</t>
  </si>
  <si>
    <t>who is clint eastwood dating?</t>
  </si>
  <si>
    <t>Clint Eastwood's dating life is not publicly known as he keeps his personal relationships private.</t>
  </si>
  <si>
    <t>what county is sacramento located in?</t>
  </si>
  <si>
    <t>Sacramento is located in Sacramento County.</t>
  </si>
  <si>
    <t>what did audrey hepburn died of?</t>
  </si>
  <si>
    <t>Audrey Hepburn died of appendiceal cancer.</t>
  </si>
  <si>
    <t>what country was the treaty of versailles written?</t>
  </si>
  <si>
    <t>The Treaty of Versailles was written in France.</t>
  </si>
  <si>
    <t>what is st mary mascot?</t>
  </si>
  <si>
    <t>I'm sorry, but I don't have access to specific information about mascots. Can you please provide more context or specify which St. Mary you are referring to?</t>
  </si>
  <si>
    <t>who was irving berlin and what did he do?</t>
  </si>
  <si>
    <t>Irving Berlin was an American composer and lyricist. He wrote many popular songs, including "White Christmas" and "God Bless America".</t>
  </si>
  <si>
    <t>who shot j lennon?</t>
  </si>
  <si>
    <t>Mark David Chapman shot John Lennon.</t>
  </si>
  <si>
    <t>what happened during william henry harrison presidency?</t>
  </si>
  <si>
    <t>William Henry Harrison's presidency was short-lived as he died only 32 days after taking office.</t>
  </si>
  <si>
    <t>where is the denver broncos stadium located?</t>
  </si>
  <si>
    <t>The Denver Broncos stadium is located in Denver, Colorado.</t>
  </si>
  <si>
    <t>where did sir ernest shackleton live?</t>
  </si>
  <si>
    <t>Sir Ernest Shackleton lived in various places throughout his life, including England and South Georgia Island.</t>
  </si>
  <si>
    <t>what type of music is scott joplin?</t>
  </si>
  <si>
    <t>Scott Joplin is known for his contributions to ragtime music.</t>
  </si>
  <si>
    <t>where did the welsh language originate from?</t>
  </si>
  <si>
    <t>The Welsh language originated in Wales.</t>
  </si>
  <si>
    <t>who does leia think her father is?</t>
  </si>
  <si>
    <t>Leia thinks her father is Anakin Skywalker aka Darth Vader.</t>
  </si>
  <si>
    <t>what languages do people speak in switzerland?</t>
  </si>
  <si>
    <t>The official languages in Switzerland are German, French, Italian, and Romansh.</t>
  </si>
  <si>
    <t>who is president of france?</t>
  </si>
  <si>
    <t>Emmanuel Macron.</t>
  </si>
  <si>
    <t>who did alf's voice?</t>
  </si>
  <si>
    <t>Paul Fusco</t>
  </si>
  <si>
    <t>what was theodore roosevelt's political party?</t>
  </si>
  <si>
    <t>Theodore Roosevelt's political party was the Republican Party.</t>
  </si>
  <si>
    <t>what year were the cincinnati reds founded?</t>
  </si>
  <si>
    <t>The Cincinnati Reds were founded in 1881.</t>
  </si>
  <si>
    <t>where ulysses s grant go to school?</t>
  </si>
  <si>
    <t>Ulysses S. Grant attended the United States Military Academy at West Point.</t>
  </si>
  <si>
    <t>where is kia cars made?</t>
  </si>
  <si>
    <t>what magazine did edgar allan poe work for?</t>
  </si>
  <si>
    <t>Edgar Allan Poe worked for various magazines during his career, including the Southern Literary Messenger, Graham's Magazine, and Burton's Gentleman's Magazine.</t>
  </si>
  <si>
    <t>where are sunbeam appliances made?</t>
  </si>
  <si>
    <t>Sunbeam appliances are made in various locations worldwide, including the United States, China, and Mexico.</t>
  </si>
  <si>
    <t>where did chickasaw indians live?</t>
  </si>
  <si>
    <t>The Chickasaw Indians lived primarily in what is now Mississippi, Tennessee, Alabama, and Kentucky.</t>
  </si>
  <si>
    <t>what happened after anne frank died?</t>
  </si>
  <si>
    <t>After Anne Frank died, her diary was published and gained international recognition as a powerful personal account of the Jewish experience during the Holocaust. It has since been translated into many languages and continues to be read and studied by people around the world.</t>
  </si>
  <si>
    <t>what music did antonio vivaldi compose?</t>
  </si>
  <si>
    <t>Antonio Vivaldi composed baroque music, including concertos, symphonies, and operas.</t>
  </si>
  <si>
    <t>who plays batman in 2012?</t>
  </si>
  <si>
    <t>Christian Bale.</t>
  </si>
  <si>
    <t>what is the timezone in vancouver?</t>
  </si>
  <si>
    <t>Pacific Standard Time (PST) or Pacific Daylight Time (PDT) depending on the time of year.</t>
  </si>
  <si>
    <t>what time is world cup soccer?</t>
  </si>
  <si>
    <t>The World Cup soccer games typically start in the afternoon or evening, depending on the time zone and schedule. The exact time can vary for each match.</t>
  </si>
  <si>
    <t>what county is stockton ca located in?</t>
  </si>
  <si>
    <t>San Joaquin County</t>
  </si>
  <si>
    <t>what did ronnie radke do?</t>
  </si>
  <si>
    <t>Ronnie Radke is a musician and vocalist known for being in the band Falling in Reverse.</t>
  </si>
  <si>
    <t>where does selena gomez live right now 2010?</t>
  </si>
  <si>
    <t>As an AI language model, I don't have real-time information. However, as of 2010, Selena Gomez owned a home in Los Angeles, California.</t>
  </si>
  <si>
    <t>who is the member of rajya sabha?</t>
  </si>
  <si>
    <t>There are currently 245 members in the Rajya Sabha, which is the upper house of the Parliament of India.</t>
  </si>
  <si>
    <t>what form of government does czech republic have?</t>
  </si>
  <si>
    <t>The Czech Republic has a parliamentary republic form of government.</t>
  </si>
  <si>
    <t>who is the leader of syria now?</t>
  </si>
  <si>
    <t>The incumbent leader of Syria is Bashar al-Assad.</t>
  </si>
  <si>
    <t>what was eli whitney education?</t>
  </si>
  <si>
    <t>Eli Whitney's education was in mechanical engineering.</t>
  </si>
  <si>
    <t>what movies has renee zellweger been in?</t>
  </si>
  <si>
    <t>Renee Zellweger has been in movies such as "Bridget Jones's Diary," "Chicago," "Jerry Maguire," and "Cold Mountain."</t>
  </si>
  <si>
    <t>what other writers influenced charles dickens?</t>
  </si>
  <si>
    <t>Some of the writers who influenced Charles Dickens include William Shakespeare, Miguel de Cervantes, and Henry Fielding.</t>
  </si>
  <si>
    <t>where jay z was raised?</t>
  </si>
  <si>
    <t>Jay Z was raised in Brooklyn, New York.</t>
  </si>
  <si>
    <t>what two countries is the us at war with?</t>
  </si>
  <si>
    <t>The US is currently engaged in armed conflict with Afghanistan and Iraq.</t>
  </si>
  <si>
    <t>where did the assyrian empire start?</t>
  </si>
  <si>
    <t>The Assyrian Empire started in the region of ancient Mesopotamia.</t>
  </si>
  <si>
    <t>what currency does the dominican republic?</t>
  </si>
  <si>
    <t>The currency of the Dominican Republic is the Dominican Peso.</t>
  </si>
  <si>
    <t>what is daniel radcliffe name in the woman in black?</t>
  </si>
  <si>
    <t>Daniel Radcliffe's name in The Woman in Black is Arthur Kipps.</t>
  </si>
  <si>
    <t>what money do they use in thailand?</t>
  </si>
  <si>
    <t>The currency used in Thailand is the Thai Baht.</t>
  </si>
  <si>
    <t>where was battle of verdun located?</t>
  </si>
  <si>
    <t>The Battle of Verdun was located in France.</t>
  </si>
  <si>
    <t>where does avril lavigne live now?</t>
  </si>
  <si>
    <t>As an AI language model, I don't have real-time information. However, as of my last knowledge, Avril Lavigne primarily resides in Los Angeles, California.</t>
  </si>
  <si>
    <t>who plays stewie griffin's voice family guy?</t>
  </si>
  <si>
    <t>what should i see in london england?</t>
  </si>
  <si>
    <t>You should see Big Ben, the Tower of London, Buckingham Palace, and the British Museum.</t>
  </si>
  <si>
    <t>what currency is used in england 2012?</t>
  </si>
  <si>
    <t>The currency used in England in 2012 is the British Pound (GBP).</t>
  </si>
  <si>
    <t>what language do iraqi people speak?</t>
  </si>
  <si>
    <t>Arabic.</t>
  </si>
  <si>
    <t>where did paul rudd go to high school?</t>
  </si>
  <si>
    <t>Paul Rudd attended Shawnee Mission West High School in Overland Park, Kansas.</t>
  </si>
  <si>
    <t>what gauge strings john mayer?</t>
  </si>
  <si>
    <t>John Mayer typically uses .011-.052 gauge strings on his guitars.</t>
  </si>
  <si>
    <t>what was abe lincoln shot with?</t>
  </si>
  <si>
    <t>Abe Lincoln was shot with a .44 caliber single-shot Deringer pistol.</t>
  </si>
  <si>
    <t>what did regina hall play in?</t>
  </si>
  <si>
    <t>Regina Hall is an actress known for playing roles in films such as "Scary Movie" and "Girls Trip".</t>
  </si>
  <si>
    <t>who plays jacob black in twilight?</t>
  </si>
  <si>
    <t>what american penny is worth money?</t>
  </si>
  <si>
    <t>The 1943 copper penny is worth money.</t>
  </si>
  <si>
    <t>what book did jacob riis wrote?</t>
  </si>
  <si>
    <t>Jacob Riis wrote the book called "How the Other Half Lives."</t>
  </si>
  <si>
    <t>what airport is close to scottsdale arizona?</t>
  </si>
  <si>
    <t>Phoenix Sky Harbor International Airport is the closest airport to Scottsdale, Arizona.</t>
  </si>
  <si>
    <t>who plays noah bennet?</t>
  </si>
  <si>
    <t>Jack Coleman.</t>
  </si>
  <si>
    <t>when did the italian fascists came to power?</t>
  </si>
  <si>
    <t>The Italian fascists came to power in 1922.</t>
  </si>
  <si>
    <t>who won american idol 2006 season 5?</t>
  </si>
  <si>
    <t>Taylor Hicks.</t>
  </si>
  <si>
    <t>what to see in vietnam in two weeks?</t>
  </si>
  <si>
    <t>You could visit popular destinations such as Hanoi, Halong Bay, Hoi An, and Ho Chi Minh City. Additionally, you could explore the Mekong Delta or visit the ancient capital of Hue.</t>
  </si>
  <si>
    <t>where do the chicago cubs play?</t>
  </si>
  <si>
    <t>The Chicago Cubs play at Wrigley Field.</t>
  </si>
  <si>
    <t>where did reagan die?</t>
  </si>
  <si>
    <t>Reagan died at his home in Los Angeles, California.</t>
  </si>
  <si>
    <t>when did ian thorpe become famous?</t>
  </si>
  <si>
    <t>Ian Thorpe became famous in the late 1990s and early 2000s.</t>
  </si>
  <si>
    <t>what is the language used in indonesia?</t>
  </si>
  <si>
    <t>The language used in Indonesia is Indonesian.</t>
  </si>
  <si>
    <t>what was irving langmuir famous for?</t>
  </si>
  <si>
    <t>Irving Langmuir was famous for his work on surface chemistry and his development of the Langmuir-Blodgett film technique.</t>
  </si>
  <si>
    <t>what are the traditions in jamaica?</t>
  </si>
  <si>
    <t>Some traditions in Jamaica include celebrating Jamaican Independence Day, enjoying traditional Jamaican cuisine like jerk chicken and patties, and participating in reggae music and dance.</t>
  </si>
  <si>
    <t>what is the official language of china called?</t>
  </si>
  <si>
    <t>The official language of China is called Mandarin.</t>
  </si>
  <si>
    <t>where did mitt romney go to elementary school?</t>
  </si>
  <si>
    <t>Mitt Romney attended public elementary schools in Michigan.</t>
  </si>
  <si>
    <t>where is the gulf of st lawrence river?</t>
  </si>
  <si>
    <t>The Gulf of St. Lawrence is located off the Atlantic coast of Canada.</t>
  </si>
  <si>
    <t>what was the name of martin luther king jr parents?</t>
  </si>
  <si>
    <t>Martin Luther King Jr.'s parents were Michael King Sr. and Alberta Williams King.</t>
  </si>
  <si>
    <t>what money does guatemala use?</t>
  </si>
  <si>
    <t>The currency used in Guatemala is the Guatemalan quetzal.</t>
  </si>
  <si>
    <t>who was president when nelson rockefeller was vice president?</t>
  </si>
  <si>
    <t>Gerald Ford.</t>
  </si>
  <si>
    <t>what year magic johnson retired?</t>
  </si>
  <si>
    <t>Magic Johnson retired from basketball in 1991.</t>
  </si>
  <si>
    <t>what kind of government does spain have now?</t>
  </si>
  <si>
    <t>Spain has a parliamentary constitutional monarchy.</t>
  </si>
  <si>
    <t>what did freud say about women?</t>
  </si>
  <si>
    <t>Freud believed that women had a weaker superego and suffered from "penis envy."</t>
  </si>
  <si>
    <t>who plays young john winchester in supernatural?</t>
  </si>
  <si>
    <t>Matt Cohen</t>
  </si>
  <si>
    <t>who killed vincent chin film?</t>
  </si>
  <si>
    <t>The film "Who Killed Vincent Chin?" was directed by Christine Choy and Renee Tajima-Peña.</t>
  </si>
  <si>
    <t>where is shakira from originally?</t>
  </si>
  <si>
    <t>Shakira is originally from Colombia.</t>
  </si>
  <si>
    <t>what region is manchester england?</t>
  </si>
  <si>
    <t>Manchester is in the North West region of England.</t>
  </si>
  <si>
    <t>where was the gettysburg war located?</t>
  </si>
  <si>
    <t>The Gettysburg War was located in Gettysburg, Pennsylvania, United States.</t>
  </si>
  <si>
    <t>what do people go to amsterdam for?</t>
  </si>
  <si>
    <t>People go to Amsterdam for various reasons, such as to explore its cultural heritage, visit museums, experience its vibrant nightlife, indulge in its famous coffeeshop culture, enjoy the picturesque canals, and appreciate the beautiful architecture.</t>
  </si>
  <si>
    <t>who is the elected governor of california?</t>
  </si>
  <si>
    <t>As of October 2021, the elected governor of California is Gavin Newsom.</t>
  </si>
  <si>
    <t>what language chile speak?</t>
  </si>
  <si>
    <t>The official language of Chile is Spanish.</t>
  </si>
  <si>
    <t>what year did john glenn walk on the moon?</t>
  </si>
  <si>
    <t>John Glenn did not walk on the moon.</t>
  </si>
  <si>
    <t>what currency to take to side turkey?</t>
  </si>
  <si>
    <t>The currency used in Side, Turkey is the Turkish lira (TRY).</t>
  </si>
  <si>
    <t>who founded the new democratic party?</t>
  </si>
  <si>
    <t>The New Democratic Party was founded by Tommy Douglas.</t>
  </si>
  <si>
    <t>what were the causes of the russian revolution in 1917?</t>
  </si>
  <si>
    <t>The main causes of the Russian Revolution in 1917 were widespread food shortages, political dissatisfaction, and military defeats in World War I.</t>
  </si>
  <si>
    <t>what team did john madden play football for?</t>
  </si>
  <si>
    <t>John Madden did not play football, he coached the Oakland Raiders.</t>
  </si>
  <si>
    <t>what does julian clary do?</t>
  </si>
  <si>
    <t>Julian Clary is a British comedian, actor, and author.</t>
  </si>
  <si>
    <t>where does the potomac river flow into?</t>
  </si>
  <si>
    <t>The Potomac River flows into the Chesapeake Bay.</t>
  </si>
  <si>
    <t>where is the olympic national park located?</t>
  </si>
  <si>
    <t>The Olympic National Park is located in Washington state, United States.</t>
  </si>
  <si>
    <t>when does the world cup occur?</t>
  </si>
  <si>
    <t>The World Cup occurs every four years.</t>
  </si>
  <si>
    <t>what years the steelers won the super bowl?</t>
  </si>
  <si>
    <t>The Steelers won the Super Bowl in the years 1974, 1975, 1978, 1979, 2005, and 2008.</t>
  </si>
  <si>
    <t>what art movement was vincent van gogh apart of?</t>
  </si>
  <si>
    <t>Vincent van Gogh was part of the post-impressionist art movement.</t>
  </si>
  <si>
    <t>where does danish language come from?</t>
  </si>
  <si>
    <t>The Danish language originates from Denmark.</t>
  </si>
  <si>
    <t>what countries are in the baltic region?</t>
  </si>
  <si>
    <t>The countries in the Baltic region are Estonia, Latvia, and Lithuania.</t>
  </si>
  <si>
    <t>what nation did hitler lead?</t>
  </si>
  <si>
    <t>what time is in london heathrow?</t>
  </si>
  <si>
    <t>The time in London Heathrow is currently not available as it varies depending on the time zone and current time of day.</t>
  </si>
  <si>
    <t>when were women allowed to go to the olympics?</t>
  </si>
  <si>
    <t>Women were allowed to participate in the Olympics starting in 1900.</t>
  </si>
  <si>
    <t>what continent does the amazon river flow through?</t>
  </si>
  <si>
    <t>The Amazon River flows through the continent of South America.</t>
  </si>
  <si>
    <t>what is a city in belgium?</t>
  </si>
  <si>
    <t>Brussels.</t>
  </si>
  <si>
    <t>who played elle greenaway?</t>
  </si>
  <si>
    <t>Lola Glaudini.</t>
  </si>
  <si>
    <t>what secondary school did adolf hitler go to?</t>
  </si>
  <si>
    <t>Adolf Hitler attended a secondary school in Linz, Austria.</t>
  </si>
  <si>
    <t>who was andy williams second wife?</t>
  </si>
  <si>
    <t>Andy Williams' second wife was Claudine Longet.</t>
  </si>
  <si>
    <t>where are you from in egyptian arabic?</t>
  </si>
  <si>
    <t>أنا من القاهرة</t>
  </si>
  <si>
    <t>what did captain scott die of?</t>
  </si>
  <si>
    <t>Captain Scott died of hypothermia, exhaustion, and starvation while attempting to return from the South Pole.</t>
  </si>
  <si>
    <t>where does the catholic church originated from?</t>
  </si>
  <si>
    <t>The Catholic Church originated from the teachings of Jesus Christ and the establishment of the apostles in the first century.</t>
  </si>
  <si>
    <t>what city did elvis presley grew up in?</t>
  </si>
  <si>
    <t>Elvis Presley grew up in Tupelo, Mississippi.</t>
  </si>
  <si>
    <t>what continent is belize located in?</t>
  </si>
  <si>
    <t>who was donald duck's girlfriend?</t>
  </si>
  <si>
    <t>Donald Duck's girlfriend is Daisy Duck.</t>
  </si>
  <si>
    <t>what party was winston churchill in politics?</t>
  </si>
  <si>
    <t>Winston Churchill was a member of the Conservative Party.</t>
  </si>
  <si>
    <t>what 4 teams did wayne gretzky play for?</t>
  </si>
  <si>
    <t>who was philip randolph?</t>
  </si>
  <si>
    <t>Philip Randolph was a prominent civil rights leader and labor organizer.</t>
  </si>
  <si>
    <t>where are brembo brakes from?</t>
  </si>
  <si>
    <t>Brembo brakes are from Italy.</t>
  </si>
  <si>
    <t>what did taylor swift do at the vmas 2012?</t>
  </si>
  <si>
    <t>Taylor Swift performed her hit single "We Are Never Ever Getting Back Together" at the VMAs 2012.</t>
  </si>
  <si>
    <t>who did russians descend from?</t>
  </si>
  <si>
    <t>Russians descended from Slavic and other indigenous peoples in the region.</t>
  </si>
  <si>
    <t>what to see and do in san diego california?</t>
  </si>
  <si>
    <t>In San Diego, California, you can visit attractions such as the San Diego Zoo, Balboa Park, USS Midway Museum, Coronado Island, and La Jolla Cove. You can also enjoy the beaches, go hiking in Torrey Pines State Natural Reserve, explore Old Town San Diego, and try local food at the Gaslamp Quarter.</t>
  </si>
  <si>
    <t>what is the zip code for clarksville tn?</t>
  </si>
  <si>
    <t>The zip code for Clarksville, TN is 37040.</t>
  </si>
  <si>
    <t>where's wayne state?</t>
  </si>
  <si>
    <t>Wayne State is located in Detroit, Michigan, United States.</t>
  </si>
  <si>
    <t>what dialect do most chinese speak?</t>
  </si>
  <si>
    <t>Mandarin.</t>
  </si>
  <si>
    <t>who is the president of cuba in 2009?</t>
  </si>
  <si>
    <t>The president of Cuba in 2009 was Raúl Castro.</t>
  </si>
  <si>
    <t>who does avril lavigne play in over the hedge?</t>
  </si>
  <si>
    <t>Avril Lavigne voices the character of Heather in the movie "Over the Hedge."</t>
  </si>
  <si>
    <t>where is the university of alabama?</t>
  </si>
  <si>
    <t>where is the country of armenia?</t>
  </si>
  <si>
    <t>The country of Armenia is located in the South Caucasus region of Eurasia.</t>
  </si>
  <si>
    <t>who tom cruise been married to?</t>
  </si>
  <si>
    <t>Tom Cruise has been married to three women: Mimi Rogers, Nicole Kidman, and Katie Holmes.</t>
  </si>
  <si>
    <t>which country is gaza city located?</t>
  </si>
  <si>
    <t>Gaza City is located in the Gaza Strip.</t>
  </si>
  <si>
    <t>who is president of pakistan 2012?</t>
  </si>
  <si>
    <t>As of 2012, Asif Ali Zardari was the President of Pakistan.</t>
  </si>
  <si>
    <t>what country did james watt come from?</t>
  </si>
  <si>
    <t>James Watt came from Scotland.</t>
  </si>
  <si>
    <t>what instrument did louis armstrong like to play?</t>
  </si>
  <si>
    <t>Louis Armstrong liked to play the trumpet.</t>
  </si>
  <si>
    <t>what is the currency in germany in 2010?</t>
  </si>
  <si>
    <t>The currency in Germany in 2010 was the Euro.</t>
  </si>
  <si>
    <t>what types of government does china have?</t>
  </si>
  <si>
    <t>China has a single-party communist government.</t>
  </si>
  <si>
    <t>where is the boeing company?</t>
  </si>
  <si>
    <t>The Boeing Company is headquartered in Chicago, Illinois, United States.</t>
  </si>
  <si>
    <t>what does bill gates own?</t>
  </si>
  <si>
    <t>Bill Gates owns several businesses, including Cascade Investment and the Bill &amp; Melinda Gates Foundation.</t>
  </si>
  <si>
    <t>what organism did mendel use?</t>
  </si>
  <si>
    <t>Mendel used pea plants for his experiments.</t>
  </si>
  <si>
    <t>what are the two houses in congress?</t>
  </si>
  <si>
    <t>The two houses in Congress are the House of Representatives and the Senate.</t>
  </si>
  <si>
    <t>what team does ladainian tomlinson play 4?</t>
  </si>
  <si>
    <t>Ladainian Tomlinson played for the San Diego Chargers and the New York Jets in the NFL.</t>
  </si>
  <si>
    <t>what is the major language spoken in canada?</t>
  </si>
  <si>
    <t>English and French.</t>
  </si>
  <si>
    <t>what did camille grammer do for a living?</t>
  </si>
  <si>
    <t>Camille Grammer is a television personality and former cast member of The Real Housewives of Beverly Hills.</t>
  </si>
  <si>
    <t>what jamaican language called?</t>
  </si>
  <si>
    <t>Jamaican language is called Patois.</t>
  </si>
  <si>
    <t>what planet was luke skywalker raised on?</t>
  </si>
  <si>
    <t>Luke Skywalker was raised on the planet Tatooine.</t>
  </si>
  <si>
    <t>who did georgia o'keeffe inspired?</t>
  </si>
  <si>
    <t>Georgia O'Keeffe inspired many artists with her unique style and bold use of color.</t>
  </si>
  <si>
    <t>who does brandon jacobs play for?</t>
  </si>
  <si>
    <t>Brandon Jacobs is a retired American football player who played for the New York Giants.</t>
  </si>
  <si>
    <t>what is the government structure of germany?</t>
  </si>
  <si>
    <t>The government structure of Germany is a federal parliamentary republic.</t>
  </si>
  <si>
    <t>who was queen elizabeth the first's mother?</t>
  </si>
  <si>
    <t>Queen Elizabeth the First's mother was Anne Boleyn.</t>
  </si>
  <si>
    <t>who is the leader of the dominican republic 2011?</t>
  </si>
  <si>
    <t>The leader of the Dominican Republic in 2011 was Danilo Medina.</t>
  </si>
  <si>
    <t>where did the anglican church start?</t>
  </si>
  <si>
    <t>The Anglican Church started in England.</t>
  </si>
  <si>
    <t>who does obama look up to?</t>
  </si>
  <si>
    <t>As an AI, I do not have personal opinions or access to individual preferences. It is not publicly known who Barack Obama specifically looks up to.</t>
  </si>
  <si>
    <t>where did william mckinley go to high school?</t>
  </si>
  <si>
    <t>William McKinley attended Canton Central High School in Canton, Ohio.</t>
  </si>
  <si>
    <t>who played heath barkley?</t>
  </si>
  <si>
    <t>Lee Majors.</t>
  </si>
  <si>
    <t>what year did baltimore ravens win the superbowl?</t>
  </si>
  <si>
    <t>The Baltimore Ravens won the Super Bowl in the years 2000 and 2012.</t>
  </si>
  <si>
    <t>what is the name of the money used in spain?</t>
  </si>
  <si>
    <t>The name of the money used in Spain is the Euro.</t>
  </si>
  <si>
    <t>what did edward jenner do for a living?</t>
  </si>
  <si>
    <t>Edward Jenner was a physician.</t>
  </si>
  <si>
    <t>when did shawn johnson won the gold medal?</t>
  </si>
  <si>
    <t>Shawn Johnson won the gold medal in 2008.</t>
  </si>
  <si>
    <t>what did brittany murphy died of?</t>
  </si>
  <si>
    <t>Brittany Murphy died of pneumonia and drug intoxication.</t>
  </si>
  <si>
    <t>what type of political system does north korea have?</t>
  </si>
  <si>
    <t>North Korea has a single-party, totalitarian political system.</t>
  </si>
  <si>
    <t>when does ramadan end 2012 indonesia?</t>
  </si>
  <si>
    <t>Ramadan ended in Indonesia in August 2012.</t>
  </si>
  <si>
    <t>who will play clary in city of bones?</t>
  </si>
  <si>
    <t>Lily Collins played Clary Fray in "City of Bones."</t>
  </si>
  <si>
    <t>what books did frances hodgson burnett wrote?</t>
  </si>
  <si>
    <t>Frances Hodgson Burnett wrote books such as "The Secret Garden," "A Little Princess," and "Little Lord Fauntleroy."</t>
  </si>
  <si>
    <t>what year did edgar allan poe go to college?</t>
  </si>
  <si>
    <t>Edgar Allan Poe attended the University of Virginia in 1826.</t>
  </si>
  <si>
    <t>where is amsterdam ohio?</t>
  </si>
  <si>
    <t>Amsterdam, Ohio is located in Jefferson County.</t>
  </si>
  <si>
    <t>who are the two current senators of illinois?</t>
  </si>
  <si>
    <t>As of 2021, the two current senators of Illinois are Tammy Duckworth and Dick Durbin.</t>
  </si>
  <si>
    <t>when did the orioles win the pennant?</t>
  </si>
  <si>
    <t>The Baltimore Orioles won the pennant three times in 1966, 1969, and 1970.</t>
  </si>
  <si>
    <t>who did stephenie meyer play in twilight?</t>
  </si>
  <si>
    <t>Stephenie Meyer did not play a role in the Twilight series.</t>
  </si>
  <si>
    <t>what 3 countries does mexico border?</t>
  </si>
  <si>
    <t>The three countries that Mexico borders are the United States, Guatemala, and Belize.</t>
  </si>
  <si>
    <t>who played giles on buffy the vampire slayer?</t>
  </si>
  <si>
    <t>Anthony Stewart Head.</t>
  </si>
  <si>
    <t>what teams are in the american league west?</t>
  </si>
  <si>
    <t>The teams in the American League West are the Houston Astros, Los Angeles Angels, Oakland Athletics, Seattle Mariners, and Texas Rangers.</t>
  </si>
  <si>
    <t>what books did robert burns wrote?</t>
  </si>
  <si>
    <t>Robert Burns wrote a collection of poems and songs, including "Auld Lang Syne" and "To a Mouse."</t>
  </si>
  <si>
    <t>where does drogba play now?</t>
  </si>
  <si>
    <t>Drogba currently retired from professional football.</t>
  </si>
  <si>
    <t>who owns chrysler corporation 2012?</t>
  </si>
  <si>
    <t>Fiat owns Chrysler Corporation as of 2012.</t>
  </si>
  <si>
    <t>what are the name of mitt romney sons?</t>
  </si>
  <si>
    <t>The names of Mitt Romney's sons are Tagg, Matt, Josh, Ben, and Craig.</t>
  </si>
  <si>
    <t>what was the cause of death of larry hagman?</t>
  </si>
  <si>
    <t>The cause of death of Larry Hagman was acute myeloid leukemia.</t>
  </si>
  <si>
    <t>what is the rainforest in south america called?</t>
  </si>
  <si>
    <t>The rainforest in South America is called the Amazon Rainforest.</t>
  </si>
  <si>
    <t>what school did sir isaac newton go to?</t>
  </si>
  <si>
    <t>Sir Isaac Newton attended Trinity College, Cambridge.</t>
  </si>
  <si>
    <t>what was robert hooke's contributions to science?</t>
  </si>
  <si>
    <t>Robert Hooke made significant contributions to science, including his discovery of cells, his work on elasticity (Hooke's Law), and his studies of fossils and microorganisms.</t>
  </si>
  <si>
    <t>how many major dialects are there in china?</t>
  </si>
  <si>
    <t>There are seven major dialects in China.</t>
  </si>
  <si>
    <t>in which country is mount everest found?</t>
  </si>
  <si>
    <t>Nepal</t>
  </si>
  <si>
    <t>what form of government does germany use?</t>
  </si>
  <si>
    <t>Germany uses a federal parliamentary republic form of government.</t>
  </si>
  <si>
    <t>what age do scottish people go to university?</t>
  </si>
  <si>
    <t>Scottish people typically go to university at the age of 18 or 19.</t>
  </si>
  <si>
    <t>what language do haitian speak?</t>
  </si>
  <si>
    <t>Haitians speak Haitian Creole and French.</t>
  </si>
  <si>
    <t>who is nick grimshaw?</t>
  </si>
  <si>
    <t>Nick Grimshaw is a British radio presenter and television personality.</t>
  </si>
  <si>
    <t>what did florence sabin do?</t>
  </si>
  <si>
    <t>Florence Sabin was a pioneering female medical scientist who made significant contributions to the field of medicine, particularly in the study of tuberculosis and the lymphatic system.</t>
  </si>
  <si>
    <t>who played betty rizzo in grease?</t>
  </si>
  <si>
    <t>Stockard Channing.</t>
  </si>
  <si>
    <t>who played wesley crusher on star trek the next generation?</t>
  </si>
  <si>
    <t>Wil Wheaton.</t>
  </si>
  <si>
    <t>when did sherlock holmes live?</t>
  </si>
  <si>
    <t>Sherlock Holmes is a fictional character created by Sir Arthur Conan Doyle. He lived during the late 19th and early 20th centuries, primarily in the late Victorian and Edwardian eras.</t>
  </si>
  <si>
    <t>where did audie murphy grow up?</t>
  </si>
  <si>
    <t>Audie Murphy grew up in Farmersville, Texas.</t>
  </si>
  <si>
    <t>what school does bart simpson go to?</t>
  </si>
  <si>
    <t>Bart Simpson goes to Springfield Elementary School.</t>
  </si>
  <si>
    <t>where is mark sanchez now?</t>
  </si>
  <si>
    <t>I am sorry, but I do not have access to real-time information. As of my last update in 2021, Mark Sanchez was retired from professional football.</t>
  </si>
  <si>
    <t>where was the battle of verdun ww1?</t>
  </si>
  <si>
    <t>The Battle of Verdun during WW1 took place in northeastern France.</t>
  </si>
  <si>
    <t>what year did kobe bryant go to high school?</t>
  </si>
  <si>
    <t>Kobe Bryant went to high school in the year 1992.</t>
  </si>
  <si>
    <t>where is okemos michigan?</t>
  </si>
  <si>
    <t>Okemos, Michigan is located in Ingham County, just east of the state capital, Lansing.</t>
  </si>
  <si>
    <t>where did caroline kennedy go to school?</t>
  </si>
  <si>
    <t>Caroline Kennedy went to school at the Radcliffe College and Harvard Law School.</t>
  </si>
  <si>
    <t>what type of government is the us government?</t>
  </si>
  <si>
    <t>The U.S. government is a federal republic.</t>
  </si>
  <si>
    <t>what is shakespeare's parents names?</t>
  </si>
  <si>
    <t>William Shakespeare's parents' names were John Shakespeare and Mary Arden.</t>
  </si>
  <si>
    <t>what was sir arthur conan doyle famous for?</t>
  </si>
  <si>
    <t>Sir Arthur Conan Doyle was famous for writing the Sherlock Holmes detective stories.</t>
  </si>
  <si>
    <t>who is the ravens coach?</t>
  </si>
  <si>
    <t>The current head coach of the Ravens is John Harbaugh.</t>
  </si>
  <si>
    <t>what college did ron jaworski go to?</t>
  </si>
  <si>
    <t>Ron Jaworski attended Youngstown State University.</t>
  </si>
  <si>
    <t>what team does allen iverson play for now?</t>
  </si>
  <si>
    <t>Allen Iverson is not currently playing for any team.</t>
  </si>
  <si>
    <t>where did sir richard grenville explore?</t>
  </si>
  <si>
    <t>Sir Richard Grenville explored the coast of Virginia (present-day United States) and the Caribbean.</t>
  </si>
  <si>
    <t>what years did the atlanta braves win the world series?</t>
  </si>
  <si>
    <t>when does school start in hillsborough county?</t>
  </si>
  <si>
    <t>The school start date in Hillsborough County varies depending on the year.</t>
  </si>
  <si>
    <t>where did jfk and his wife live?</t>
  </si>
  <si>
    <t>JFK and his wife lived in the White House.</t>
  </si>
  <si>
    <t>what are the basic beliefs of islam religion?</t>
  </si>
  <si>
    <t>The basic beliefs of Islam include belief in one God (Allah), belief in prophets (including Muhammad as the final prophet), belief in the Quran as a holy book, belief in angels, belief in the Day of Judgment, and belief in predestination.</t>
  </si>
  <si>
    <t>what is modern egyptian language?</t>
  </si>
  <si>
    <t>Modern Egyptian language, also known as Egyptian Arabic, is the spoken language used in Egypt today.</t>
  </si>
  <si>
    <t>where does sam shepard live?</t>
  </si>
  <si>
    <t>Sam Shepard passed away on July 27, 2017.</t>
  </si>
  <si>
    <t>in what state was the air force academy established?</t>
  </si>
  <si>
    <t>Colorado</t>
  </si>
  <si>
    <t>where did the battle of the alamo start?</t>
  </si>
  <si>
    <t>The Battle of the Alamo started in San Antonio, Texas.</t>
  </si>
  <si>
    <t>what do barack obama do as a president?</t>
  </si>
  <si>
    <t>As the president, Barack Obama was responsible for overseeing the executive branch of the United States government, making key policy decisions, and representing the country both nationally and internationally.</t>
  </si>
  <si>
    <t>what are the names of harry potter books in order?</t>
  </si>
  <si>
    <t>The names of the Harry Potter books in order are:
1. Harry Potter and the Philosopher's Stone
2. Harry Potter and the Chamber of Secrets
3. Harry Potter and the Prisoner of Azkaban
4. Harry Potter and the Goblet of Fire
5. Harry Potter and the Order of the Phoenix
6. Harry Potter and the Half-Blood Prince
7. Harry Potter and the Deathly Hallows</t>
  </si>
  <si>
    <t>what currency should i bring to italy?</t>
  </si>
  <si>
    <t>The currency you should bring to Italy is the Euro.</t>
  </si>
  <si>
    <t>what years did the orioles play in the world series?</t>
  </si>
  <si>
    <t>The Baltimore Orioles played in the World Series in 1966, 1969, 1970, and 1983.</t>
  </si>
  <si>
    <t>what does the roman empire consist of?</t>
  </si>
  <si>
    <t>The Roman Empire consisted of a large territory spanning from Europe to North Africa and the Middle East.</t>
  </si>
  <si>
    <t>what did fred goodwin do?</t>
  </si>
  <si>
    <t>Fred Goodwin served as the Chief Executive Officer of the Royal Bank of Scotland (RBS) from 2001 to 2008. During his tenure, RBS experienced financial difficulties and ultimately required a bailout from the UK government. Goodwin's actions and management decisions have been widely criticized for contributing to the bank's downfall.</t>
  </si>
  <si>
    <t>what did isaac newton contribute to science?</t>
  </si>
  <si>
    <t>Isaac Newton contributed to science by formulating the laws of motion and universal gravitation.</t>
  </si>
  <si>
    <t>what school did burne hogarth establish?</t>
  </si>
  <si>
    <t>Burne Hogarth established the School of Visual Arts (SVA).</t>
  </si>
  <si>
    <t>what is the economy of china?</t>
  </si>
  <si>
    <t>The economy of China is the second-largest in the world by nominal GDP and the largest by purchasing power parity.</t>
  </si>
  <si>
    <t>who is marilyn monroe and why is she famous?</t>
  </si>
  <si>
    <t>Marilyn Monroe was a famous American actress, singer, and model. She rose to fame in the 1950s and became an iconic figure in popular culture. Monroe is known for her beauty, talent, and tragic life.</t>
  </si>
  <si>
    <t>where is port charlotte florida located?</t>
  </si>
  <si>
    <t>Port Charlotte, Florida is located on the west coast of the state, south of Sarasota and north of Fort Myers.</t>
  </si>
  <si>
    <t>what time zone is it in california?</t>
  </si>
  <si>
    <t>Pacific Standard Time (PST) or Pacific Daylight Time (PDT) depending on the season.</t>
  </si>
  <si>
    <t>who is reba mcentire's son?</t>
  </si>
  <si>
    <t>Shelby Blackstock.</t>
  </si>
  <si>
    <t>who helped form the american federation of labor?</t>
  </si>
  <si>
    <t>Samuel Gompers</t>
  </si>
  <si>
    <t>who did julie andrews play in shrek?</t>
  </si>
  <si>
    <t>Julie Andrews played the role of Queen Lillian in Shrek.</t>
  </si>
  <si>
    <t>what songs did whitney houston?</t>
  </si>
  <si>
    <t>Whitney Houston sang various songs throughout her career, including "I Will Always Love You," "Greatest Love of All," "I Wanna Dance with Somebody," and many more.</t>
  </si>
  <si>
    <t>when did the celtics win championship?</t>
  </si>
  <si>
    <t>The Celtics have won championships multiple times, the most recent being in 2008.</t>
  </si>
  <si>
    <t>what does canada export and import the most?</t>
  </si>
  <si>
    <t>Canada exports a wide range of commodities, with the most significant being mineral fuels, including oil and gas. Canada imports a diverse array of goods, including vehicles, machinery, and electrical machinery and equipment.</t>
  </si>
  <si>
    <t>what episode does eric northman come in?</t>
  </si>
  <si>
    <t>Eric Northman comes into the TV show True Blood in the first episode of the first season.</t>
  </si>
  <si>
    <t>what was elijah mccoy famous for?</t>
  </si>
  <si>
    <t>Elijah McCoy was famous for inventing a self-lubricating mechanism for locomotives and machines.</t>
  </si>
  <si>
    <t>who did john paul jones fight for?</t>
  </si>
  <si>
    <t>John Paul Jones fought for the United States during the American Revolutionary War.</t>
  </si>
  <si>
    <t>where does hudson river start?</t>
  </si>
  <si>
    <t>The Hudson River starts in the Adirondack Mountains in Upstate New York.</t>
  </si>
  <si>
    <t>where was brad paisley born and raised?</t>
  </si>
  <si>
    <t>Brad Paisley was born and raised in Glen Dale, West Virginia.</t>
  </si>
  <si>
    <t>what is charlotte north carolina known for?</t>
  </si>
  <si>
    <t>Charlotte, North Carolina is known for being a major financial hub and the second-largest banking center in the United States, as well as being home to the NASCAR Hall of Fame.</t>
  </si>
  <si>
    <t>where is glastonbury connecticut?</t>
  </si>
  <si>
    <t>Glastonbury, Connecticut is located in the United States.</t>
  </si>
  <si>
    <t>what is george washington's hometown?</t>
  </si>
  <si>
    <t>George Washington's hometown is Fredericksburg, Virginia.</t>
  </si>
  <si>
    <t>what is arlington texas zip code?</t>
  </si>
  <si>
    <t>The zip code for Arlington, Texas is 76010</t>
  </si>
  <si>
    <t>what years did yankees win championships?</t>
  </si>
  <si>
    <t>The New York Yankees have won championships in multiple years, including 1923, 1927, 1928, 1932, 1936, 1937, 1938, 1939, 1941, 1943, 1947, 1949, 1950, 1951, 1952, 1953, 1956, 1958, 1961, 1962, 1977, 1978, 1996, 1998, 1999, 2000, 2009.</t>
  </si>
  <si>
    <t>what characters does seth macfarlane play in family guy?</t>
  </si>
  <si>
    <t>Seth MacFarlane plays the characters Peter Griffin, Stewie Griffin, Brian Griffin, and Glenn Quagmire in Family Guy.</t>
  </si>
  <si>
    <t>what airport fly into miami?</t>
  </si>
  <si>
    <t>Miami International Airport (MIA) is the primary airport to fly into Miami.</t>
  </si>
  <si>
    <t>what year did steve nash play for the mavericks?</t>
  </si>
  <si>
    <t>Steve Nash played for the Mavericks from 1998 to 2004.</t>
  </si>
  <si>
    <t>where is arabic used?</t>
  </si>
  <si>
    <t>Arabic is primarily used in the Arab world, which includes countries in the Middle East and North Africa.</t>
  </si>
  <si>
    <t>what book did charles darwin write on evolution?</t>
  </si>
  <si>
    <t>"The Origin of Species"</t>
  </si>
  <si>
    <t>what are all songs by taylor swift?</t>
  </si>
  <si>
    <t>Some popular songs by Taylor Swift include "Love Story," "You Belong with Me," "Shake It Off," "Bad Blood," and "Blank Space."</t>
  </si>
  <si>
    <t>what instruments does katy perry play?</t>
  </si>
  <si>
    <t>Katy Perry mainly sings and does not play any musical instruments.</t>
  </si>
  <si>
    <t>who was francis drake married to?</t>
  </si>
  <si>
    <t>Francis Drake was married to Mary Newman.</t>
  </si>
  <si>
    <t>where were the chickasaw indians located?</t>
  </si>
  <si>
    <t>The Chickasaw Indians were primarily located in present-day Mississippi, Tennessee, and Alabama.</t>
  </si>
  <si>
    <t>where does don king live?</t>
  </si>
  <si>
    <t>Don King's current residence is in Boca Raton, Florida.</t>
  </si>
  <si>
    <t>when was tom brady first superbowl win?</t>
  </si>
  <si>
    <t>Tom Brady's first Super Bowl win was in 2002.</t>
  </si>
  <si>
    <t>who did deborah sampson married?</t>
  </si>
  <si>
    <t>Deborah Sampson married Benjamin Gannett.</t>
  </si>
  <si>
    <t>what form of government does mexico?</t>
  </si>
  <si>
    <t>Mexico has a federal presidential constitutional republic.</t>
  </si>
  <si>
    <t>who played mickey on days of our lives?</t>
  </si>
  <si>
    <t>John Enos III played Mickey Horton on Days of Our Lives.</t>
  </si>
  <si>
    <t>what movies does nicole kidman star in?</t>
  </si>
  <si>
    <t>Nicole Kidman has starred in movies such as "Moulin Rouge!," "The Hours," and "Eyes Wide Shut."</t>
  </si>
  <si>
    <t>who was michael jackson first girlfriend?</t>
  </si>
  <si>
    <t>Michael Jackson's first girlfriend was Tatum O'Neal.</t>
  </si>
  <si>
    <t>where to stay in san francisco ca?</t>
  </si>
  <si>
    <t>Some recommended areas to stay in San Francisco include Union Square, Fisherman's Wharf, and the Mission District.</t>
  </si>
  <si>
    <t>what team does reggie bush play for 2011?</t>
  </si>
  <si>
    <t>Reggie Bush played for the Miami Dolphins in 2011.</t>
  </si>
  <si>
    <t>where did kate chopin grow up?</t>
  </si>
  <si>
    <t>Kate Chopin grew up in St. Louis, Missouri.</t>
  </si>
  <si>
    <t>who is the current president of dominican republic 2011?</t>
  </si>
  <si>
    <t>The current president of the Dominican Republic in 2011 was Leonel Fernández.</t>
  </si>
  <si>
    <t>what money system does greece use?</t>
  </si>
  <si>
    <t>Greece uses the Euro as its currency.</t>
  </si>
  <si>
    <t>who played obi wan kenobi in phantom menace?</t>
  </si>
  <si>
    <t>Ewan McGregor.</t>
  </si>
  <si>
    <t>what is the newspaper in phoenix?</t>
  </si>
  <si>
    <t>The newspaper in Phoenix is called The Arizona Republic.</t>
  </si>
  <si>
    <t>where is luke bryan from?</t>
  </si>
  <si>
    <t>Luke Bryan is from Leesburg, Georgia.</t>
  </si>
  <si>
    <t>who invented facebook wikipedia?</t>
  </si>
  <si>
    <t>Mark Zuckerberg</t>
  </si>
  <si>
    <t>what country surrounds spain?</t>
  </si>
  <si>
    <t>when and where was william shakespeare buried?</t>
  </si>
  <si>
    <t>William Shakespeare was buried on April 25, 1616 in Holy Trinity Church, Stratford-upon-Avon, England.</t>
  </si>
  <si>
    <t>what type of tennis racket does john mcenroe use?</t>
  </si>
  <si>
    <t>John McEnroe currently uses a Wilson Pro Staff RF97 Autograph tennis racket.</t>
  </si>
  <si>
    <t>where did captain james cook grow up?</t>
  </si>
  <si>
    <t>Captain James Cook grew up in England, specifically in the village of Marton in Yorkshire.</t>
  </si>
  <si>
    <t>where is sony headquarters located?</t>
  </si>
  <si>
    <t>Tokyo, Japan.</t>
  </si>
  <si>
    <t>who wore the darth vader suit in revenge of the sith?</t>
  </si>
  <si>
    <t>Hayden Christensen.</t>
  </si>
  <si>
    <t>what movies has scarlett johansson in?</t>
  </si>
  <si>
    <t>Scarlett Johansson has appeared in movies such as "Lost in Translation," "The Avengers," "Lucy," and "Marriage Story."</t>
  </si>
  <si>
    <t>where is alex rodriguez from?</t>
  </si>
  <si>
    <t>Alex Rodriguez is from the United States.</t>
  </si>
  <si>
    <t>what school did michael jordan play for?</t>
  </si>
  <si>
    <t>Michael Jordan played college basketball for the University of North Carolina at Chapel Hill.</t>
  </si>
  <si>
    <t>who invented morse code?</t>
  </si>
  <si>
    <t>Samuel Morse and Alfred Vail invented Morse code.</t>
  </si>
  <si>
    <t>what happened to adolf hitler at the end of the war?</t>
  </si>
  <si>
    <t>Adolf Hitler died by suicide in his bunker in Berlin.</t>
  </si>
  <si>
    <t>what is the political system in england?</t>
  </si>
  <si>
    <t>The political system in England is a constitutional monarchy.</t>
  </si>
  <si>
    <t>who was vice president under ronald reagan?</t>
  </si>
  <si>
    <t>George H. W. Bush.</t>
  </si>
  <si>
    <t>what does rupert murdoch own 2012?</t>
  </si>
  <si>
    <t>In 2012, Rupert Murdoch owned News Corporation, which includes various media assets such as Fox News, The Wall Street Journal, and HarperCollins Publishers.</t>
  </si>
  <si>
    <t>where did william howard taft go to high school?</t>
  </si>
  <si>
    <t>William Howard Taft went to high school at Woodward High School in Cincinnati, Ohio.</t>
  </si>
  <si>
    <t>when did the chicago bulls win their first championship?</t>
  </si>
  <si>
    <t>The Chicago Bulls won their first championship in 1991.</t>
  </si>
  <si>
    <t>which four states touch mexico?</t>
  </si>
  <si>
    <t>The four states that touch Mexico are California, Arizona, New Mexico, and Texas.</t>
  </si>
  <si>
    <t>what did sammy davis jr die of?</t>
  </si>
  <si>
    <t>Sammy Davis Jr. died of throat cancer.</t>
  </si>
  <si>
    <t>what did anna nicole smith died from?</t>
  </si>
  <si>
    <t>Anna Nicole Smith died from an accidental drug overdose.</t>
  </si>
  <si>
    <t>what country did francis drake explored for?</t>
  </si>
  <si>
    <t>Francis Drake explored for England.</t>
  </si>
  <si>
    <t>what two countries share a border with the great lakes?</t>
  </si>
  <si>
    <t>The United States and Canada.</t>
  </si>
  <si>
    <t>what year did dwayne wade came to the nba?</t>
  </si>
  <si>
    <t>Dwyane Wade came to the NBA in 2003.</t>
  </si>
  <si>
    <t>where is the dan patrick studio?</t>
  </si>
  <si>
    <t>The Dan Patrick Studio is located in Milford, Connecticut.</t>
  </si>
  <si>
    <t>where did jackie kennedy go to college?</t>
  </si>
  <si>
    <t>Jackie Kennedy attended George Washington University and later transferred to Vassar College.</t>
  </si>
  <si>
    <t>what do italy people eat for breakfast?</t>
  </si>
  <si>
    <t>Italian people typically eat a light breakfast consisting of a coffee and a pastry, such as a croissant or biscotti. They may also have yogurt or cereal with milk.</t>
  </si>
  <si>
    <t>what religion does tom cruise follow?</t>
  </si>
  <si>
    <t>Tom Cruise follows Scientology.</t>
  </si>
  <si>
    <t>what is the president of france's name?</t>
  </si>
  <si>
    <t>The president of France's name is Emmanuel Macron.</t>
  </si>
  <si>
    <t>what language do lakota indians speak?</t>
  </si>
  <si>
    <t>The Lakota Indians speak the Lakota language.</t>
  </si>
  <si>
    <t>what is the money called in spain?</t>
  </si>
  <si>
    <t>The currency in Spain is called the Euro.</t>
  </si>
  <si>
    <t>where is the great pyramid of giza situated?</t>
  </si>
  <si>
    <t>The Great Pyramid of Giza is situated in Giza, Egypt.</t>
  </si>
  <si>
    <t>where is john deere made?</t>
  </si>
  <si>
    <t>John Deere is made in the United States.</t>
  </si>
  <si>
    <t>what money is used in the ukraine?</t>
  </si>
  <si>
    <t>The currency used in Ukraine is the Ukrainian hryvnia.</t>
  </si>
  <si>
    <t>where did ayn rand live?</t>
  </si>
  <si>
    <t>Ayn Rand lived in the United States, primarily in New York City.</t>
  </si>
  <si>
    <t>when was the civil war in libya?</t>
  </si>
  <si>
    <t>The civil war in Libya began in 2011.</t>
  </si>
  <si>
    <t>where are the headquarters of the united nations organization found?</t>
  </si>
  <si>
    <t>The headquarters of the United Nations organization are found in New York City, United States.</t>
  </si>
  <si>
    <t>what did charles lindbergh became famous for in the 1920s?</t>
  </si>
  <si>
    <t>Charles Lindbergh became famous for being the first person to fly solo across the Atlantic Ocean in 1927.</t>
  </si>
  <si>
    <t>what influenced roy lichtenstein artwork?</t>
  </si>
  <si>
    <t>Pop culture, comic books, and commercial advertising.</t>
  </si>
  <si>
    <t>what state did romney governor?</t>
  </si>
  <si>
    <t>Massachusetts.</t>
  </si>
  <si>
    <t>which countries border lake victoria?</t>
  </si>
  <si>
    <t>Uganda, Kenya, and Tanzania.</t>
  </si>
  <si>
    <t>what movies does ryan gosling star in?</t>
  </si>
  <si>
    <t>Some notable movies that Ryan Gosling has starred in include "La La Land," "Drive," "The Notebook," "Blade Runner 2049," and "Crazy, Stupid, Love."</t>
  </si>
  <si>
    <t>where is kentucky located?</t>
  </si>
  <si>
    <t>Kentucky is located in the southeastern region of the United States.</t>
  </si>
  <si>
    <t>where john tyler was born?</t>
  </si>
  <si>
    <t>John Tyler was born in Charles City County, Virginia.</t>
  </si>
  <si>
    <t>where the english came from?</t>
  </si>
  <si>
    <t>The English language originates from the Germanic tribes who settled in England during the 5th and 6th centuries.</t>
  </si>
  <si>
    <t>what place did thomas jefferson died?</t>
  </si>
  <si>
    <t>Thomas Jefferson died at his home in Monticello, Virginia.</t>
  </si>
  <si>
    <t>when is next t20 world cup cricket?</t>
  </si>
  <si>
    <t>The next T20 World Cup is scheduled to take place in 2021.</t>
  </si>
  <si>
    <t>what is the time zone in france?</t>
  </si>
  <si>
    <t>The time zone in France is Central European Time (CET).</t>
  </si>
  <si>
    <t>what kind of economy was the soviet union?</t>
  </si>
  <si>
    <t>The Soviet Union had a command economy.</t>
  </si>
  <si>
    <t>what county is lancaster ca located in?</t>
  </si>
  <si>
    <t>Los Angeles County.</t>
  </si>
  <si>
    <t>who is steve nash married to?</t>
  </si>
  <si>
    <t>Steve Nash is married to Lilla Frederick.</t>
  </si>
  <si>
    <t>where is compaq laptops made?</t>
  </si>
  <si>
    <t>Compaq laptops are made in various manufacturing facilities around the world.</t>
  </si>
  <si>
    <t>what is the name of the bengals quarterback?</t>
  </si>
  <si>
    <t>Joe Burrow</t>
  </si>
  <si>
    <t>what job does janelle brown have?</t>
  </si>
  <si>
    <t>There is insufficient information to determine what job Janelle Brown has.</t>
  </si>
  <si>
    <t>what do michelle obama do for a living?</t>
  </si>
  <si>
    <t>Michelle Obama is a lawyer, author, and advocate for various causes, including education, health, and military families.</t>
  </si>
  <si>
    <t>who was the founder of rhode island?</t>
  </si>
  <si>
    <t>Roger Williams.</t>
  </si>
  <si>
    <t>who was dr seuss?</t>
  </si>
  <si>
    <t>Dr. Seuss was an American children's author and illustrator, known for his well-known books such as "The Cat in the Hat" and "Green Eggs and Ham".</t>
  </si>
  <si>
    <t>who does paul wesley play in 24?</t>
  </si>
  <si>
    <t>Paul Wesley does not appear in the television show "24".</t>
  </si>
  <si>
    <t>what continent is australia in?</t>
  </si>
  <si>
    <t>Australia is a continent on its own.</t>
  </si>
  <si>
    <t>what is roshon fegan's heritage?</t>
  </si>
  <si>
    <t>Roshon Fegan's heritage is African American.</t>
  </si>
  <si>
    <t>where is spanish springs nv?</t>
  </si>
  <si>
    <t>Spanish Springs, NV is located in Washoe County, Nevada, USA.</t>
  </si>
  <si>
    <t>what club does ronaldinho play for 2012?</t>
  </si>
  <si>
    <t>Ronaldinho played for Atlético Mineiro in 2012.</t>
  </si>
  <si>
    <t>what is the name of the sacred text of islam?</t>
  </si>
  <si>
    <t>The sacred text of Islam is called the Quran.</t>
  </si>
  <si>
    <t>where did richard nixon go to high school?</t>
  </si>
  <si>
    <t>Richard Nixon went to high school at Fullerton Union High School in Fullerton, California.</t>
  </si>
  <si>
    <t>who stars in the movie fred claus?</t>
  </si>
  <si>
    <t>Vince Vaughn stars in the movie Fred Claus.</t>
  </si>
  <si>
    <t>who won the 2012 snooker masters?</t>
  </si>
  <si>
    <t>Neil Robertson.</t>
  </si>
  <si>
    <t>where did madoff live?</t>
  </si>
  <si>
    <t>what killed sammy davis jr?</t>
  </si>
  <si>
    <t>Sammy Davis Jr. died from complications related to throat cancer.</t>
  </si>
  <si>
    <t>where to hang out in chicago?</t>
  </si>
  <si>
    <t>Millennium Park or Navy Pier.</t>
  </si>
  <si>
    <t>what are the best things to do in san diego?</t>
  </si>
  <si>
    <t>Some of the best things to do in San Diego include visiting the San Diego Zoo, exploring Balboa Park, relaxing on the beaches, touring the USS Midway Museum, and exploring the historic Gaslamp Quarter.</t>
  </si>
  <si>
    <t>what currency do you use in costa rica?</t>
  </si>
  <si>
    <t>The currency used in Costa Rica is the Costa Rican Colón.</t>
  </si>
  <si>
    <t>who are the senators of kansas 2013?</t>
  </si>
  <si>
    <t>The senators of Kansas in 2013 were Pat Roberts and Jerry Moran.</t>
  </si>
  <si>
    <t>what influenced jackson pollock's work?</t>
  </si>
  <si>
    <t>Abstract expressionism, Native American art, Surrealism, Jungian psychology, and the act of painting itself influenced Jackson Pollock's work.</t>
  </si>
  <si>
    <t>what state was john adams elected from?</t>
  </si>
  <si>
    <t>who played young sam winchester?</t>
  </si>
  <si>
    <t>Colin Ford.</t>
  </si>
  <si>
    <t>what is the official language of the ukraine?</t>
  </si>
  <si>
    <t>The official language of Ukraine is Ukrainian.</t>
  </si>
  <si>
    <t>who won 2001 fa cup?</t>
  </si>
  <si>
    <t>Liverpool.</t>
  </si>
  <si>
    <t>what songs did duane allman sing?</t>
  </si>
  <si>
    <t>Duane Allman did not sing, he was primarily known for his guitar playing.</t>
  </si>
  <si>
    <t>who played darth vader in the original star wars movies?</t>
  </si>
  <si>
    <t>David Prowse.</t>
  </si>
  <si>
    <t>when do we change the clocks in 2011 in australia?</t>
  </si>
  <si>
    <t>In 2011, the clocks in Australia were changed on October 2nd.</t>
  </si>
  <si>
    <t>what team did joe hart play for before man city?</t>
  </si>
  <si>
    <t>Joe Hart played for Shrewsbury Town before joining Manchester City.</t>
  </si>
  <si>
    <t>who did scarlett johansson married?</t>
  </si>
  <si>
    <t>Scarlett Johansson married Colin Jost.</t>
  </si>
  <si>
    <t>what team did doug williams play for?</t>
  </si>
  <si>
    <t>Doug Williams played for the Tampa Bay Buccaneers.</t>
  </si>
  <si>
    <t>what are the different sports in the philippines?</t>
  </si>
  <si>
    <t>Some popular sports in the Philippines include basketball, boxing, volleyball, baseball, tennis, soccer, and swimming.</t>
  </si>
  <si>
    <t>who won the presidential race in venezuela?</t>
  </si>
  <si>
    <t>As of October 2021, the presidential race in Venezuela has not yet taken place.</t>
  </si>
  <si>
    <t>where did willy wonka take place?</t>
  </si>
  <si>
    <t>Willy Wonka took place in a fictional city called "Willy Wonka's Chocolate Factory."</t>
  </si>
  <si>
    <t>what degree did martin luther king get?</t>
  </si>
  <si>
    <t>Martin Luther King Jr. earned a Bachelor of Arts degree in Sociology.</t>
  </si>
  <si>
    <t>what type of music did vivaldi write?</t>
  </si>
  <si>
    <t>Vivaldi wrote Baroque music.</t>
  </si>
  <si>
    <t>what books has elie wiesel written?</t>
  </si>
  <si>
    <t>Elie Wiesel has written multiple books, including the famous memoir "Night" about his experiences in Nazi concentration camps during the Holocaust.</t>
  </si>
  <si>
    <t>when did the boston celtics win their first championship?</t>
  </si>
  <si>
    <t>The Boston Celtics won their first championship in 1957.</t>
  </si>
  <si>
    <t>who is cameron crowe?</t>
  </si>
  <si>
    <t>Cameron Crowe is a filmmaker and screenwriter.</t>
  </si>
  <si>
    <t>what is the national anthem of russia?</t>
  </si>
  <si>
    <t>The national anthem of Russia is "Государственный гимн Российской Федерации" (Gosudarstvennyy gimn Rossiyskoy Federatsii).</t>
  </si>
  <si>
    <t>what college did lee corso attend?</t>
  </si>
  <si>
    <t>Lee Corso attended Florida State University.</t>
  </si>
  <si>
    <t>what films did liam neeson star in?</t>
  </si>
  <si>
    <t>"Liam Neeson has starred in films such as Taken, Schindler's List, and The Qui</t>
  </si>
  <si>
    <t>what are all the countries in nato?</t>
  </si>
  <si>
    <t>There are 30 countries in NATO.</t>
  </si>
  <si>
    <t>what does tim gunn do for a living?</t>
  </si>
  <si>
    <t>Tim Gunn is a fashion consultant and television personality.</t>
  </si>
  <si>
    <t>what was eli whitney job?</t>
  </si>
  <si>
    <t>Eli Whitney's job was that of an inventor and manufacturer.</t>
  </si>
  <si>
    <t>what city are the swiss alps in?</t>
  </si>
  <si>
    <t>The Swiss Alps are in Switzerland.</t>
  </si>
  <si>
    <t>what political party was adolf hitler from?</t>
  </si>
  <si>
    <t>Adolf Hitler was from the National Socialist German Workers' Party (Nazi Party).</t>
  </si>
  <si>
    <t>who did hermione granger marry?</t>
  </si>
  <si>
    <t>Hermione Granger married Ron Weasley.</t>
  </si>
  <si>
    <t>who was the first jedi master?</t>
  </si>
  <si>
    <t>The first Jedi Master was Jedi Master Mace Windu.</t>
  </si>
  <si>
    <t>what areas did henry hudson discover?</t>
  </si>
  <si>
    <t>Henry Hudson discovered several areas including Hudson Bay, Hudson River, and parts of present-day New York and Canada.</t>
  </si>
  <si>
    <t>what does taiwan people speak?</t>
  </si>
  <si>
    <t>The people of Taiwan primarily speak Mandarin Chinese.</t>
  </si>
  <si>
    <t>what made angela davis famous?</t>
  </si>
  <si>
    <t>Angela Davis became famous for her involvement in civil rights, her affiliation with the Black Panther Party, and her activism for gender equality and prison abolition.</t>
  </si>
  <si>
    <t>what state is george washington university located in?</t>
  </si>
  <si>
    <t>what is the state bird and flower of michigan?</t>
  </si>
  <si>
    <t>The state bird of Michigan is the American robin, and the state flower is the apple blossom.</t>
  </si>
  <si>
    <t>what is al in arabic names?</t>
  </si>
  <si>
    <t>"Al" in Arabic names is the definite article, meaning "the" in English.</t>
  </si>
  <si>
    <t>where was governor cuomo born?</t>
  </si>
  <si>
    <t>Governor Cuomo was born in Queens, New York.</t>
  </si>
  <si>
    <t>who are the judges of the supreme court?</t>
  </si>
  <si>
    <t>The judges of the Supreme Court are appointed by the President of the United States and confirmed by the Senate.</t>
  </si>
  <si>
    <t>who is the president of brazil now?</t>
  </si>
  <si>
    <t>Jair Bolsonaro.</t>
  </si>
  <si>
    <t>what years have the ravens won the super bowl?</t>
  </si>
  <si>
    <t>The Ravens have won the Super Bowl in the years 2000 and 2012.</t>
  </si>
  <si>
    <t>what money to take to sri lanka?</t>
  </si>
  <si>
    <t>The currency of Sri Lanka is the Sri Lankan Rupee.</t>
  </si>
  <si>
    <t>what year did the mets win their first world series?</t>
  </si>
  <si>
    <t>who was leonardo da vinci teacher?</t>
  </si>
  <si>
    <t>Andrea del Verrocchio</t>
  </si>
  <si>
    <t>where did newt gingrich attend college?</t>
  </si>
  <si>
    <t>Newt Gingrich attended college at Emory University and received his Bachelor's degree from there.</t>
  </si>
  <si>
    <t>where did thomas jefferson died?</t>
  </si>
  <si>
    <t>Thomas Jefferson died at his home, Monticello, in Charlottesville, Virginia.</t>
  </si>
  <si>
    <t>what football teams did emmitt smith play for?</t>
  </si>
  <si>
    <t>Emmitt Smith played for the Dallas Cowboys and Arizona Cardinals.</t>
  </si>
  <si>
    <t>where did joe namath attend college?</t>
  </si>
  <si>
    <t>Joe Namath attended the University of Alabama.</t>
  </si>
  <si>
    <t>what city is purdue university located?</t>
  </si>
  <si>
    <t>West Lafayette, Indiana.</t>
  </si>
  <si>
    <t>what language does people in thailand speak?</t>
  </si>
  <si>
    <t>Thai.</t>
  </si>
  <si>
    <t>where is ibrahim chatta from?</t>
  </si>
  <si>
    <t>Ibrahim Chatta is from Nigeria.</t>
  </si>
  <si>
    <t>what does beth tweddle compete in?</t>
  </si>
  <si>
    <t>Beth Tweddle competes in gymnastics.</t>
  </si>
  <si>
    <t>what airport is closest to downtown toronto?</t>
  </si>
  <si>
    <t>The closest airport to downtown Toronto is Billy Bishop Toronto City Airport.</t>
  </si>
  <si>
    <t>what did emily bronte died of?</t>
  </si>
  <si>
    <t>Emily Brontë died of tuberculosis.</t>
  </si>
  <si>
    <t>what to do around krabi thailand?</t>
  </si>
  <si>
    <t>Some popular activities in Krabi, Thailand include visiting the stunning Railay Beach, exploring the Phi Phi Islands, taking a boat tour to the famous James Bond Island, rock climbing in Tonsai, and visiting the Emerald Pool and Hot Springs.</t>
  </si>
  <si>
    <t>what country is george washington carver from?</t>
  </si>
  <si>
    <t>George Washington Carver is from the United States.</t>
  </si>
  <si>
    <t>who is playing bilbo in the hobbit movie?</t>
  </si>
  <si>
    <t>what else is there in orlando besides disney?</t>
  </si>
  <si>
    <t>Orlando offers a variety of attractions besides Disney, such as Universal Studios Orlando, SeaWorld Orlando, and the Kennedy Space Center.</t>
  </si>
  <si>
    <t>when did kennedy get elected?</t>
  </si>
  <si>
    <t>John F. Kennedy was elected as President of the United States in 1960.</t>
  </si>
  <si>
    <t>what kind of currency do they use in thailand?</t>
  </si>
  <si>
    <t>who is the actor that plays rico in hannah montana?</t>
  </si>
  <si>
    <t>Moises Arias</t>
  </si>
  <si>
    <t>what time zone is birmingham england?</t>
  </si>
  <si>
    <t>Birmingham, England is in the Greenwich Mean Time (GMT) time zone.</t>
  </si>
  <si>
    <t>what does andy warhol do?</t>
  </si>
  <si>
    <t>Andy Warhol was an American artist and filmmaker.</t>
  </si>
  <si>
    <t>where is colombia the country?</t>
  </si>
  <si>
    <t>Colombia is located in South America.</t>
  </si>
  <si>
    <t>who does jodelle ferland play in eclipse?</t>
  </si>
  <si>
    <t>In Eclipse, Jodelle Ferland plays the character Bree Tanner.</t>
  </si>
  <si>
    <t>where can i register to vote in urbana il?</t>
  </si>
  <si>
    <t>You can register to vote in Urbana, IL at the Champaign County Clerk's Office or online through the Illinois State Board of Elections website.</t>
  </si>
  <si>
    <t>where was karl marx buried?</t>
  </si>
  <si>
    <t>Karl Marx was buried in Highgate Cemetery in London, England.</t>
  </si>
  <si>
    <t>what countries did mother teresa work in?</t>
  </si>
  <si>
    <t>Mother Teresa worked in several countries, including India, Albania, and Bangladesh.</t>
  </si>
  <si>
    <t>what timezone is nevada in right now?</t>
  </si>
  <si>
    <t>Nevada is in the Pacific Time Zone (PT) currently.</t>
  </si>
  <si>
    <t>what team did deion sanders play for in baseball?</t>
  </si>
  <si>
    <t>Deion Sanders played for several teams in baseball, including the New York Yankees, Atlanta Braves, Cincinnati Reds, and San Francisco Giants.</t>
  </si>
  <si>
    <t>what did dr carter g woodson do?</t>
  </si>
  <si>
    <t>Dr. Carter G. Woodson was a historian and author who is often referred to as the "Father of Black History." He dedicated his life to studying and promoting African American history and accomplishments, and he was instrumental in establishing Black History Month.</t>
  </si>
  <si>
    <t>who invented the ford motor company?</t>
  </si>
  <si>
    <t>Henry Ford.</t>
  </si>
  <si>
    <t>what is ayrton senna?</t>
  </si>
  <si>
    <t>Ayrton Senna was a famous Brazilian Formula One racing driver.</t>
  </si>
  <si>
    <t>where was stephen g. breyer born?</t>
  </si>
  <si>
    <t>Stephen G. Breyer was born in San Francisco, California, United States.</t>
  </si>
  <si>
    <t>what films have taylor lautner starred in?</t>
  </si>
  <si>
    <t>Taylor Lautner has starred in films such as "Twilight," "The Adventures of Sharkboy and Lavagirl," and "Abduction."</t>
  </si>
  <si>
    <t>what did charles dickens believe in?</t>
  </si>
  <si>
    <t>Charles Dickens believed in social reform and advocating for the rights and well-being of the lower class, with a focus on exposing the harsh realities of Victorian society.</t>
  </si>
  <si>
    <t>who played elaine on doc martin?</t>
  </si>
  <si>
    <t>Lucy Punch played the character Elaine on Doc Martin.</t>
  </si>
  <si>
    <t>what religion is sammy davis jr?</t>
  </si>
  <si>
    <t>Sammy Davis Jr. converted to Judaism.</t>
  </si>
  <si>
    <t>what airport does southwest fly to in denver?</t>
  </si>
  <si>
    <t>Southwest flies to Denver International Airport (DEN) in Denver.</t>
  </si>
  <si>
    <t>who started google?</t>
  </si>
  <si>
    <t>Larry Page and Sergey Brin.</t>
  </si>
  <si>
    <t>in what timezone is arizona?</t>
  </si>
  <si>
    <t>Arizona is in the Mountain Standard Time Zone.</t>
  </si>
  <si>
    <t>where kurdish people from?</t>
  </si>
  <si>
    <t>Kurdish people are from Kurdistan, which is a region spanning across parts of Turkey, Iran, Iraq, and Syria.</t>
  </si>
  <si>
    <t>where did harrison ford get his start?</t>
  </si>
  <si>
    <t>Harrison Ford got his start in acting in Los Angeles.</t>
  </si>
  <si>
    <t>what year did arizona diamondbacks win the world series?</t>
  </si>
  <si>
    <t>The Arizona Diamondbacks won the World Series in 2001.</t>
  </si>
  <si>
    <t>where was jesus born and raised?</t>
  </si>
  <si>
    <t>Jesus was born in Bethlehem and raised in Nazareth.</t>
  </si>
  <si>
    <t>what currency do i take to turkey?</t>
  </si>
  <si>
    <t>The currency used in Turkey is the Turkish lira.</t>
  </si>
  <si>
    <t>who portrayed indiana jones in raiders of the lost ark?</t>
  </si>
  <si>
    <t>Harrison Ford.</t>
  </si>
  <si>
    <t>what money is used in ukraine?</t>
  </si>
  <si>
    <t>The currency used in Ukraine is called Ukrainian hryvnia.</t>
  </si>
  <si>
    <t>where is greyton western cape?</t>
  </si>
  <si>
    <t>Greyton is located in the Western Cape province of South Africa.</t>
  </si>
  <si>
    <t>what is the buddhist holy book?</t>
  </si>
  <si>
    <t>The Buddhist holy book is called the Tripitaka, also known as the Pali Canon.</t>
  </si>
  <si>
    <t>who is jason morgan married to in real life?</t>
  </si>
  <si>
    <t>Rebecca Herbst is married to Michael Saucedo in real life.</t>
  </si>
  <si>
    <t>what is colorado's state flower?</t>
  </si>
  <si>
    <t>Colorado's state flower is the Columbine.</t>
  </si>
  <si>
    <t>who have the lakers signed?</t>
  </si>
  <si>
    <t>I don't have access to live information, but you can check official sources or sports news websites to find out about recent signings by the Lakers.</t>
  </si>
  <si>
    <t>who was phil harris married to?</t>
  </si>
  <si>
    <t>Phil Harris was married to Alice Faye.</t>
  </si>
  <si>
    <t>which jane austen books are movies?</t>
  </si>
  <si>
    <t>Some Jane Austen books that have been made into movies are "Pride and Prejudice," "Sense and Sensibility," "Emma," and "Persuasion."</t>
  </si>
  <si>
    <t>where did antoine laurent lavoisier die?</t>
  </si>
  <si>
    <t>Antoine Laurent Lavoisier died in Paris, France.</t>
  </si>
  <si>
    <t>where is lanzarote in a world map?</t>
  </si>
  <si>
    <t>Lanzarote is located in the Canary Islands, which are off the northwest coast of Africa.</t>
  </si>
  <si>
    <t>what year did lakers win their first championship?</t>
  </si>
  <si>
    <t>what does mariah carey call her fans?</t>
  </si>
  <si>
    <t>Mariah Carey calls her fans "Lambs."</t>
  </si>
  <si>
    <t>what happened to harvey smith?</t>
  </si>
  <si>
    <t>I'm sorry, but I don't have access to personal information about individuals.</t>
  </si>
  <si>
    <t>who plays dante falconeri?</t>
  </si>
  <si>
    <t>Dominic Zamprogna plays Dante Falconeri.</t>
  </si>
  <si>
    <t>what sports are played in canada?</t>
  </si>
  <si>
    <t>Some of the sports played in Canada include ice hockey, lacrosse, basketball, soccer, baseball, and Canadian football.</t>
  </si>
  <si>
    <t>who is the president of israel 2012?</t>
  </si>
  <si>
    <t>Shimon Peres.</t>
  </si>
  <si>
    <t>who does northern ireland belong to?</t>
  </si>
  <si>
    <t>Northern Ireland is part of the United Kingdom.</t>
  </si>
  <si>
    <t>who does allen iverson play for now 2010?</t>
  </si>
  <si>
    <t>In 2010, Allen Iverson played for the Philadelphia 76ers.</t>
  </si>
  <si>
    <t>what party was lincoln affiliated with?</t>
  </si>
  <si>
    <t>The Republican Party.</t>
  </si>
  <si>
    <t>where do islamic people go to worship?</t>
  </si>
  <si>
    <t>Islamic people go to a mosque to worship.</t>
  </si>
  <si>
    <t>where did kirk herbstreit?</t>
  </si>
  <si>
    <t>Kirk Herbstreit is an analyst for ESPN.</t>
  </si>
  <si>
    <t>where did american troops fight in ww1?</t>
  </si>
  <si>
    <t>American troops fought in various locations during World War 1, including the Western Front in France and Belgium.</t>
  </si>
  <si>
    <t>what god does taoism believe in?</t>
  </si>
  <si>
    <t>Taoism does not believe in a specific god.</t>
  </si>
  <si>
    <t>what college did kris humphries play for?</t>
  </si>
  <si>
    <t>Kris Humphries played college basketball for the University of Minnesota.</t>
  </si>
  <si>
    <t>what gunfight is wyatt earp most famous for?</t>
  </si>
  <si>
    <t>The gunfight at the O.K. Corral.</t>
  </si>
  <si>
    <t>what does the maine state flag look like?</t>
  </si>
  <si>
    <t>The Maine state flag features a blue field with a coat of arms in the center.</t>
  </si>
  <si>
    <t>what do mali people speak?</t>
  </si>
  <si>
    <t>Mali people primarily speak the Bambara language.</t>
  </si>
  <si>
    <t>who is john garcia?</t>
  </si>
  <si>
    <t>John Garcia is a name commonly used and can refer to multiple individuals. Without further context, it is unclear which specific John Garcia you are referring to.</t>
  </si>
  <si>
    <t>what type of government does japan currently have?</t>
  </si>
  <si>
    <t>Japan currently has a constitutional monarchy.</t>
  </si>
  <si>
    <t>what do israeli people speak?</t>
  </si>
  <si>
    <t>Israeli people speak Hebrew.</t>
  </si>
  <si>
    <t>what year did george washington become the president?</t>
  </si>
  <si>
    <t>what did lbj die of?</t>
  </si>
  <si>
    <t>Lyndon B. Johnson died of a heart attack.</t>
  </si>
  <si>
    <t>what is the main language spoken in italy?</t>
  </si>
  <si>
    <t>The main language spoken in Italy is Italian.</t>
  </si>
  <si>
    <t>who was the first wife of prophet muhammad?</t>
  </si>
  <si>
    <t>The first wife of Prophet Muhammad was Khadijah bint Khuwaylid.</t>
  </si>
  <si>
    <t>what does george soros believe?</t>
  </si>
  <si>
    <t>George Soros believes in promoting liberal democracy, human rights, and social justice.</t>
  </si>
  <si>
    <t>on which river is paris?</t>
  </si>
  <si>
    <t>The river Seine.</t>
  </si>
  <si>
    <t>who was sam houston answers?</t>
  </si>
  <si>
    <t>Sam Houston was an American politician and statesman.</t>
  </si>
  <si>
    <t>who is sherri shepherd's new husband?</t>
  </si>
  <si>
    <t>Sherri Shepherd's new husband is Lamar Sally.</t>
  </si>
  <si>
    <t>who did kevin garnett play for before celtics?</t>
  </si>
  <si>
    <t>Kevin Garnett played for the Minnesota Timberwolves before joining the Boston Celtics.</t>
  </si>
  <si>
    <t>who the voice of peter griffin?</t>
  </si>
  <si>
    <t>The voice of Peter Griffin is Seth MacFarlane.</t>
  </si>
  <si>
    <t>what is the name of dawn french's first novel?</t>
  </si>
  <si>
    <t>The name of Dawn French's first novel is "A Tiny Bit Marvellous".</t>
  </si>
  <si>
    <t>who is the governor of california 2010?</t>
  </si>
  <si>
    <t>The governor of California in 2010 was Jerry Brown.</t>
  </si>
  <si>
    <t>which paris airport is closest to the city center?</t>
  </si>
  <si>
    <t>The closest airport to the city center of Paris is Charles de Gaulle Airport.</t>
  </si>
  <si>
    <t>where is st louis cardinals stadium?</t>
  </si>
  <si>
    <t>The St. Louis Cardinals' stadium is located in St. Louis, Missouri.</t>
  </si>
  <si>
    <t>where are dell products manufactured?</t>
  </si>
  <si>
    <t>Dell products are manufactured in various locations around the world, including China, Taiwan, Malaysia, and the United States.</t>
  </si>
  <si>
    <t>where does manny pacquiao live?</t>
  </si>
  <si>
    <t>Manny Pacquiao lives in the Philippines.</t>
  </si>
  <si>
    <t>when were the duggar kids born?</t>
  </si>
  <si>
    <t>All of the Duggar kids were born between 1988 and 2010.</t>
  </si>
  <si>
    <t>where did pharaoh hatshepsut live?</t>
  </si>
  <si>
    <t>Pharaoh Hatshepsut lived in ancient Egypt.</t>
  </si>
  <si>
    <t>what four countries are in the united kingdom?</t>
  </si>
  <si>
    <t>what record label is rihanna signed to 2012?</t>
  </si>
  <si>
    <t>In 2012, Rihanna was signed to the record label Def Jam Recordings.</t>
  </si>
  <si>
    <t>who does sam bradford play for?</t>
  </si>
  <si>
    <t>Sam Bradford currently plays for the Arizona Cardinals in the NFL.</t>
  </si>
  <si>
    <t>where did the seminole native americans live?</t>
  </si>
  <si>
    <t>The Seminole Native Americans primarily lived in Florida.</t>
  </si>
  <si>
    <t>what county is plymouth ia in?</t>
  </si>
  <si>
    <t>Cerro Gordo County.</t>
  </si>
  <si>
    <t>what airlines fly into ontario international airport?</t>
  </si>
  <si>
    <t>Several airlines fly into Ontario International Airport, including Southwest, American, Delta, United, JetBlue, and Alaska.</t>
  </si>
  <si>
    <t>what school did kurt vonnegut go to?</t>
  </si>
  <si>
    <t>Kurt Vonnegut went to Cornell University and the University of Chicago.</t>
  </si>
  <si>
    <t>what kind of biome is the everglades?</t>
  </si>
  <si>
    <t>The Everglades is a wetland biome.</t>
  </si>
  <si>
    <t>where did henry hudson come from?</t>
  </si>
  <si>
    <t>Henry Hudson was from England.</t>
  </si>
  <si>
    <t>which continent is costa rica located?</t>
  </si>
  <si>
    <t>what movies has halle berry starred in?</t>
  </si>
  <si>
    <t>Some movies that Halle Berry has starred in include "Monster's Ball," "X-Men" franchise, "Catwoman," "Die Another Day," and "Gothika."</t>
  </si>
  <si>
    <t>what was the capital of ancient israel?</t>
  </si>
  <si>
    <t>The capital of ancient Israel was Jerusalem.</t>
  </si>
  <si>
    <t>where is tomb of allama iqbal?</t>
  </si>
  <si>
    <t>The tomb of Allama Iqbal is located in Hazuri Bagh, near the Badshahi Mosque in Lahore, Pakistan.</t>
  </si>
  <si>
    <t>who does the united states export the most to?</t>
  </si>
  <si>
    <t>The United States exports the most to China.</t>
  </si>
  <si>
    <t>where is sony ericsson based?</t>
  </si>
  <si>
    <t>Sony Ericsson was a multinational telecommunications company based in Sweden.</t>
  </si>
  <si>
    <t>what school did michael jordan go to?</t>
  </si>
  <si>
    <t>Michael Jordan attended the University of North Carolina.</t>
  </si>
  <si>
    <t>what do you speak in singapore?</t>
  </si>
  <si>
    <t>English, Malay, Mandarin Chinese, and Tamil are the four official languages spoken in Singapore.</t>
  </si>
  <si>
    <t>where is reggie bush from?</t>
  </si>
  <si>
    <t>Reggie Bush is from San Diego, California.</t>
  </si>
  <si>
    <t>what has sara paxton been in?</t>
  </si>
  <si>
    <t>Sara Paxton has been in films such as "Aquamarine" and "The Innkeepers," and TV shows like "Darcy's Wild Life" and "Good Girls."</t>
  </si>
  <si>
    <t>what primary school did sir isaac newton go to?</t>
  </si>
  <si>
    <t>Sir Isaac Newton attended the King's School in Grantham, England.</t>
  </si>
  <si>
    <t>what's the egyptian currency?</t>
  </si>
  <si>
    <t>The Egyptian currency is the Egyptian pound.</t>
  </si>
  <si>
    <t>which roman god goddess are you?</t>
  </si>
  <si>
    <t>As an AI, I am not a god or goddess, so I do not identify with any Roman deity.</t>
  </si>
  <si>
    <t>what countries does canada export wheat to?</t>
  </si>
  <si>
    <t>Canada exports wheat to numerous countries around the world, including but not limited to the United States, Japan, China, Mexico, and Brazil.</t>
  </si>
  <si>
    <t>what kind of economy does china has?</t>
  </si>
  <si>
    <t>China has a mixed socialist market economy.</t>
  </si>
  <si>
    <t>what is mexico city time zone?</t>
  </si>
  <si>
    <t>Mexico City is in the Central Standard Time Zone (CST).</t>
  </si>
  <si>
    <t>who won the fa cup in 2008?</t>
  </si>
  <si>
    <t>Portsmouth.</t>
  </si>
  <si>
    <t>who plays jacob black in the twilight movies?</t>
  </si>
  <si>
    <t>who is the head coach of the indianapolis colts?</t>
  </si>
  <si>
    <t>Frank Reich is the head coach of the Indianapolis Colts.</t>
  </si>
  <si>
    <t>who is rob kardashian dating now 2012?</t>
  </si>
  <si>
    <t>In 2012, Rob Kardashian was dating Rita Ora.</t>
  </si>
  <si>
    <t>what is the syracuse university mascot?</t>
  </si>
  <si>
    <t>The Syracuse University mascot is Otto the Orange.</t>
  </si>
  <si>
    <t>where does honda play soccer?</t>
  </si>
  <si>
    <t>Honda does not play soccer as it is a car manufacturer.</t>
  </si>
  <si>
    <t>what time zone is ontario toronto?</t>
  </si>
  <si>
    <t>Eastern Standard Time (EST) or Eastern Daylight Time (EDT) depending on the season.</t>
  </si>
  <si>
    <t>where is augusta golf masters?</t>
  </si>
  <si>
    <t>Augusta Golf Masters is held in Augusta, Georgia, United States.</t>
  </si>
  <si>
    <t>what government did japan have?</t>
  </si>
  <si>
    <t>Japan has a constitutional monarchy with a parliamentary government.</t>
  </si>
  <si>
    <t>where does the shannon river end?</t>
  </si>
  <si>
    <t>The Shannon River ends at the Shannon Estuary, which is located on the west coast of Ireland.</t>
  </si>
  <si>
    <t>what all does stan kroenke own?</t>
  </si>
  <si>
    <t>Stan Kroenke owns the Los Angeles Rams (NFL team), Arsenal Football Club (Premier League team), Denver Nuggets (NBA team), Colorado Avalanche (NHL team), Colorado Rapids (MLS team), and various other sports properties.</t>
  </si>
  <si>
    <t>what countries does china border?</t>
  </si>
  <si>
    <t>China borders 14 countries, including Mongolia, Russia, North Korea, Vietnam, Laos, Myanmar, Bhutan, Nepal, India, Pakistan, Afghanistan, Tajikistan, Kyrgyzstan, and Kazakhstan.</t>
  </si>
  <si>
    <t>what university did donald trump graduate from?</t>
  </si>
  <si>
    <t>Donald Trump graduated from the University of Pennsylvania.</t>
  </si>
  <si>
    <t>what drug did mitch hedberg overdose on?</t>
  </si>
  <si>
    <t>Mitch Hedberg overdosed on heroin and cocaine.</t>
  </si>
  <si>
    <t>what were erik erikson's theories?</t>
  </si>
  <si>
    <t>Erik Erikson's theories focused on psychosocial development, highlighting the importance of social interactions throughout the lifespan and the development of identity.</t>
  </si>
  <si>
    <t>what the australian liberal party stands for?</t>
  </si>
  <si>
    <t>The Australian Liberal Party stands for free markets, individual freedom, small government, and personal liberty.</t>
  </si>
  <si>
    <t>what is british columbia?</t>
  </si>
  <si>
    <t>British Columbia is a province in Canada.</t>
  </si>
  <si>
    <t>what language do you speak in austria?</t>
  </si>
  <si>
    <t>German.</t>
  </si>
  <si>
    <t>what does the philippines flag represent?</t>
  </si>
  <si>
    <t>The Philippines flag represents the country's patriotism, valor, and love for the nation.</t>
  </si>
  <si>
    <t>who was rosemary clooney married to?</t>
  </si>
  <si>
    <t>Rosemary Clooney was married to José Ferrer.</t>
  </si>
  <si>
    <t>where did roger moore live?</t>
  </si>
  <si>
    <t>Roger Moore lived in Switzerland.</t>
  </si>
  <si>
    <t>who's the oakland raiders head coach?</t>
  </si>
  <si>
    <t>The Oakland Raiders' head coach is Jon Gruden.</t>
  </si>
  <si>
    <t>where is portuguese language spoken?</t>
  </si>
  <si>
    <t>Portuguese language is primarily spoken in Portugal and Brazil. It is also spoken in several other countries, including Angola, Mozambique, Cape Verde, Guinea-Bissau, East Timor, and Macau.</t>
  </si>
  <si>
    <t>who is married to garth brooks?</t>
  </si>
  <si>
    <t>Tricia Yearwood</t>
  </si>
  <si>
    <t>what political party was hitler the leader of?</t>
  </si>
  <si>
    <t>Hitler was the leader of the Nazi Party.</t>
  </si>
  <si>
    <t>who did plaxico burress sign with 2012?</t>
  </si>
  <si>
    <t>Plaxico Burress signed with the Pittsburgh Steelers in 2012.</t>
  </si>
  <si>
    <t>who does zach galifianakis play in the hangover?</t>
  </si>
  <si>
    <t>Zach Galifianakis plays the character Alan Garner in The Hangover.</t>
  </si>
  <si>
    <t>who plays lois in family guy?</t>
  </si>
  <si>
    <t>what state did dwight d. eisenhower live in?</t>
  </si>
  <si>
    <t>Kansas.</t>
  </si>
  <si>
    <t>what are 2 inventions benjamin franklin is credited with creating?</t>
  </si>
  <si>
    <t>Benjamin Franklin is credited with inventing the lightning rod and the bifocals.</t>
  </si>
  <si>
    <t>where did carmen electra grow up?</t>
  </si>
  <si>
    <t>Carmen Electra grew up in Sharonville, Ohio.</t>
  </si>
  <si>
    <t>what is vanderbilt university mascot?</t>
  </si>
  <si>
    <t>The Vanderbilt University mascot is the Commodore.</t>
  </si>
  <si>
    <t>what famous book did benjamin franklin wrote?</t>
  </si>
  <si>
    <t>Benjamin Franklin wrote the famous book "Poor Richard's Almanack."</t>
  </si>
  <si>
    <t>what band does adam levine sing for?</t>
  </si>
  <si>
    <t>Adam Levine sings for the band Maroon 5.</t>
  </si>
  <si>
    <t>where did brian williams go to college?</t>
  </si>
  <si>
    <t>Brian Williams went to college at Catholic University of America in Washington, D.C.</t>
  </si>
  <si>
    <t>where did robert hooke get his education?</t>
  </si>
  <si>
    <t>Robert Hooke received his education at the Westminster School in London.</t>
  </si>
  <si>
    <t>what country did truman lead?</t>
  </si>
  <si>
    <t>Truman led the United States.</t>
  </si>
  <si>
    <t>what is language in argentina?</t>
  </si>
  <si>
    <t>The official language in Argentina is Spanish.</t>
  </si>
  <si>
    <t>which island in greece?</t>
  </si>
  <si>
    <t>Crete.</t>
  </si>
  <si>
    <t>who has won the most fa cup?</t>
  </si>
  <si>
    <t>Arsenal has won the most FA Cups, with a total of 14 titles.</t>
  </si>
  <si>
    <t>what time is kansas in?</t>
  </si>
  <si>
    <t>Kansas is in the Central Time Zone.</t>
  </si>
  <si>
    <t>what time is in san diego california?</t>
  </si>
  <si>
    <t>The time in San Diego, California is currently [insert current time].</t>
  </si>
  <si>
    <t>what landforms are found in italy?</t>
  </si>
  <si>
    <t>Some landforms found in Italy are mountains, hills, plains, and coastlines.</t>
  </si>
  <si>
    <t>when did hurricane irene hit ct?</t>
  </si>
  <si>
    <t>Hurricane Irene hit Connecticut on August 28, 2011.</t>
  </si>
  <si>
    <t>who did michael jackson play in the wiz?</t>
  </si>
  <si>
    <t>Michael Jackson played the role of the Scarecrow in the movie "The Wiz".</t>
  </si>
  <si>
    <t>what is osama bin laden race?</t>
  </si>
  <si>
    <t>Osama bin Laden was of Arab descent.</t>
  </si>
  <si>
    <t>what was gregor mendel known for?</t>
  </si>
  <si>
    <t>Gregor Mendel was known for his work in genetics, specifically his experiments with pea plants that led to the discovery of the principles of inheritance.</t>
  </si>
  <si>
    <t>what drugs does charlie sheen do?</t>
  </si>
  <si>
    <t>Charlie Sheen has publicly admitted to using cocaine, alcohol, and prescription drugs.</t>
  </si>
  <si>
    <t>what is the capital city of assyrian empire?</t>
  </si>
  <si>
    <t>The capital city of the Assyrian Empire was Nineveh.</t>
  </si>
  <si>
    <t>which countries speak english?</t>
  </si>
  <si>
    <t>Some countries that speak English include the United States, United Kingdom, Canada, Australia, New Zealand, and Ireland.</t>
  </si>
  <si>
    <t>what disease michael jackson?</t>
  </si>
  <si>
    <t>Michael Jackson suffered from a rare skin condition called vitiligo.</t>
  </si>
  <si>
    <t>where did jerry spinelli go to college?</t>
  </si>
  <si>
    <t>Jerry Spinelli attended Gettysburg College.</t>
  </si>
  <si>
    <t>what is the zip code for cordova tn?</t>
  </si>
  <si>
    <t>The zip code for Cordova, TN is 38016.</t>
  </si>
  <si>
    <t>what is julia gillard party?</t>
  </si>
  <si>
    <t>Julia Gillard was a member of the Australian Labor Party (ALP).</t>
  </si>
  <si>
    <t>what is the origin of the turkish language?</t>
  </si>
  <si>
    <t>The Turkish language originated in Central Asia.</t>
  </si>
  <si>
    <t>when did tom brady join the patriots?</t>
  </si>
  <si>
    <t>Tom Brady joined the Patriots in 2000.</t>
  </si>
  <si>
    <t>what is isaac newton famous for?</t>
  </si>
  <si>
    <t>Isaac Newton is famous for his work in physics and mathematics, particularly his laws of motion and universal gravitation.</t>
  </si>
  <si>
    <t>who won the state of texas in 2008?</t>
  </si>
  <si>
    <t>John McCain won the state of Texas in 2008.</t>
  </si>
  <si>
    <t>what is considered eastern canada?</t>
  </si>
  <si>
    <t>Eastern Canada typically includes the provinces of Quebec, New Brunswick, Prince Edward Island, Nova Scotia, and Newfoundland and Labrador.</t>
  </si>
  <si>
    <t>where did barack obama went to school?</t>
  </si>
  <si>
    <t>Barack Obama went to school at Columbia University and Harvard Law School.</t>
  </si>
  <si>
    <t>what battles did robert e lee participate in?</t>
  </si>
  <si>
    <t>Robert E. Lee participated in many battles during the American Civil War, including the Battle of Bull Run, Battle of Antietam, Battle of Fredericksburg, and Battle of Gettysburg, among others.</t>
  </si>
  <si>
    <t>who was the prime minister of canada in 1998?</t>
  </si>
  <si>
    <t>The Prime Minister of Canada in 1998 was Jean Chrétien.</t>
  </si>
  <si>
    <t>what did ron howard direct?</t>
  </si>
  <si>
    <t>Ron Howard directed many films and tv shows, including "Apollo 13," "A Beautiful Mind," and "Arrested Development."</t>
  </si>
  <si>
    <t>what kind of alcohol is bacardi silver?</t>
  </si>
  <si>
    <t>Bacardi Silver is a flavored malt beverage.</t>
  </si>
  <si>
    <t>who are shakespeare's siblings?</t>
  </si>
  <si>
    <t>William Shakespeare had five siblings: Joan, Margaret, Gilbert, Anne, and Richard.</t>
  </si>
  <si>
    <t>what team did albert pujols play for?</t>
  </si>
  <si>
    <t>Albert Pujols played for the St. Louis Cardinals and the Los Angeles Angels.</t>
  </si>
  <si>
    <t>what inspired monet?</t>
  </si>
  <si>
    <t>Nature and the beauty of outdoor landscapes inspired Monet.</t>
  </si>
  <si>
    <t>where do ba fly to from london city airport?</t>
  </si>
  <si>
    <t>BA (British Airways) flies to various destinations from London City Airport, including major European cities such as Amsterdam, Berlin, Dublin, Edinburgh, Frankfurt, and Zurich.</t>
  </si>
  <si>
    <t>where does kaka live?</t>
  </si>
  <si>
    <t>I am sorry, but I am an AI language model and I do not have access to real-time information. As of my last knowledge, Kaka, the retired Brazilian footballer, did not publicly disclose his current residence.</t>
  </si>
  <si>
    <t>what is the predominant language in south africa?</t>
  </si>
  <si>
    <t>The predominant language in South Africa is isiZulu.</t>
  </si>
  <si>
    <t>what are fun things to do in seattle wa?</t>
  </si>
  <si>
    <t>Some fun things to do in Seattle, WA are visiting the Space Needle, exploring Pike Place Market, taking a ferry ride to Bainbridge Island, and touring the Museum of Pop Culture.</t>
  </si>
  <si>
    <t>where does the oklahoma city thunder practice?</t>
  </si>
  <si>
    <t>The Oklahoma City Thunder practice at the Chesapeake Energy Arena in Oklahoma City.</t>
  </si>
  <si>
    <t>what is the language called in turkey?</t>
  </si>
  <si>
    <t>The language spoken in Turkey is called Turkish.</t>
  </si>
  <si>
    <t>who was theodore roosevelt's vice president?</t>
  </si>
  <si>
    <t>Theodore Roosevelt's vice president was Charles W. Fairbanks.</t>
  </si>
  <si>
    <t>what college did charles richard drew go to?</t>
  </si>
  <si>
    <t>Charles Richard Drew attended Amherst College in Massachusetts.</t>
  </si>
  <si>
    <t>where does the roman language come from?</t>
  </si>
  <si>
    <t>The Roman language, Latin, originates from ancient Rome.</t>
  </si>
  <si>
    <t>what nationality is jermaine paul?</t>
  </si>
  <si>
    <t>Jermaine Paul is American.</t>
  </si>
  <si>
    <t>where did the oakland raiders move from?</t>
  </si>
  <si>
    <t>The Oakland Raiders moved from Oakland, California.</t>
  </si>
  <si>
    <t>who played nba last night?</t>
  </si>
  <si>
    <t>I am sorry, but I do not have access to current events or sports scores.</t>
  </si>
  <si>
    <t>who were mary shelley's parents?</t>
  </si>
  <si>
    <t>Mary Shelley's parents were Mary Wollstonecraft and William Godwin.</t>
  </si>
  <si>
    <t>who played hannah montana best friend?</t>
  </si>
  <si>
    <t>Emily Osment.</t>
  </si>
  <si>
    <t>what do do in new york?</t>
  </si>
  <si>
    <t>There are many things to do in New York such as visiting Times Square, exploring Central Park, and seeing the Statue of Liberty.</t>
  </si>
  <si>
    <t>what are some of the religions in australia?</t>
  </si>
  <si>
    <t>Some of the religions in Australia include Christianity, Islam, Buddhism, Hinduism, Sikhism, and Judaism.</t>
  </si>
  <si>
    <t>what is the capital city of south carolina?</t>
  </si>
  <si>
    <t>Columbia.</t>
  </si>
  <si>
    <t>what language do they speak in indonesia?</t>
  </si>
  <si>
    <t>The official language spoken in Indonesia is Indonesian.</t>
  </si>
  <si>
    <t>what type of political system is headed by queen elizabeth ii?</t>
  </si>
  <si>
    <t>The political system headed by Queen Elizabeth II is a constitutional monarchy.</t>
  </si>
  <si>
    <t>what is the actual current local time now in uk?</t>
  </si>
  <si>
    <t>I'm sorry, I am not capable of providing real-time information as I don't have internet access.</t>
  </si>
  <si>
    <t>what are some of the awards taylor swift has won?</t>
  </si>
  <si>
    <t>Taylor Swift has won numerous awards, including Grammy Awards, American Music Awards, Billboard Music Awards, and Country Music Association Awards.</t>
  </si>
  <si>
    <t>what city did obama grow up in?</t>
  </si>
  <si>
    <t>Obama grew up in Honolulu, Hawaii.</t>
  </si>
  <si>
    <t>where did chris cuomo go?</t>
  </si>
  <si>
    <t>Chris Cuomo is a journalist and anchor at CNN. He has not recently gone anywhere significant as of now.</t>
  </si>
  <si>
    <t>where did gary coleman live when he died?</t>
  </si>
  <si>
    <t>Gary Coleman lived in Santaquin, Utah when he died.</t>
  </si>
  <si>
    <t>what is there to do in palm springs?</t>
  </si>
  <si>
    <t>In Palm Springs, there are various activities to enjoy such as golfing, visiting art galleries, exploring hiking trails, and relaxing in hot springs.</t>
  </si>
  <si>
    <t>where is auburn university at?</t>
  </si>
  <si>
    <t>Auburn University is located in Auburn, Alabama.</t>
  </si>
  <si>
    <t>where was ronald reagan born and raised?</t>
  </si>
  <si>
    <t>Ronald Reagan was born in Tampico, Illinois and raised in Dixon, Illinois.</t>
  </si>
  <si>
    <t>what county is morristown tn in?</t>
  </si>
  <si>
    <t>Hamblen County</t>
  </si>
  <si>
    <t>where do the houston rockets play basketball?</t>
  </si>
  <si>
    <t>The Houston Rockets play basketball at the Toyota Center.</t>
  </si>
  <si>
    <t>who was the president of the united states during ww2?</t>
  </si>
  <si>
    <t>Franklin D. Roosevelt.</t>
  </si>
  <si>
    <t>who did elvis presley really love?</t>
  </si>
  <si>
    <t>Elvis Presley really loved Priscilla Presley.</t>
  </si>
  <si>
    <t>which states does the connecticut river flow through?</t>
  </si>
  <si>
    <t>what are the biggest cities in illinois?</t>
  </si>
  <si>
    <t>The biggest cities in Illinois are Chicago, Aurora, and Rockford.</t>
  </si>
  <si>
    <t>which english team won the champions league first?</t>
  </si>
  <si>
    <t>Liverpool Football Club won the Champions League first.</t>
  </si>
  <si>
    <t>which province in canada is the most populated?</t>
  </si>
  <si>
    <t>what continent do the falkland islands belong to?</t>
  </si>
  <si>
    <t>South America</t>
  </si>
  <si>
    <t>what language do russian people speak?</t>
  </si>
  <si>
    <t>which states touch canadian soil?</t>
  </si>
  <si>
    <t>Only one state touches Canadian soil, and that is Alaska.</t>
  </si>
  <si>
    <t>what did alvin smith died from?</t>
  </si>
  <si>
    <t>Alvin Smith died from mercury poisoning.</t>
  </si>
  <si>
    <t>what are the four harry potter house names?</t>
  </si>
  <si>
    <t>The four Harry Potter house names are Gryffindor, Hufflepuff, Ravenclaw, and Slytherin.</t>
  </si>
  <si>
    <t>who has tim howard played for?</t>
  </si>
  <si>
    <t>Tim Howard has played for Everton, Manchester United, and the United States national team.</t>
  </si>
  <si>
    <t>when is the gold cup cheltenham?</t>
  </si>
  <si>
    <t>The Gold Cup at Cheltenham is usually held in March.</t>
  </si>
  <si>
    <t>where does portuguese originate?</t>
  </si>
  <si>
    <t>Portuguese originates from Portugal.</t>
  </si>
  <si>
    <t>what currency in dominican republic should i bring?</t>
  </si>
  <si>
    <t>who did howie long married?</t>
  </si>
  <si>
    <t>Howie Long is married to Diane Addonizio.</t>
  </si>
  <si>
    <t>what region of the world is north america in?</t>
  </si>
  <si>
    <t>North America is in the western hemisphere.</t>
  </si>
  <si>
    <t>who is the current governor of georgia 2011?</t>
  </si>
  <si>
    <t>The current governor of Georgia in 2011 was Nathan Deal.</t>
  </si>
  <si>
    <t>where do navajo indians live?</t>
  </si>
  <si>
    <t>Navajo Indians live primarily in the southwestern United States, specifically in Arizona, New Mexico, and Utah.</t>
  </si>
  <si>
    <t>what to do in panama city beach for spring break?</t>
  </si>
  <si>
    <t>Some popular activities to do in Panama City Beach for spring break include lounging on the beach, partying at beach bars and clubs, participating in water sports like jet skiing or parasailing, and exploring attractions like Gulf World Marine Park or St. Andrews State Park.</t>
  </si>
  <si>
    <t>what instrument does ringo starr play?</t>
  </si>
  <si>
    <t>drums</t>
  </si>
  <si>
    <t>who are china's trading partners?</t>
  </si>
  <si>
    <t>China's trading partners include the United States, Japan, South Korea, Germany, and Australia, among others.</t>
  </si>
  <si>
    <t>what character did stan lee create?</t>
  </si>
  <si>
    <t>Spider-Man, Iron Man, Thor, Hulk, Black Widow, Doctor Strange, Ant-Man, Black Panther, and many more.</t>
  </si>
  <si>
    <t>what disease did anne frank get?</t>
  </si>
  <si>
    <t>Anne Frank was diagnosed with typhus.</t>
  </si>
  <si>
    <t>where did rich rodriguez get fired?</t>
  </si>
  <si>
    <t>Rich Rodriguez got fired from the University of Arizona.</t>
  </si>
  <si>
    <t>who did mario lopez just marry?</t>
  </si>
  <si>
    <t>Mario Lopez just married Courtney Mazza.</t>
  </si>
  <si>
    <t>what happened to president james garfield?</t>
  </si>
  <si>
    <t>President James Garfield was assassinated.</t>
  </si>
  <si>
    <t>what time zone am i in missouri?</t>
  </si>
  <si>
    <t>Missouri is in the Central Time Zone.</t>
  </si>
  <si>
    <t>who is paul mccartney's current wife?</t>
  </si>
  <si>
    <t>Paul McCartney's current wife is Nancy Shevell.</t>
  </si>
  <si>
    <t>what channel is anderson cooper talk show on?</t>
  </si>
  <si>
    <t>Anderson Cooper's talk show is aired on CNN.</t>
  </si>
  <si>
    <t>what drugs were in whitney houston when she died?</t>
  </si>
  <si>
    <t>The specific drugs found in Whitney Houston's system at the time of her death were cocaine, marijuana, Xanax, Flexeril, and Benadryl.</t>
  </si>
  <si>
    <t>who did warren moon play for?</t>
  </si>
  <si>
    <t>Warren Moon played for several teams including the Edmonton Eskimos (CFL), Houston Oilers (NFL), Minnesota Vikings (NFL), Seattle Seahawks (NFL), and Kansas City Chiefs (NFL).</t>
  </si>
  <si>
    <t>what brand of guitar does steve vai play?</t>
  </si>
  <si>
    <t>Steve Vai plays Ibanez guitars.</t>
  </si>
  <si>
    <t>what do hungarian people speak?</t>
  </si>
  <si>
    <t>Hungarian.</t>
  </si>
  <si>
    <t>what prep school did romney attend?</t>
  </si>
  <si>
    <t>Romney attended the Cranbrook School in Bloomfield Hills, Michigan.</t>
  </si>
  <si>
    <t>in what town did ned kelly and his family grow up?</t>
  </si>
  <si>
    <t>The town Ned Kelly and his family grew up in is Beveridge, Victoria, Australia.</t>
  </si>
  <si>
    <t>what is bethenny frankel husband name?</t>
  </si>
  <si>
    <t>Bethenny Frankel's ex-husband's name is Jason Hoppy.</t>
  </si>
  <si>
    <t>what city in australia should i live in quiz?</t>
  </si>
  <si>
    <t>There are several cities in Australia where you can live. It would be helpful to consider factors such as job opportunities, climate, and personal preferences to decide which city is best for you.</t>
  </si>
  <si>
    <t>who is the present president of china?</t>
  </si>
  <si>
    <t>Xi Jinping is the present president of China.</t>
  </si>
  <si>
    <t>who speaks stewie on family guy?</t>
  </si>
  <si>
    <t>who influenced arthur conan doyle?</t>
  </si>
  <si>
    <t>One of the major influences on Arthur Conan Doyle was Edgar Allan Poe.</t>
  </si>
  <si>
    <t>when was samuel pepys?</t>
  </si>
  <si>
    <t>Samuel Pepys was alive from 1633 to 1703.</t>
  </si>
  <si>
    <t>what are the new york giants home colors?</t>
  </si>
  <si>
    <t>The New York Giants' home colors are blue and white.</t>
  </si>
  <si>
    <t>who played bob ewell in to kill a mockingbird?</t>
  </si>
  <si>
    <t>Robert Duvall.</t>
  </si>
  <si>
    <t>what type of money does jamaica use?</t>
  </si>
  <si>
    <t>Jamaica uses the Jamaican dollar as its currency.</t>
  </si>
  <si>
    <t>what instrument does fela kuti play?</t>
  </si>
  <si>
    <t>Fela Kuti plays the saxophone.</t>
  </si>
  <si>
    <t>who is kurt busch driving for now?</t>
  </si>
  <si>
    <t>Kurt Busch is currently driving for the team Chip Ganassi Racing in the NASCAR Cup Series.</t>
  </si>
  <si>
    <t>who was charlemagne's wife?</t>
  </si>
  <si>
    <t>Charlemagne's wife was Hildegard.</t>
  </si>
  <si>
    <t>where did woodrow wilson go to school?</t>
  </si>
  <si>
    <t>Woodrow Wilson went to school at Princeton University.</t>
  </si>
  <si>
    <t>who is lamar odom married too?</t>
  </si>
  <si>
    <t>Lamar Odom was previously married to Khloe Kardashian.</t>
  </si>
  <si>
    <t>where can you buy amazon kindle?</t>
  </si>
  <si>
    <t>You can buy Amazon Kindle at the Amazon website or at select retail stores.</t>
  </si>
  <si>
    <t>who is angelina jolie's husband?</t>
  </si>
  <si>
    <t>As of now, Angelina Jolie does not have a husband.</t>
  </si>
  <si>
    <t>what kind of money do they use in aruba?</t>
  </si>
  <si>
    <t>The currency used in Aruba is the Aruban florin.</t>
  </si>
  <si>
    <t>what sports do people in france play?</t>
  </si>
  <si>
    <t>Some sports that people in France play include soccer, rugby, tennis, cycling, and basketball.</t>
  </si>
  <si>
    <t>what wars did robert e lee lead?</t>
  </si>
  <si>
    <t>Robert E. Lee led the Confederate Army during the American Civil War.</t>
  </si>
  <si>
    <t>what language do native american indians speak?</t>
  </si>
  <si>
    <t>There are hundreds of different native languages spoken by Native American Indians.</t>
  </si>
  <si>
    <t>where did tennessee williams live?</t>
  </si>
  <si>
    <t>Tennessee Williams lived in New Orleans, Louisiana.</t>
  </si>
  <si>
    <t>what was king louis xiv religion?</t>
  </si>
  <si>
    <t>King Louis XIV was a Catholic.</t>
  </si>
  <si>
    <t>what language do they in belgium?</t>
  </si>
  <si>
    <t>The main language spoken in Belgium is Dutch (Flemish), but French and German are also spoken in certain regions.</t>
  </si>
  <si>
    <t>who plays walter in fringe?</t>
  </si>
  <si>
    <t>John Noble.</t>
  </si>
  <si>
    <t>where is port st lucie florida on the map?</t>
  </si>
  <si>
    <t>Port St. Lucie, Florida is located on the eastern coast of the state, about 50 miles north of West Palm Beach.</t>
  </si>
  <si>
    <t>what countries are the mediterranean?</t>
  </si>
  <si>
    <t>The countries that border the Mediterranean Sea are: Algeria, Cyprus, Egypt, France, Greece, Israel, Italy, Lebanon, Libya, Malta, Monaco, Morocco, Slovenia, Spain, Syria, Tunisia, and Turkey.</t>
  </si>
  <si>
    <t>what city has the largest population in mexico?</t>
  </si>
  <si>
    <t>Mexico City</t>
  </si>
  <si>
    <t>who juan ponce de leon?</t>
  </si>
  <si>
    <t>Juan Ponce de León was a Spanish explorer and conquistador who is best known for leading the first recorded European expedition to Florida in 1513.</t>
  </si>
  <si>
    <t>in what years did the new york yankees win the world series?</t>
  </si>
  <si>
    <t>The New York Yankees have won the World Series in the following years: 1923, 1927, 1928, 1932, 1936, 1937, 1938, 1939, 1941, 1943, 1947, 1949, 1950, 1951, 1952, 1953, 1956, 1958, 1961, 1962, 1977, 1978, 1996, 1998, 1999, 2000, 2009.</t>
  </si>
  <si>
    <t>what state is toronto in?</t>
  </si>
  <si>
    <t>Toronto is not in a state. It is located in the province of Ontario, Canada.</t>
  </si>
  <si>
    <t>where to watch tv online for free in canada?</t>
  </si>
  <si>
    <t>There are various websites and platforms where you can watch TV online for free in Canada, such as CBC Gem, CTV, Global TV, and Tubi.</t>
  </si>
  <si>
    <t>where did the loma prieta earthquake occur?</t>
  </si>
  <si>
    <t>The Loma Prieta earthquake occurred in Northern California, specifically in the Santa Cruz Mountains near Loma Prieta Peak.</t>
  </si>
  <si>
    <t>what is the state motto of massachusetts?</t>
  </si>
  <si>
    <t>The state motto of Massachusetts is "Ense petit placidam sub libertate quietem" which means "By the sword we seek peace, but peace only under liberty."</t>
  </si>
  <si>
    <t>what is time zone in new orleans?</t>
  </si>
  <si>
    <t>Central Time Zone.</t>
  </si>
  <si>
    <t>what type of poetry does john donne write?</t>
  </si>
  <si>
    <t>John Donne wrote metaphysical poetry.</t>
  </si>
  <si>
    <t>where did helen keller die?</t>
  </si>
  <si>
    <t>Helen Keller died in Westport, Connecticut, United States.</t>
  </si>
  <si>
    <t>who is the current president of chile 2011?</t>
  </si>
  <si>
    <t>The current president of Chile in 2011 is Sebastián Piñera.</t>
  </si>
  <si>
    <t>what would happen if the new madrid fault had an earthquake?</t>
  </si>
  <si>
    <t>If the New Madrid Fault were to have an earthquake, it could result in significant damage to infrastructure, buildings, and possibly loss of life.</t>
  </si>
  <si>
    <t>where did the hopi indians live?</t>
  </si>
  <si>
    <t>The Hopi Indians lived in the southwestern United States, primarily in what is now Arizona.</t>
  </si>
  <si>
    <t>what did jeff corwin major in?</t>
  </si>
  <si>
    <t>Jeff Corwin majored in biology.</t>
  </si>
  <si>
    <t>where did johann sebastian bach live?</t>
  </si>
  <si>
    <t>Johann Sebastian Bach lived in Germany.</t>
  </si>
  <si>
    <t>who did bynum get traded to?</t>
  </si>
  <si>
    <t>Bynum got traded to the Philadelphia 76ers.</t>
  </si>
  <si>
    <t>what timezone is malaysia?</t>
  </si>
  <si>
    <t>Malaysia is in the Malaysian Standard Time (MST) timezone, which is UTC+8.</t>
  </si>
  <si>
    <t>where is alex smith from?</t>
  </si>
  <si>
    <t>Alex Smith is from Bremerton, Washington.</t>
  </si>
  <si>
    <t>where was alice walker born?</t>
  </si>
  <si>
    <t>Alice Walker was born in Eatonton, Georgia.</t>
  </si>
  <si>
    <t>what do they speak iceland?</t>
  </si>
  <si>
    <t>Icelandic.</t>
  </si>
  <si>
    <t>who taught michelangelo to sculpt?</t>
  </si>
  <si>
    <t>Bertoldo di Giovanni taught Michelangelo to sculpt.</t>
  </si>
  <si>
    <t>what wars have france been involved in?</t>
  </si>
  <si>
    <t>France has been involved in numerous wars, including the Napoleonic Wars, World War I, and World War II.</t>
  </si>
  <si>
    <t>who plays moira on the l word?</t>
  </si>
  <si>
    <t>Katherine Moennig</t>
  </si>
  <si>
    <t>when did joe mcelderry won x factor?</t>
  </si>
  <si>
    <t>Joe McElderry won X Factor in 2009.</t>
  </si>
  <si>
    <t>what is the major language of jamaica?</t>
  </si>
  <si>
    <t>The major language of Jamaica is English.</t>
  </si>
  <si>
    <t>who was the members of blackstreet?</t>
  </si>
  <si>
    <t>The members of Blackstreet were Teddy Riley, Chauncey Hannibal, Levi Little, and Joseph Stonestreet.</t>
  </si>
  <si>
    <t>who did tebow get traded to?</t>
  </si>
  <si>
    <t>Tim Tebow was traded to the New York Jets.</t>
  </si>
  <si>
    <t>where did romans go?</t>
  </si>
  <si>
    <t>The Romans traveled to various places, including parts of Europe, Africa, and Asia.</t>
  </si>
  <si>
    <t>what does a american rottweiler look like?</t>
  </si>
  <si>
    <t>An American Rottweiler looks like a muscular and large dog with a black coat, tan markings on the face, chest, and legs, and a robust build.</t>
  </si>
  <si>
    <t>who created the character of sherlock holmes?</t>
  </si>
  <si>
    <t>Sir Arthur Conan Doyle.</t>
  </si>
  <si>
    <t>what does scottish people speak?</t>
  </si>
  <si>
    <t>Scottish people speak Scottish Gaelic and Scottish English.</t>
  </si>
  <si>
    <t>who all has kim kardashian dated?</t>
  </si>
  <si>
    <t>Kim Kardashian has dated several high-profile individuals, including Ray J, Reggie Bush, Miles Austin, Kris Humphries, Kanye West, and several others.</t>
  </si>
  <si>
    <t>who are the main trading partners of china?</t>
  </si>
  <si>
    <t>The main trading partners of China are the United States, the European Union, and other Asian countries such as Japan and South Korea.</t>
  </si>
  <si>
    <t>what instruments did vivaldi wrote concertos for?</t>
  </si>
  <si>
    <t>Vivaldi wrote concertos for various instruments, including the violin, oboe, flute, bassoon, and trumpet, among others.</t>
  </si>
  <si>
    <t>what book did john steinbeck wrote about the people in the dust bowl?</t>
  </si>
  <si>
    <t>John Steinbeck wrote the book "The Grapes of Wrath" about the people in the Dust Bowl.</t>
  </si>
  <si>
    <t>what land did god promise joshua?</t>
  </si>
  <si>
    <t>God promised Joshua the land of Canaan.</t>
  </si>
  <si>
    <t>who is the voice of family guys meg griffin?</t>
  </si>
  <si>
    <t>The voice of Meg Griffin in Family Guy is Mila Kunis.</t>
  </si>
  <si>
    <t>what to do in new orleans with kids?</t>
  </si>
  <si>
    <t>There are numerous activities and attractions in New Orleans that are kid-friendly, such as visiting the Audubon Zoo, exploring the Louisiana Children's Museum, taking a ride on the St. Charles Avenue streetcar, enjoying the Audubon Aquarium of the Americas, and experiencing the Mardi Gras World.</t>
  </si>
  <si>
    <t>what countries did queen elizabeth i rule?</t>
  </si>
  <si>
    <t>Queen Elizabeth I ruled over England and Ireland.</t>
  </si>
  <si>
    <t>what channel is the mtv vma awards on?</t>
  </si>
  <si>
    <t>The MTV VMA Awards are typically aired on the MTV channel.</t>
  </si>
  <si>
    <t>what kind of currency does jamaica use?</t>
  </si>
  <si>
    <t>what type of government does the nigeria have?</t>
  </si>
  <si>
    <t>where is usc from?</t>
  </si>
  <si>
    <t>USC, the University of Southern California, is located in Los Angeles, California, United States.</t>
  </si>
  <si>
    <t>what country was william shakespeare born?</t>
  </si>
  <si>
    <t>William Shakespeare was born in England.</t>
  </si>
  <si>
    <t>where do they grow rice in italy?</t>
  </si>
  <si>
    <t>Rice is grown in the northern regions of Italy, particularly in the regions of Lombardy, Piedmont, and Veneto.</t>
  </si>
  <si>
    <t>where great britain on the world map?</t>
  </si>
  <si>
    <t>Great Britain is located in northwest Europe.</t>
  </si>
  <si>
    <t>what to see in dallas tx?</t>
  </si>
  <si>
    <t>In Dallas, Texas, you can visit attractions such as the Sixth Floor Museum at Dealey Plaza, Dallas Museum of Art, Dallas World Aquarium, Dallas Arboretum and Botanical Garden, and the Dallas Zoo.</t>
  </si>
  <si>
    <t>what is my timezone in california?</t>
  </si>
  <si>
    <t>The timezone in California is Pacific Standard Time (PST).</t>
  </si>
  <si>
    <t>what is president abraham lincoln known for?</t>
  </si>
  <si>
    <t>President Abraham Lincoln is known for leading the United States through the Civil War and issuing the Emancipation Proclamation, which helped to end slavery.</t>
  </si>
  <si>
    <t>who did cristina yang's husband cheated on her with?</t>
  </si>
  <si>
    <t>Cristina Yang's husband cheated on her with Meredith Grey.</t>
  </si>
  <si>
    <t>who does jemaine clement play in despicable me?</t>
  </si>
  <si>
    <t>Jemaine Clement plays the role of Jerry in Despicable Me.</t>
  </si>
  <si>
    <t>what year did the vietnam war happen?</t>
  </si>
  <si>
    <t>The Vietnam War happened from 1955 to 1975.</t>
  </si>
  <si>
    <t>where do the broncos play?</t>
  </si>
  <si>
    <t>The Broncos play at Empower Field at Mile High in Denver, Colorado.</t>
  </si>
  <si>
    <t>who inspired antonio vivaldi?</t>
  </si>
  <si>
    <t>Arcangelo Corelli</t>
  </si>
  <si>
    <t>what type of currency is used in puerto rico?</t>
  </si>
  <si>
    <t>The currency used in Puerto Rico is the United States dollar.</t>
  </si>
  <si>
    <t>what is jackie kennedy famous for?</t>
  </si>
  <si>
    <t>Jackie Kennedy is famous for being the First Lady of the United States from 1961 to 1963, during the presidency of her husband, John F. Kennedy.</t>
  </si>
  <si>
    <t>what currency is used in france before euro?</t>
  </si>
  <si>
    <t>French franc.</t>
  </si>
  <si>
    <t>who started up mcdonalds?</t>
  </si>
  <si>
    <t>The McDonald brothers, Richard and Maurice, started McDonald's.</t>
  </si>
  <si>
    <t>what major landforms are located in egypt?</t>
  </si>
  <si>
    <t>The major landforms in Egypt include the Nile River, the Nile Delta, the Western Desert, and the Sinai Peninsula.</t>
  </si>
  <si>
    <t>who played nba finals 2010?</t>
  </si>
  <si>
    <t>The Los Angeles Lakers and the Boston Celtics played in the NBA Finals in 2010.</t>
  </si>
  <si>
    <t>what does the devil look like in young goodman brown?</t>
  </si>
  <si>
    <t>The devil in "Young Goodman Brown" is described as a mysterious figure with a dark complexion and resembling an older man.</t>
  </si>
  <si>
    <t>what state was ronald reagan governor of?</t>
  </si>
  <si>
    <t>California</t>
  </si>
  <si>
    <t>what is the most practiced religion in the united states?</t>
  </si>
  <si>
    <t>Christianity</t>
  </si>
  <si>
    <t>where was my honda motorcycle made?</t>
  </si>
  <si>
    <t>The answer to your question is unknown as it could vary depending on the specific model and year of the Honda motorcycle. Honda has manufacturing plants in various countries around the world, including Japan, Thailand, India, China, and the United States.</t>
  </si>
  <si>
    <t>what did isaac newton discovered as a mathematician?</t>
  </si>
  <si>
    <t>Isaac Newton discovered calculus as a mathematician.</t>
  </si>
  <si>
    <t>what is st james palace?</t>
  </si>
  <si>
    <t>St. James Palace is a royal residence in London, England.</t>
  </si>
  <si>
    <t>what airport to fly into to get to clearwater florida?</t>
  </si>
  <si>
    <t>The nearest airport to Clearwater, Florida is the St. Petersburg-Clearwater International Airport (PIE).</t>
  </si>
  <si>
    <t>who has britney spears married?</t>
  </si>
  <si>
    <t>Britney Spears has been married twice. Her first husband was Jason Allen Alexander and her second husband was Kevin Federline.</t>
  </si>
  <si>
    <t>what currency is used in hungary?</t>
  </si>
  <si>
    <t>The currency used in Hungary is the Hungarian Forint (HUF).</t>
  </si>
  <si>
    <t>what currency do they use in qatar?</t>
  </si>
  <si>
    <t>The currency used in Qatar is the Qatari riyal.</t>
  </si>
  <si>
    <t>what are fun things to do in denver colorado?</t>
  </si>
  <si>
    <t>Some fun things to do in Denver, Colorado are visiting Red Rocks Park and Amphitheater, exploring the Denver Botanic Gardens, checking out the Denver Zoo, and going for a hike in Rocky Mountain National Park.</t>
  </si>
  <si>
    <t>what did thoreau die from?</t>
  </si>
  <si>
    <t>Thoreau died from tuberculosis.</t>
  </si>
  <si>
    <t>how much does the average american pay in taxes over their lifetime?</t>
  </si>
  <si>
    <t>The average American pays around $1.2 million in taxes over their lifetime.</t>
  </si>
  <si>
    <t>what do the symbols in the illinois flag represent?</t>
  </si>
  <si>
    <t>The symbols in the Illinois flag represent the state's history and values.</t>
  </si>
  <si>
    <t>what years did the red sox win the world series?</t>
  </si>
  <si>
    <t>The Red Sox won the World Series in 1903, 1912, 1915, 1916, 1918, 2004, 2007, 2013, and 2018.</t>
  </si>
  <si>
    <t>what war was woodrow wilson president for?</t>
  </si>
  <si>
    <t>Woodrow Wilson was president during World War I.</t>
  </si>
  <si>
    <t>who is carl edwards racing for?</t>
  </si>
  <si>
    <t>Carl Edwards is not currently racing as he retired from NASCAR in 2017.</t>
  </si>
  <si>
    <t>what to do in panama city beach in february?</t>
  </si>
  <si>
    <t>In February, you can enjoy activities like visiting the beach, exploring St. Andrews State Park, going on a dolphin cruise, or attending the Panama City Beach Mardi Gras and Music Festival.</t>
  </si>
  <si>
    <t>where are the florida marlins from?</t>
  </si>
  <si>
    <t>The Florida Marlins are from Miami, Florida.</t>
  </si>
  <si>
    <t>what is the main religion in eastern europe?</t>
  </si>
  <si>
    <t>what language does romanian people speak?</t>
  </si>
  <si>
    <t>Romanian people speak Romanian.</t>
  </si>
  <si>
    <t>what date was john adams elected president?</t>
  </si>
  <si>
    <t>John Adams was elected president on March 4, 1797.</t>
  </si>
  <si>
    <t>who nominated stephen g. breyer?</t>
  </si>
  <si>
    <t>Stephen G. Breyer was nominated by President Bill Clinton.</t>
  </si>
  <si>
    <t>what contribution did maurice wilkins make to dna?</t>
  </si>
  <si>
    <t>Maurice Wilkins made significant contributions to the understanding of DNA's structure through his X-ray crystallography work.</t>
  </si>
  <si>
    <t>what did george w bush do before becoming president?</t>
  </si>
  <si>
    <t>George W. Bush was the Governor of Texas before becoming President.</t>
  </si>
  <si>
    <t>which party was lincoln?</t>
  </si>
  <si>
    <t>Abraham Lincoln was a member of the Republican Party.</t>
  </si>
  <si>
    <t>who are the two current illinois senators?</t>
  </si>
  <si>
    <t>The two current Illinois Senators are Tammy Duckworth and Dick Durbin.</t>
  </si>
  <si>
    <t>what did robin gibb died from?</t>
  </si>
  <si>
    <t>Robin Gibb died from colorectal cancer.</t>
  </si>
  <si>
    <t>what college did joe montana play for?</t>
  </si>
  <si>
    <t>Joe Montana played college football for the University of Notre Dame.</t>
  </si>
  <si>
    <t>what were adolf hitler's parents names?</t>
  </si>
  <si>
    <t>Adolf Hitler's parents' names were Alois Hitler and Klara Pölzl.</t>
  </si>
  <si>
    <t>what did jordyn wieber win gold for?</t>
  </si>
  <si>
    <t>Jordyn Wieber won gold for gymnastics.</t>
  </si>
  <si>
    <t>what job does bill rancic have?</t>
  </si>
  <si>
    <t>Bill Rancic is a real estate developer and businessman.</t>
  </si>
  <si>
    <t>what did robert hooke discover?</t>
  </si>
  <si>
    <t>Robert Hooke discovered cells in plants.</t>
  </si>
  <si>
    <t>what does michael jackson like to eat?</t>
  </si>
  <si>
    <t>There is no specific information about Michael Jackson's favorite food.</t>
  </si>
  <si>
    <t>who owns the new england patriots football team?</t>
  </si>
  <si>
    <t>Robert Kraft</t>
  </si>
  <si>
    <t>where do the japanese live?</t>
  </si>
  <si>
    <t>Japanese people mainly live in Japan.</t>
  </si>
  <si>
    <t>what is the dollar called in brazil?</t>
  </si>
  <si>
    <t>In Brazil, the dollar is called "dólar."</t>
  </si>
  <si>
    <t>what airport fly into for maui?</t>
  </si>
  <si>
    <t>Kahului Airport is the main airport to fly into for Maui.</t>
  </si>
  <si>
    <t>what has lucy hale played in?</t>
  </si>
  <si>
    <t>Lucy Hale has played in the TV shows "Pretty Little Liars" and "Katy Keene," as well as movies such as "Truth or Dare" and "Fantasy Island."</t>
  </si>
  <si>
    <t>who won 2011 heisman trophy?</t>
  </si>
  <si>
    <t>Robert Griffin III.</t>
  </si>
  <si>
    <t>who is the falcons kicker?</t>
  </si>
  <si>
    <t>You would need to specify which season or game you are referring to as the roster of the Atlanta Falcons may change.</t>
  </si>
  <si>
    <t>where did charles drew go to high school?</t>
  </si>
  <si>
    <t>Charles Drew went to Dunbar High School in Washington, D.C.</t>
  </si>
  <si>
    <t>what language do argentina use?</t>
  </si>
  <si>
    <t>Argentina primarily uses Spanish as its official language.</t>
  </si>
  <si>
    <t>who won governor race in indiana?</t>
  </si>
  <si>
    <t>As of the latest information available, Eric Holcomb won the governor race in Indiana.</t>
  </si>
  <si>
    <t>what languages do people speak in egypt?</t>
  </si>
  <si>
    <t>The official language of Egypt is Arabic.</t>
  </si>
  <si>
    <t>what college did florence griffith joyner attend?</t>
  </si>
  <si>
    <t>Florence Griffith Joyner attended California State University, Northridge.</t>
  </si>
  <si>
    <t>what style of art did henri matisse use?</t>
  </si>
  <si>
    <t>Henri Matisse is known for using the style of Fauvism.</t>
  </si>
  <si>
    <t>what did george washington carver make with peanuts?</t>
  </si>
  <si>
    <t>George Washington Carver made various products with peanuts, such as peanut butter, cooking oil, and food ingredients.</t>
  </si>
  <si>
    <t>who plays alan parrish in jumanji?</t>
  </si>
  <si>
    <t>Robin Williams.</t>
  </si>
  <si>
    <t>who was reese witherspoon married too?</t>
  </si>
  <si>
    <t>Reese Witherspoon was married to Jim Toth.</t>
  </si>
  <si>
    <t>what is the isthmus of panama?</t>
  </si>
  <si>
    <t>The Isthmus of Panama is a narrow strip of land that connects North and South America.</t>
  </si>
  <si>
    <t>who is the coach of the la lakers?</t>
  </si>
  <si>
    <t>Frank Vogel is the current coach for the Los Angeles Lakers.</t>
  </si>
  <si>
    <t>what is the dominican republic's capital?</t>
  </si>
  <si>
    <t>Santo Domingo.</t>
  </si>
  <si>
    <t>what is illinois state flower called?</t>
  </si>
  <si>
    <t>The illinois state flower is the violet.</t>
  </si>
  <si>
    <t>what books did mark twain read?</t>
  </si>
  <si>
    <t>Mark Twain read a wide range of books throughout his life. Some of the books he mentioned reading include works by William Shakespeare, Charles Dickens, Sir Arthur Conan Doyle, Henry Wadsworth Longfellow, and James Fenimore Cooper.</t>
  </si>
  <si>
    <t>who plays miley cyrus brother?</t>
  </si>
  <si>
    <t>Jason Earles plays Miley Cyrus' brother in the TV show "Hannah Montana".</t>
  </si>
  <si>
    <t>what language do they speak thailand?</t>
  </si>
  <si>
    <t>The official language of Thailand is Thai.</t>
  </si>
  <si>
    <t>what are the major religions in poland?</t>
  </si>
  <si>
    <t>The major religions in Poland are Christianity, with the majority being Roman Catholic, and a smaller portion being Eastern Orthodox.</t>
  </si>
  <si>
    <t>what is the san francisco giants mascot?</t>
  </si>
  <si>
    <t>The San Francisco Giants mascot is Lou Seal.</t>
  </si>
  <si>
    <t>where was tupac born?</t>
  </si>
  <si>
    <t>Tupac was born in East Harlem, New York City.</t>
  </si>
  <si>
    <t>where is the main headquarters of the un?</t>
  </si>
  <si>
    <t>The main headquarters of the United Nations is in New York City, United States.</t>
  </si>
  <si>
    <t>what utc time zone is arizona?</t>
  </si>
  <si>
    <t>Arizona does not observe Daylight Saving Time and remains on Mountain Standard Time (MST) throughout the year.</t>
  </si>
  <si>
    <t>who played as barney?</t>
  </si>
  <si>
    <t>The actor who played as Barney is Neil Patrick Harris.</t>
  </si>
  <si>
    <t>who played elaine's boyfriend on seinfeld?</t>
  </si>
  <si>
    <t>Peterman</t>
  </si>
  <si>
    <t>who did juan ponce de leon married?</t>
  </si>
  <si>
    <t>Juana Ponce de León married Leonor Ponce de León.</t>
  </si>
  <si>
    <t>what language do they speak in spain wikipedia?</t>
  </si>
  <si>
    <t>The official language spoken in Spain is Spanish.</t>
  </si>
  <si>
    <t>where to watch live opening ceremony in london?</t>
  </si>
  <si>
    <t>The live opening ceremony in London can typically be watched on television or online streaming platforms.</t>
  </si>
  <si>
    <t>what times is it in texas?</t>
  </si>
  <si>
    <t>As an AI language model, I don't have real-time information, but currently, the time in Texas is dependent on which timezone you are referring to. Texas spans across Central Time Zone (CT) and Mountain Time Zone (MT). If you specify a city in Texas, I can give you the local time based on the timezone.</t>
  </si>
  <si>
    <t>where did the arizona diamondbacks play?</t>
  </si>
  <si>
    <t>The Arizona Diamondbacks play at Chase Field.</t>
  </si>
  <si>
    <t>what did fred davis do?</t>
  </si>
  <si>
    <t>Fred Davis is a former American football player who played tight end in the National Football League (NFL).</t>
  </si>
  <si>
    <t>what country was theodor schwann born in?</t>
  </si>
  <si>
    <t>Theodor Schwann was born in Germany.</t>
  </si>
  <si>
    <t>where is the fukushima daiichi located?</t>
  </si>
  <si>
    <t>The Fukushima Daiichi nuclear power plant is located in Okuma, Fukushima, Japan.</t>
  </si>
  <si>
    <t>what country was bin laden from?</t>
  </si>
  <si>
    <t>Bin Laden was from Saudi Arabia.</t>
  </si>
  <si>
    <t>who plays claudia joy on army wives?</t>
  </si>
  <si>
    <t>Kim Delaney</t>
  </si>
  <si>
    <t>where did darfur happen?</t>
  </si>
  <si>
    <t>Darfur happened in Sudan.</t>
  </si>
  <si>
    <t>what language does greece use?</t>
  </si>
  <si>
    <t>The official language of Greece is Greek.</t>
  </si>
  <si>
    <t>what kind of money does argentina use?</t>
  </si>
  <si>
    <t>Argentina uses the Argentine peso as its currency.</t>
  </si>
  <si>
    <t>who was the prime minister of australia in 1958?</t>
  </si>
  <si>
    <t>Robert Menzies was the Prime Minister of Australia in 1958.</t>
  </si>
  <si>
    <t>what hemisphere south america?</t>
  </si>
  <si>
    <t>South America is located in both the Eastern Hemisphere and the Western Hemisphere.</t>
  </si>
  <si>
    <t>what movies has taylor momsen been in?</t>
  </si>
  <si>
    <t>Taylor Momsen has appeared in films such as "Hansel &amp; Gretel" (2002) and "Spy Kids 2: The Island of Lost Dreams" (2002).</t>
  </si>
  <si>
    <t>what show was kim richards in as a child?</t>
  </si>
  <si>
    <t>Kim Richards was in the TV show "The Real Housewives of Beverly Hills."</t>
  </si>
  <si>
    <t>what was henry ford best known for?</t>
  </si>
  <si>
    <t>Henry Ford was best known for founding the Ford Motor Company and for revolutionizing the automotive industry with the introduction of the assembly line and the Model T car.</t>
  </si>
  <si>
    <t>what kind of music did michael jackson sing?</t>
  </si>
  <si>
    <t>Michael Jackson was known for singing pop music.</t>
  </si>
  <si>
    <t>what education does jeff corwin have?</t>
  </si>
  <si>
    <t>Jeff Corwin has a Bachelor of Science degree in biology and anthropology.</t>
  </si>
  <si>
    <t>what movies has chris colfer been in?</t>
  </si>
  <si>
    <t>Chris Colfer has been in movies such as "Struck by Lightning" and "Absolutely Fabulous: The Movie".</t>
  </si>
  <si>
    <t>where the queen of denmark lives?</t>
  </si>
  <si>
    <t>The queen of Denmark lives in Amalienborg Palace.</t>
  </si>
  <si>
    <t>what did roald dahl write?</t>
  </si>
  <si>
    <t>Roald Dahl wrote children's books.</t>
  </si>
  <si>
    <t>who was the real erin brockovich?</t>
  </si>
  <si>
    <t>The real Erin Brockovich is an American legal clerk and environmental activist.</t>
  </si>
  <si>
    <t>where are riddell helmets manufactured?</t>
  </si>
  <si>
    <t>Riddell helmets are manufactured in North Ridgeville, Ohio, USA.</t>
  </si>
  <si>
    <t>what county is troy il in?</t>
  </si>
  <si>
    <t>Troy, IL is in Madison County.</t>
  </si>
  <si>
    <t>what position does mitt romney hold?</t>
  </si>
  <si>
    <t>Mitt Romney is currently a United States Senator.</t>
  </si>
  <si>
    <t>who is country singer jewel married to?</t>
  </si>
  <si>
    <t>Jewel is married to professional bull rider Ty Murray.</t>
  </si>
  <si>
    <t>what movies does tupac act in?</t>
  </si>
  <si>
    <t>Tupac acted in movies such as "Juice" and "Poetic Justice."</t>
  </si>
  <si>
    <t>what famous book did adam smith wrote?</t>
  </si>
  <si>
    <t>Adam Smith famously wrote the book "The Wealth of Nations."</t>
  </si>
  <si>
    <t>where does the appalachian trail run through?</t>
  </si>
  <si>
    <t>The Appalachian Trail runs through the eastern United States.</t>
  </si>
  <si>
    <t>where is burundi located on a map?</t>
  </si>
  <si>
    <t>Burundi is located in East Africa.</t>
  </si>
  <si>
    <t>what year did mcfly go to the future?</t>
  </si>
  <si>
    <t>Mcfly went to the future in 2015.</t>
  </si>
  <si>
    <t>what unicef stands for?</t>
  </si>
  <si>
    <t>UNICEF stands for United Nations International Children's Emergency Fund.</t>
  </si>
  <si>
    <t>what clubs has messi played for?</t>
  </si>
  <si>
    <t>Barcelona FC.</t>
  </si>
  <si>
    <t>where is merrell shoes headquarters?</t>
  </si>
  <si>
    <t>Merrell Shoes headquarters is located in Rockford, Michigan, United States.</t>
  </si>
  <si>
    <t>who does the uk trade with?</t>
  </si>
  <si>
    <t>The UK trades with many countries around the world. Some of its top trading partners include the European Union, the United States, China, and Japan.</t>
  </si>
  <si>
    <t>what color are the baltimore ravens?</t>
  </si>
  <si>
    <t>The Baltimore Ravens' colors are purple, black, and gold.</t>
  </si>
  <si>
    <t>what country volvo cars made?</t>
  </si>
  <si>
    <t>Sweden.</t>
  </si>
  <si>
    <t>who plays karen jackson on shameless?</t>
  </si>
  <si>
    <t>Laura Wiggins.</t>
  </si>
  <si>
    <t>what is tim tebow's religion?</t>
  </si>
  <si>
    <t>Tim Tebow's religion is Christianity.</t>
  </si>
  <si>
    <t>what country is singapore next to?</t>
  </si>
  <si>
    <t>Singapore is next to Malaysia.</t>
  </si>
  <si>
    <t>what year did detroit pistons win the championship?</t>
  </si>
  <si>
    <t>The Detroit Pistons won the championship in 2004.</t>
  </si>
  <si>
    <t>what does anderson cooper do?</t>
  </si>
  <si>
    <t>Anderson Cooper is a journalist and television personality.</t>
  </si>
  <si>
    <t>what movies did matt bomer play in?</t>
  </si>
  <si>
    <t>Matt Bomer has appeared in movies such as "Magic Mike," "The Nice Guys," and "In Time."</t>
  </si>
  <si>
    <t>who is ellen bernstein?</t>
  </si>
  <si>
    <t>I do not have information on a person named Ellen Bernstein.</t>
  </si>
  <si>
    <t>when are the australian open men's finals?</t>
  </si>
  <si>
    <t>The Australian Open men's finals are typically held in late January.</t>
  </si>
  <si>
    <t>when was reagan inaugurated?</t>
  </si>
  <si>
    <t>Reagan was inaugurated on January 20, 1981.</t>
  </si>
  <si>
    <t>where did dmitri mendeleev teach?</t>
  </si>
  <si>
    <t>Dmitri Mendeleev taught at the University of Saint Petersburg in Russia.</t>
  </si>
  <si>
    <t>what kind of education did barack obama have?</t>
  </si>
  <si>
    <t>Barack Obama received a Juris Doctor (J.D.) degree from Harvard Law School.</t>
  </si>
  <si>
    <t>what was the last time the pittsburgh pirates had a winning season?</t>
  </si>
  <si>
    <t>The last time the Pittsburgh Pirates had a winning season was in 2015.</t>
  </si>
  <si>
    <t>what did james k polk believe in?</t>
  </si>
  <si>
    <t>James K. Polk believed in the manifest destiny and expansion of the United States.</t>
  </si>
  <si>
    <t>what currency does south africa have?</t>
  </si>
  <si>
    <t>The currency of South Africa is the South African Rand.</t>
  </si>
  <si>
    <t>where did jerome david salinger died?</t>
  </si>
  <si>
    <t>Jerome David Salinger died in Cornish, New Hampshire.</t>
  </si>
  <si>
    <t>what religions are recognized in canada?</t>
  </si>
  <si>
    <t>There is no official religion in Canada and the country recognizes and protects freedom of religion.</t>
  </si>
  <si>
    <t>what airport is closest to cancun?</t>
  </si>
  <si>
    <t>Cancun International Airport.</t>
  </si>
  <si>
    <t>where is somalia located?</t>
  </si>
  <si>
    <t>Somalia is located on the eastern coast of Africa.</t>
  </si>
  <si>
    <t>who played lex luthor in the original superman?</t>
  </si>
  <si>
    <t>Gene Hackman.</t>
  </si>
  <si>
    <t>who is the head coach of the chicago blackhawks?</t>
  </si>
  <si>
    <t>Jeremy Colliton.</t>
  </si>
  <si>
    <t>where was john f kennedy raised?</t>
  </si>
  <si>
    <t>John F. Kennedy was raised in Brookline, Massachusetts.</t>
  </si>
  <si>
    <t>what does kat dennings star in?</t>
  </si>
  <si>
    <t>Kat Dennings stars in the television show "Dollface" and has also appeared in movies such as "Thor" and "Nick and Norah's Infinite Playlist."</t>
  </si>
  <si>
    <t>what did henry kissinger do?</t>
  </si>
  <si>
    <t>Henry Kissinger was the United States Secretary of State from 1973 to 1977.</t>
  </si>
  <si>
    <t>where does volga river start?</t>
  </si>
  <si>
    <t>The Volga River starts in the Valdai Hills in central Russia.</t>
  </si>
  <si>
    <t>what are the major sports played in venezuela?</t>
  </si>
  <si>
    <t>The major sports played in Venezuela are baseball and football (soccer).</t>
  </si>
  <si>
    <t>what did roger sherman do for a living?</t>
  </si>
  <si>
    <t>Roger Sherman was a lawyer, judge, and politician.</t>
  </si>
  <si>
    <t>who does ryan newman race for?</t>
  </si>
  <si>
    <t>Ryan Newman currently races for Roush Fenway Racing in the NASCAR Cup Series.</t>
  </si>
  <si>
    <t>what was the political system in libya?</t>
  </si>
  <si>
    <t>The political system in Libya was a dictatorship under the rule of Muammar Gaddafi.</t>
  </si>
  <si>
    <t>who plays the voice of lois griffin on family guy?</t>
  </si>
  <si>
    <t>The voice of Lois Griffin on Family Guy is Alex Borstein.</t>
  </si>
  <si>
    <t>who did alicia keys have a baby with?</t>
  </si>
  <si>
    <t>Swizz Beatz.</t>
  </si>
  <si>
    <t>what the currency in argentina?</t>
  </si>
  <si>
    <t>The currency in Argentina is the Argentine peso.</t>
  </si>
  <si>
    <t>where does eddie bravo teach?</t>
  </si>
  <si>
    <t>Eddie Bravo teaches at 10th Planet Jiu Jitsu in Los Angeles, California.</t>
  </si>
  <si>
    <t>when did michael schumacher win his first title?</t>
  </si>
  <si>
    <t>Michael Schumacher won his first Formula 1 World Championship title in 1994.</t>
  </si>
  <si>
    <t>where does sally pearson live?</t>
  </si>
  <si>
    <t>It is unknown where Sally Pearson currently lives.</t>
  </si>
  <si>
    <t>what college chris paul go to?</t>
  </si>
  <si>
    <t>Chris Paul attended Wake Forest University.</t>
  </si>
  <si>
    <t>where is madeira?</t>
  </si>
  <si>
    <t>Madeira is an archipelago located in the Atlantic Ocean, southwest of Portugal.</t>
  </si>
  <si>
    <t>what country is joseph prince from?</t>
  </si>
  <si>
    <t>Joseph Prince is from Singapore.</t>
  </si>
  <si>
    <t>when did democritus discovered the atom?</t>
  </si>
  <si>
    <t>Democritus discovered the atom around 400 BC.</t>
  </si>
  <si>
    <t>what do they speak in austria?</t>
  </si>
  <si>
    <t>what are major religions in the united states?</t>
  </si>
  <si>
    <t>Christianity, Judaism, Islam, Buddhism, Hinduism, and Sikhism.</t>
  </si>
  <si>
    <t>what things did thomas edison invent?</t>
  </si>
  <si>
    <t>Thomas Edison is most well-known for inventing the practical incandescent light bulb. However, he also invented other significant inventions such as the phonograph and the motion picture camera.</t>
  </si>
  <si>
    <t>where is the sistine chapel by michelangelo?</t>
  </si>
  <si>
    <t>The Sistine Chapel by Michelangelo is located in Vatican City.</t>
  </si>
  <si>
    <t>who has played edward quartermaine on general hospital?</t>
  </si>
  <si>
    <t>Leslie Charleson has played Edward Quartermaine on General Hospital.</t>
  </si>
  <si>
    <t>what is the zip code for iselin nj?</t>
  </si>
  <si>
    <t>what kind of language does switzerland speak?</t>
  </si>
  <si>
    <t>Switzerland has four national languages: German, French, Italian, and Romansh.</t>
  </si>
  <si>
    <t>where is christina aguilera from?</t>
  </si>
  <si>
    <t>Christina Aguilera is from the United States.</t>
  </si>
  <si>
    <t>what are fun things to do in philadelphia?</t>
  </si>
  <si>
    <t>Some fun things to do in Philadelphia include visiting historical sites such as the Liberty Bell and Independence Hall, exploring museums like the Philadelphia Museum of Art and the Franklin Institute, trying delicious food at the Reading Terminal Market, and taking a stroll in Fairmount Park.</t>
  </si>
  <si>
    <t>who does david carr play for?</t>
  </si>
  <si>
    <t>I am sorry, but I do not have the information you are looking for.</t>
  </si>
  <si>
    <t>where did jackie robinson go to school?</t>
  </si>
  <si>
    <t>Jackie Robinson attended UCLA for college.</t>
  </si>
  <si>
    <t>where is jack daniel buried?</t>
  </si>
  <si>
    <t>Jack Daniel, the founder of the Jack Daniel's Tennessee Whiskey brand, is buried in Lynchburg, Tennessee, United States.</t>
  </si>
  <si>
    <t>what strings does john mayer?</t>
  </si>
  <si>
    <t>John Mayer typically uses Ernie Ball strings.</t>
  </si>
  <si>
    <t>who plays stacey in zoey 101?</t>
  </si>
  <si>
    <t>Stacey in Zoey 101 is played by Abby Wilde.</t>
  </si>
  <si>
    <t>when did sanchez leave usc?</t>
  </si>
  <si>
    <t>Sanchez left USC in January 2017.</t>
  </si>
  <si>
    <t>who is steven seagal sister?</t>
  </si>
  <si>
    <t>Steven Seagal does not have a sister</t>
  </si>
  <si>
    <t>where was f scott fitzgerald education?</t>
  </si>
  <si>
    <t>F. Scott Fitzgerald attended Princeton University for his education.</t>
  </si>
  <si>
    <t>on what continent is canada found?</t>
  </si>
  <si>
    <t>what is the primary language of israel?</t>
  </si>
  <si>
    <t>Hebrew is the primary language of Israel.</t>
  </si>
  <si>
    <t>who is married to jane krakowski?</t>
  </si>
  <si>
    <t>Jane Krakowski is not currently married.</t>
  </si>
  <si>
    <t>what role did tom cruise play in endless love?</t>
  </si>
  <si>
    <t>Tom Cruise did not have a role in the movie "Endless Love."</t>
  </si>
  <si>
    <t>where to go in phnom penh cambodia?</t>
  </si>
  <si>
    <t>Some popular places to visit in Phnom Penh, Cambodia are the Royal Palace, National Museum, Killing Fields, and Wat Phnom.</t>
  </si>
  <si>
    <t>what city was ronald reagan born in?</t>
  </si>
  <si>
    <t>Ronald Reagan was born in Tampico, Illinois.</t>
  </si>
  <si>
    <t>what countries in the world speak arabic?</t>
  </si>
  <si>
    <t>Several countries in the world speak Arabic, including Egypt, Saudi Arabia, Iraq, Jordan, Lebanon, Morocco, and many others.</t>
  </si>
  <si>
    <t>what 4 states border the pacific ocean?</t>
  </si>
  <si>
    <t>California, Oregon, Washington, and Alaska.</t>
  </si>
  <si>
    <t>what to do in nadi fiji?</t>
  </si>
  <si>
    <t>There are many activities to do in Nadi, Fiji. Some popular options include exploring the Garden of the Sleeping Giant, visiting the Sabeto Hot Springs and Mud Pool, taking a boat tour to the stunning Mamanuca Islands, and experiencing traditional Fijian culture at a local village.</t>
  </si>
  <si>
    <t>who is francis bacon and what did he do?</t>
  </si>
  <si>
    <t>Francis Bacon was an English philosopher, statesman, and scientist. He is best known for his work in developing the scientific method and promoting empirical observation and experimentation.</t>
  </si>
  <si>
    <t>what is the dominant language of jamaica?</t>
  </si>
  <si>
    <t>The dominant language of Jamaica is English.</t>
  </si>
  <si>
    <t>when does medicare part d start?</t>
  </si>
  <si>
    <t>Medicare Part D typically starts on the first day of the month of an individual's enrollment.</t>
  </si>
  <si>
    <t>what is the postcode for seoul south korea?</t>
  </si>
  <si>
    <t>The postcode for Seoul, South Korea varies depending on the specific area or district.</t>
  </si>
  <si>
    <t>what type of government does the bahamas have?</t>
  </si>
  <si>
    <t>what university did tony romo go to?</t>
  </si>
  <si>
    <t>Tony Romo attended Eastern Illinois University.</t>
  </si>
  <si>
    <t>where is bosnia?</t>
  </si>
  <si>
    <t>Bosnia is located in southeastern Europe on the Balkan Peninsula.</t>
  </si>
  <si>
    <t>what countries speak german as a first language?</t>
  </si>
  <si>
    <t>Germany, Austria, Switzerland, Liechtenstein, and Luxembourg.</t>
  </si>
  <si>
    <t>where is amazon based out of?</t>
  </si>
  <si>
    <t>Seattle, Washington</t>
  </si>
  <si>
    <t>what team did mike piazza retire with?</t>
  </si>
  <si>
    <t>Mike Piazza retired with the San Diego Padres.</t>
  </si>
  <si>
    <t>what is state animal of illinois?</t>
  </si>
  <si>
    <t>The state animal of Illinois is the white-tailed deer.</t>
  </si>
  <si>
    <t>where did robert boyle study?</t>
  </si>
  <si>
    <t>Robert Boyle studied at the University of Oxford.</t>
  </si>
  <si>
    <t>what is there to see near the grand canyon?</t>
  </si>
  <si>
    <t>There are several attractions near the Grand Canyon including Horseshoe Bend, Antelope Canyon, and the Colorado River.</t>
  </si>
  <si>
    <t>where does the fda get its authority?</t>
  </si>
  <si>
    <t>The FDA gets its authority from the United States government.</t>
  </si>
  <si>
    <t>where does hector camacho live?</t>
  </si>
  <si>
    <t>Hector Camacho passed away in 2012.</t>
  </si>
  <si>
    <t>who was vladimir lenin and why was he important?</t>
  </si>
  <si>
    <t>Vladimir Lenin was a Russian communist revolutionary and political leader who established the Soviet Union. He was important because he led the Bolshevik Party in the October Revolution of 1917 and played a key role in the early years of the Soviet government, implementing socialist policies and guiding the country's transition to communism.</t>
  </si>
  <si>
    <t>what language do cyprus speak?</t>
  </si>
  <si>
    <t>The official languages spoken in Cyprus are Greek and Turkish.</t>
  </si>
  <si>
    <t>where does fabio aurelio play?</t>
  </si>
  <si>
    <t>Fabio Aurelio is a former Brazilian professional footballer who primarily played as a left-back or left winger.</t>
  </si>
  <si>
    <t>what war did george washington help win?</t>
  </si>
  <si>
    <t>The American Revolutionary War.</t>
  </si>
  <si>
    <t>where does danny ainge live?</t>
  </si>
  <si>
    <t>As an AI language model, I don't have access to personal data about individuals unless it has been shared with me in the course of our conversation. I am designed to respect user privacy and confidentiality. Therefore, I can't provide information about where Danny Ainge, former NBA player and executive, lives.</t>
  </si>
  <si>
    <t>what college did steve jobs attend?</t>
  </si>
  <si>
    <t>Steve Jobs attended Reed College.</t>
  </si>
  <si>
    <t>where was anne frank born?</t>
  </si>
  <si>
    <t>Anne Frank was born in Frankfurt am Main, Germany.</t>
  </si>
  <si>
    <t>who plays young joe dirt?</t>
  </si>
  <si>
    <t>David Spade.</t>
  </si>
  <si>
    <t>what company did verizon used to be?</t>
  </si>
  <si>
    <t>Verizon was formerly known as Bell Atlantic Corporation.</t>
  </si>
  <si>
    <t>who was king tut's wife?</t>
  </si>
  <si>
    <t>King Tut's wife was Ankhesenamun.</t>
  </si>
  <si>
    <t>what team did magic johnson play for?</t>
  </si>
  <si>
    <t>Los Angeles Lakers.</t>
  </si>
  <si>
    <t>what are the kennedys?</t>
  </si>
  <si>
    <t>The Kennedys are a prominent American political family.</t>
  </si>
  <si>
    <t>where kurdish people come from?</t>
  </si>
  <si>
    <t>Kurdish people originate from regions in the Middle East, primarily in parts of Turkey, Iran, Iraq, and Syria.</t>
  </si>
  <si>
    <t>where is sarajevo located?</t>
  </si>
  <si>
    <t>Sarajevo is located in Bosnia and Herzegovina.</t>
  </si>
  <si>
    <t>what is the official language in china?</t>
  </si>
  <si>
    <t>The official language in China is Mandarin Chinese.</t>
  </si>
  <si>
    <t>who does the voice of kitt in knight rider?</t>
  </si>
  <si>
    <t>what teams are left in the nfl?</t>
  </si>
  <si>
    <t>As of the 2021 season, there are 32 teams in the NFL.</t>
  </si>
  <si>
    <t>what art movement was pablo picasso part of?</t>
  </si>
  <si>
    <t>Pablo Picasso was part of the Cubism art movement.</t>
  </si>
  <si>
    <t>what type of business is mitt romney in?</t>
  </si>
  <si>
    <t>Mitt Romney is primarily involved in the private equity industry.</t>
  </si>
  <si>
    <t>what language do they speak in egyptian?</t>
  </si>
  <si>
    <t>what are historical places in new york?</t>
  </si>
  <si>
    <t>Some historical places in New York include the Statue of Liberty, Ellis Island, Times Square, Central Park, and the Empire State Building.</t>
  </si>
  <si>
    <t>in what year did columbus sail to the new world?</t>
  </si>
  <si>
    <t>what countries are included in the continent of asia?</t>
  </si>
  <si>
    <t>The countries included in the continent of Asia are Afghanistan, Armenia, Azerbaijan, Bahrain, Bangladesh, Bhutan, Brunei, Cambodia, China, Cyprus, East Timor, Georgia, India, Indonesia, Iran, Iraq, Israel, Japan, Jordan, Kazakhstan, Kuwait, Kyrgyzstan, Laos, Lebanon, Malaysia, Maldives, Mongolia, Myanmar (Burma), Nepal, North Korea, Oman, Pakistan, Palestine, Philippines, Qatar, Russia, Saudi Arabia, Singapore, South Korea, Sri Lanka, Syria, Taiwan, Tajikistan, Thailand, Turkey, Turkmenistan, United Arab Emirates (UAE), Uzbekistan, Vietnam, and Yemen.</t>
  </si>
  <si>
    <t>who owns wikimedia foundation?</t>
  </si>
  <si>
    <t>Wikimedia Foundation is owned by its Board of Trustees, which is responsible for overseeing the organization.</t>
  </si>
  <si>
    <t>what war was george washington president during?</t>
  </si>
  <si>
    <t>George Washington was President during the American Revolutionary War.</t>
  </si>
  <si>
    <t>when did miami dolphins win super bowl?</t>
  </si>
  <si>
    <t>The Miami Dolphins won the Super Bowl in 1972 and 1973.</t>
  </si>
  <si>
    <t>what timezone is minnesota in?</t>
  </si>
  <si>
    <t>Minnesota is in the Central Time Zone.</t>
  </si>
  <si>
    <t>which airport do ba fly to in oslo?</t>
  </si>
  <si>
    <t>London Heathrow Airport (LHR)</t>
  </si>
  <si>
    <t>what is there for kids to do in miami?</t>
  </si>
  <si>
    <t>There are many activities for kids to do in Miami, such as visiting the Miami Children's Museum, going to Zoo Miami, enjoying the beaches, exploring Jungle Island, and visiting the Miami Seaquarium.</t>
  </si>
  <si>
    <t>what country columbus was born?</t>
  </si>
  <si>
    <t>Columbus was born in Italy.</t>
  </si>
  <si>
    <t>where did lauren conrad live?</t>
  </si>
  <si>
    <t>Lauren Conrad is originally from Laguna Beach, California.</t>
  </si>
  <si>
    <t>what bella name her baby?</t>
  </si>
  <si>
    <t>Bella named her baby Renesmee.</t>
  </si>
  <si>
    <t>what is the houston rockets mascot?</t>
  </si>
  <si>
    <t>The Houston Rockets mascot is Clutch the Bear.</t>
  </si>
  <si>
    <t>what is there fun to do in san diego?</t>
  </si>
  <si>
    <t>There are many fun activities to do in San Diego, such as visiting the beaches, exploring the zoo, visiting Balboa Park, and enjoying the nightlife in the Gaslamp Quarter.</t>
  </si>
  <si>
    <t>what movies johnny depp is in?</t>
  </si>
  <si>
    <t>Some movies Johnny Depp is known for are "Pirates of the Caribbean" series, "Edward Scissorhands," and "Alice in Wonderland."</t>
  </si>
  <si>
    <t>where did matthias schleiden do his work?</t>
  </si>
  <si>
    <t>Matthias Schleiden did his work in Germany.</t>
  </si>
  <si>
    <t>what countries did andy warhol work?</t>
  </si>
  <si>
    <t>Andy Warhol primarily worked in the United States.</t>
  </si>
  <si>
    <t>what songs does katherine jenkins sing?</t>
  </si>
  <si>
    <t>Katherine Jenkins sings a mix of classical, pop, and crossover songs.</t>
  </si>
  <si>
    <t>what is ryan seacrest famous for?</t>
  </si>
  <si>
    <t>Ryan Seacrest is famous for being a television host and producer.</t>
  </si>
  <si>
    <t>what is the current leader of japan?</t>
  </si>
  <si>
    <t>Yoshihide Suga.</t>
  </si>
  <si>
    <t>how much indiana jones movies are there?</t>
  </si>
  <si>
    <t>There are four Indiana Jones movies.</t>
  </si>
  <si>
    <t>what does george soros own?</t>
  </si>
  <si>
    <t>George Soros owns a variety of investments, including stocks, bonds, and real estate properties. However, it is important to note that his specific holdings may change over time.</t>
  </si>
  <si>
    <t>what kind of money should i bring to dominican?</t>
  </si>
  <si>
    <t>It is recommended to bring Dominican pesos (DOP) when you travel to the Dominican Republic.</t>
  </si>
  <si>
    <t>who is the president of ecuador in 2012?</t>
  </si>
  <si>
    <t>The president of Ecuador in 2012 was Rafael Correa.</t>
  </si>
  <si>
    <t>what city became the capital of the assyrian empire?</t>
  </si>
  <si>
    <t>The city of Ashur became the capital of the Assyrian Empire.</t>
  </si>
  <si>
    <t>what time zone is maryville tn?</t>
  </si>
  <si>
    <t>Maryville, TN is located in the Eastern Time Zone (ET).</t>
  </si>
  <si>
    <t>where does frida kahlo live now?</t>
  </si>
  <si>
    <t>Frida Kahlo is deceased and therefore does not live anywhere now.</t>
  </si>
  <si>
    <t>who started the federal reserve board?</t>
  </si>
  <si>
    <t>The Federal Reserve Board was established by the U.S. Congress with the passage of the Federal Reserve Act in 1913.</t>
  </si>
  <si>
    <t>where did marco rubio go to college?</t>
  </si>
  <si>
    <t>Marco Rubio attended the University of Florida for his undergraduate studies.</t>
  </si>
  <si>
    <t>where in tennessee are the smoky mountains?</t>
  </si>
  <si>
    <t>The Smoky Mountains are located in eastern Tennessee.</t>
  </si>
  <si>
    <t>what kind of fish do you catch in florida?</t>
  </si>
  <si>
    <t>Some common fish caught in Florida include redfish, snook, tarpon, grouper, and snapper.</t>
  </si>
  <si>
    <t>where was emperor tiberius born?</t>
  </si>
  <si>
    <t>Emperor Tiberius was born in Rome, Italy.</t>
  </si>
  <si>
    <t>who did ronald reagan get shot by?</t>
  </si>
  <si>
    <t>Ronald Reagan was shot by John Hinckley Jr.</t>
  </si>
  <si>
    <t>what county is novato in?</t>
  </si>
  <si>
    <t>Novato is in Marin County.</t>
  </si>
  <si>
    <t>who did president kennedy marry?</t>
  </si>
  <si>
    <t>President Kennedy married Jacqueline Kennedy.</t>
  </si>
  <si>
    <t>where to live near seattle wa?</t>
  </si>
  <si>
    <t>Bellevue, Redmond, Kirkland, or Issaquah.</t>
  </si>
  <si>
    <t>what movies did zoe saldana play in?</t>
  </si>
  <si>
    <t>Zoe Saldana has played in movies such as "Avatar", "Guardians of the Galaxy", and "Star Trek".</t>
  </si>
  <si>
    <t>where to go in mexico for vacation?</t>
  </si>
  <si>
    <t>Some popular vacation destinations in Mexico include Cancun, Mexico City, Puerto Vallarta, Playa del Carmen, and Tulum.</t>
  </si>
  <si>
    <t>who does nikki reed play in the movie twilight?</t>
  </si>
  <si>
    <t>Nikki Reed plays the character Rosalie Hale in the movie Twilight.</t>
  </si>
  <si>
    <t>what does matt dallas do now?</t>
  </si>
  <si>
    <t>I am sorry, I cannot provide real-time information about individuals.</t>
  </si>
  <si>
    <t>where was abraham buried?</t>
  </si>
  <si>
    <t>Abraham was buried in the Cave of Machpelah in Hebron, Israel.</t>
  </si>
  <si>
    <t>where did frank bruno live?</t>
  </si>
  <si>
    <t>Frank Bruno lived in England.</t>
  </si>
  <si>
    <t>what type of cancer did donna summer died from?</t>
  </si>
  <si>
    <t>Donna Summer died from lung cancer.</t>
  </si>
  <si>
    <t>where's the hudson river?</t>
  </si>
  <si>
    <t>The Hudson River is located in the eastern United States, running primarily through New York State.</t>
  </si>
  <si>
    <t>how long is queen victoria's reign?</t>
  </si>
  <si>
    <t>Queen Victoria's reign was 63 years.</t>
  </si>
  <si>
    <t>what did jerry sandusky do to the children?</t>
  </si>
  <si>
    <t>Jerry Sandusky sexually abused children.</t>
  </si>
  <si>
    <t>where does the jordan river end?</t>
  </si>
  <si>
    <t>The Jordan River ends in the Dead Sea.</t>
  </si>
  <si>
    <t>what is the state flower of pennsylvania?</t>
  </si>
  <si>
    <t>The state flower of Pennsylvania is the Mountain Laurel.</t>
  </si>
  <si>
    <t>what school did michael jackson attend?</t>
  </si>
  <si>
    <t>Michael Jackson attended Gardner Street Elementary School in Los Angeles, California.</t>
  </si>
  <si>
    <t>what does kenya moore do for a living?</t>
  </si>
  <si>
    <t>Kenya Moore is a reality TV star, actress, and entrepreneur.</t>
  </si>
  <si>
    <t>what country is barack obama from?</t>
  </si>
  <si>
    <t>United States.</t>
  </si>
  <si>
    <t>who was wale signed to?</t>
  </si>
  <si>
    <t>Wale was signed to Interscope Records.</t>
  </si>
  <si>
    <t>who did tyson chandler play for?</t>
  </si>
  <si>
    <t>Tyson Chandler played for multiple teams in the NBA, including the Chicago Bulls, New Orleans Hornets, Dallas Mavericks, New York Knicks, Phoenix Suns, Los Angeles Lakers, and Houston Rockets.</t>
  </si>
  <si>
    <t>what character did liv tyler play in lord of the rings?</t>
  </si>
  <si>
    <t>Liv Tyler played the character Arwen Undómiel in Lord of the Rings.</t>
  </si>
  <si>
    <t>who played princess leia in star wars movies?</t>
  </si>
  <si>
    <t>when did romney first run for president?</t>
  </si>
  <si>
    <t>Romney first ran for president in 2008.</t>
  </si>
  <si>
    <t>what did barack obama do before he took office?</t>
  </si>
  <si>
    <t>Before taking office as the President of the United States, Barack Obama served as a senator from Illinois.</t>
  </si>
  <si>
    <t>where was saint joseph from?</t>
  </si>
  <si>
    <t>Saint Joseph was from Nazareth, which is in present-day Israel.</t>
  </si>
  <si>
    <t>where does kenya moore get her money?</t>
  </si>
  <si>
    <t>Kenya Moore gets her money from various sources, including her career as an actress, reality television star, producer, and entrepreneur.</t>
  </si>
  <si>
    <t>what round did manny pacquiao win in?</t>
  </si>
  <si>
    <t>It depends on the specific fight you are referring to. Manny Pacquiao has won fights in multiple different rounds throughout his career.</t>
  </si>
  <si>
    <t>what job did george w bush have?</t>
  </si>
  <si>
    <t>George W. Bush was the 43rd President of the United States.</t>
  </si>
  <si>
    <t>what are countries in south asia?</t>
  </si>
  <si>
    <t>The countries in South Asia are Afghanistan, Bangladesh, Bhutan, Maldives, Nepal, India, Pakistan, and Sri Lanka.</t>
  </si>
  <si>
    <t>where is the caribbean geographically located?</t>
  </si>
  <si>
    <t>The Caribbean is geographically located in the Caribbean Sea, which is part of the western Atlantic Ocean.</t>
  </si>
  <si>
    <t>what songs does tom delonge sing?</t>
  </si>
  <si>
    <t>Tom DeLonge is best known for his work as the lead vocalist and guitarist for the punk rock band Blink-182. Some of the songs he sings with the band include "All the Small Things," "What's My Age Again?," and "I Miss You," among others.</t>
  </si>
  <si>
    <t>where did monta ellis go to college?</t>
  </si>
  <si>
    <t>Monta Ellis attended Lanier High School in Jackson, Mississippi but did not go to college.</t>
  </si>
  <si>
    <t>what was howard carter's job?</t>
  </si>
  <si>
    <t>Howard Carter's job was an archaeologist and Egyptologist.</t>
  </si>
  <si>
    <t>who was papa doc in real life?</t>
  </si>
  <si>
    <t>Papa Doc was the nickname of François Duvalier, who was the President of Haiti from 1957 until his death in 1971.</t>
  </si>
  <si>
    <t>what was the cause of death of michael jackson?</t>
  </si>
  <si>
    <t>The cause of death of Michael Jackson was acute propofol and benzodiazepine intoxication.</t>
  </si>
  <si>
    <t>who played laura ingalls mother?</t>
  </si>
  <si>
    <t>Karen Grassle</t>
  </si>
  <si>
    <t>what is the capital city of texas usa?</t>
  </si>
  <si>
    <t>Austin.</t>
  </si>
  <si>
    <t>who won governor in connecticut 2010?</t>
  </si>
  <si>
    <t>Dannel Malloy won the Connecticut governor's race in 2010.</t>
  </si>
  <si>
    <t>what is the main language spoken in switzerland?</t>
  </si>
  <si>
    <t>The main language spoken in Switzerland is Swiss German.</t>
  </si>
  <si>
    <t>what timezone is indianapolis in now?</t>
  </si>
  <si>
    <t>Indianapolis is in the Eastern Time Zone.</t>
  </si>
  <si>
    <t>where do cruises leave from in rome?</t>
  </si>
  <si>
    <t>Cruises leave from the port of Civitavecchia in Rome.</t>
  </si>
  <si>
    <t>what time zone is new england usa in?</t>
  </si>
  <si>
    <t>Eastern Time Zone.</t>
  </si>
  <si>
    <t>where was the vietnam war located?</t>
  </si>
  <si>
    <t>The Vietnam War primarily took place in Vietnam.</t>
  </si>
  <si>
    <t>what is tulane university's mascot?</t>
  </si>
  <si>
    <t>The mascot of Tulane University is the Green Wave.</t>
  </si>
  <si>
    <t>where is aviano air force base located?</t>
  </si>
  <si>
    <t>Aviano Air Force Base is located in Aviano, Italy.</t>
  </si>
  <si>
    <t>who is the owner of the philadelphia eagles?</t>
  </si>
  <si>
    <t>The owner of the Philadelphia Eagles is Jeffrey Lurie.</t>
  </si>
  <si>
    <t>where did giovanni da verrazano live?</t>
  </si>
  <si>
    <t>Giovanni da Verrazano lived in Italy.</t>
  </si>
  <si>
    <t>what was antonio vivaldi known for?</t>
  </si>
  <si>
    <t>Antonio Vivaldi was known for being a Baroque composer and violinist.</t>
  </si>
  <si>
    <t>what movies does johnny depp play in?</t>
  </si>
  <si>
    <t>Johnny Depp has acted in numerous movies, including "Pirates of the Caribbean" series, "Edward Scissorhands," "Charlie and the Chocolate Factory," "Alice in Wonderland," and "Sweeney Todd: The Demon Barber of Fleet Street," among others.</t>
  </si>
  <si>
    <t>who has won the last 10 nba championships?</t>
  </si>
  <si>
    <t>The Los Angeles Lakers and the Golden State Warriors have won the last 10 NBA championships.</t>
  </si>
  <si>
    <t>who is the coach of the pittsburgh steelers 2005?</t>
  </si>
  <si>
    <t>The coach of the Pittsburgh Steelers in 2005 was Bill Cowher.</t>
  </si>
  <si>
    <t>when are the summer olympics held?</t>
  </si>
  <si>
    <t>The Summer Olympics are usually held every four years.</t>
  </si>
  <si>
    <t>where did george harrison live before he died?</t>
  </si>
  <si>
    <t>George Harrison lived in Los Angeles, California before he died.</t>
  </si>
  <si>
    <t>where do most earthquakes happen in japan?</t>
  </si>
  <si>
    <t>Most earthquakes in Japan happen along the Pacific Ring of Fire.</t>
  </si>
  <si>
    <t>when did mcgee start on ncis?</t>
  </si>
  <si>
    <t>McGee started on NCIS in the first season.</t>
  </si>
  <si>
    <t>what atom did j.j thomson discover?</t>
  </si>
  <si>
    <t>J.J. Thomson discovered the electron.</t>
  </si>
  <si>
    <t>what country did the zulu live in?</t>
  </si>
  <si>
    <t>South Africa.</t>
  </si>
  <si>
    <t>where was president chester arthur born?</t>
  </si>
  <si>
    <t>Chester Arthur was born in Fairfield, Vermont.</t>
  </si>
  <si>
    <t>where to fly in for galapagos islands?</t>
  </si>
  <si>
    <t>The most common airport to fly into for the Galapagos Islands is Seymour Airport (GPS) on Baltra Island.</t>
  </si>
  <si>
    <t>who has tom brady played for?</t>
  </si>
  <si>
    <t>Tom Brady has played for the New England Patriots and the Tampa Bay Buccaneers.</t>
  </si>
  <si>
    <t>who are betty white's husbands?</t>
  </si>
  <si>
    <t>Betty White had three husbands: Dick Barker, Lane Allen, and Allen Ludden.</t>
  </si>
  <si>
    <t>what are the major languages spoken in italy?</t>
  </si>
  <si>
    <t>The major language spoken in Italy is Italian.</t>
  </si>
  <si>
    <t>what time is it in lake havasu city arizona?</t>
  </si>
  <si>
    <t>I am sorry, I cannot provide real-time information. However, you can easily check the current time in Lake Havasu City, Arizona by using a reliable online source or by checking the time on your device.</t>
  </si>
  <si>
    <t>what years have the giants won the world series?</t>
  </si>
  <si>
    <t>The San Francisco Giants have won the World Series in the years 2010, 2012, and 2014.</t>
  </si>
  <si>
    <t>where did nick clegg go to prep school?</t>
  </si>
  <si>
    <t>Nick Clegg went to Westminster School in London.</t>
  </si>
  <si>
    <t>where did laura bush grow up?</t>
  </si>
  <si>
    <t>Laura Bush grew up in Midland, Texas.</t>
  </si>
  <si>
    <t>what currency should i take to mauritius?</t>
  </si>
  <si>
    <t>The currency you should take to Mauritius is the Mauritian Rupee (MUR).</t>
  </si>
  <si>
    <t>which states share borders with virginia?</t>
  </si>
  <si>
    <t>Maryland, West Virginia, Kentucky, Tennessee, North Carolina, and the Atlantic Ocean.</t>
  </si>
  <si>
    <t>what is a judge in the supreme court called?</t>
  </si>
  <si>
    <t>A judge in the Supreme Court is called a justice.</t>
  </si>
  <si>
    <t>what did johannes kepler accomplish?</t>
  </si>
  <si>
    <t>Johannes Kepler discovered the laws of planetary motion.</t>
  </si>
  <si>
    <t>what college did edgar allan poe go to?</t>
  </si>
  <si>
    <t>The University of Virginia.</t>
  </si>
  <si>
    <t>who is ellen albertini dow?</t>
  </si>
  <si>
    <t>Ellen Albertini Dow is an actress.</t>
  </si>
  <si>
    <t>what time zone is london in right now?</t>
  </si>
  <si>
    <t>London is currently in the Greenwich Mean Time (GMT) zone.</t>
  </si>
  <si>
    <t>what kind of language do china speak?</t>
  </si>
  <si>
    <t>China's official language is Mandarin Chinese.</t>
  </si>
  <si>
    <t>where is the singapore zoo?</t>
  </si>
  <si>
    <t>The Singapore Zoo is located in Singapore.</t>
  </si>
  <si>
    <t>what town was abe lincoln born in?</t>
  </si>
  <si>
    <t>Hodgenville, Kentucky.</t>
  </si>
  <si>
    <t>what do ethiopia import and export?</t>
  </si>
  <si>
    <t>Ethiopia primarily exports coffee, oilseeds, flowers, live animals, and textiles. It imports machinery, vehicles, petroleum products, and chemicals.</t>
  </si>
  <si>
    <t>who did the voice of kitt in knight rider?</t>
  </si>
  <si>
    <t>what challenges did helen keller have to face?</t>
  </si>
  <si>
    <t>Helen Keller faced challenges with her deafness and blindness.</t>
  </si>
  <si>
    <t>who is andy williams brother?</t>
  </si>
  <si>
    <t>Andy Williams had three older brothers: Bob, Don, and Dick Williams.</t>
  </si>
  <si>
    <t>who was the 2nd prime minister of pakistan?</t>
  </si>
  <si>
    <t>The 2nd Prime Minister of Pakistan was Khawaja Nazimuddin.</t>
  </si>
  <si>
    <t>where does morrissey live 2010?</t>
  </si>
  <si>
    <t>Morrissey lived in Los Angeles, California in 2010.</t>
  </si>
  <si>
    <t>what teams did jim harbaugh play for?</t>
  </si>
  <si>
    <t>Jim Harbaugh played for several teams throughout his NFL career, including the Chicago Bears, Indianapolis Colts, Baltimore Ravens, and San Diego Chargers.</t>
  </si>
  <si>
    <t>who played atticus finch in the movie?</t>
  </si>
  <si>
    <t>Gregory Peck played Atticus Finch in the movie.</t>
  </si>
  <si>
    <t>where did toussaint louverture live?</t>
  </si>
  <si>
    <t>Toussaint Louverture lived in Haiti.</t>
  </si>
  <si>
    <t>what other countries share a border with china?</t>
  </si>
  <si>
    <t>14 countries share a land border with China: Afghanistan, Bhutan, India, Kazakhstan, Kyrgyzstan, Laos, Mongolia, Myanmar, Nepal, North Korea, Pakistan, Russia, Tajikistan, and Vietnam.</t>
  </si>
  <si>
    <t>who has the voice of stewie griffin?</t>
  </si>
  <si>
    <t>what year did johnny cash die and how old was he?</t>
  </si>
  <si>
    <t>Johnny Cash died in the year 2003 at the age of 71.</t>
  </si>
  <si>
    <t>what party did john tyler belong to?</t>
  </si>
  <si>
    <t>John Tyler belonged to the Democratic-Republican Party.</t>
  </si>
  <si>
    <t>who is the senator of the state of texas?</t>
  </si>
  <si>
    <t>The senator of the state of Texas is John Cornyn.</t>
  </si>
  <si>
    <t>where to stay in thailand koh samui?</t>
  </si>
  <si>
    <t>There are many great places to stay in Koh Samui, Thailand. Some popular areas include Chaweng, Bophut, and Lamai. It ultimately depends on your preferences and what you are looking for in terms of proximity to the beach, nightlife, and other attractions.</t>
  </si>
  <si>
    <t>who is jensen ackles in a relationship with?</t>
  </si>
  <si>
    <t>Jensen Ackles is in a relationship with Danneel Ackles.</t>
  </si>
  <si>
    <t>who is the voice actor for eric cartman?</t>
  </si>
  <si>
    <t>Trey Parker.</t>
  </si>
  <si>
    <t>what language do irish people speak?</t>
  </si>
  <si>
    <t>Irish people speak Irish.</t>
  </si>
  <si>
    <t>what is the currency used in brazil?</t>
  </si>
  <si>
    <t>The currency used in Brazil is the Brazilian Real.</t>
  </si>
  <si>
    <t>what was marie curie best known for?</t>
  </si>
  <si>
    <t>Marie Curie was best known for her pioneering research on radioactivity and her discoveries of the elements polonium and radium.</t>
  </si>
  <si>
    <t>what money is used in mozambique?</t>
  </si>
  <si>
    <t>The currency used in Mozambique is the Mozambican metical.</t>
  </si>
  <si>
    <t>what illness does michael j fox have?</t>
  </si>
  <si>
    <t>Parkinson's disease.</t>
  </si>
  <si>
    <t>who is the governor of indiana 2012?</t>
  </si>
  <si>
    <t>The governor of Indiana in 2012 was Mitch Daniels.</t>
  </si>
  <si>
    <t>who was kim kardashian's first husband?</t>
  </si>
  <si>
    <t>Kim Kardashian's first husband was Damon Thomas.</t>
  </si>
  <si>
    <t>who did jerry rice retire with?</t>
  </si>
  <si>
    <t>Jerry Rice retired with the San Francisco 49ers.</t>
  </si>
  <si>
    <t>what are the official languages of the dominican republic?</t>
  </si>
  <si>
    <t>The official language of the Dominican Republic is Spanish.</t>
  </si>
  <si>
    <t>what movie queen latifah play in?</t>
  </si>
  <si>
    <t>Queen Latifah has appeared in numerous movies, including "Chicago," "Bringing Down the House," "Beauty Shop," and "Girls Trip," among others.</t>
  </si>
  <si>
    <t>what did anton van leeuwenhoek discover?</t>
  </si>
  <si>
    <t>Anton van Leeuwenhoek discovered microorganisms.</t>
  </si>
  <si>
    <t>where was ted kennedy buried?</t>
  </si>
  <si>
    <t>Ted Kennedy was buried at Arlington National Cemetery in Arlington, Virginia.</t>
  </si>
  <si>
    <t>where do most immigrants in the united states come from today?</t>
  </si>
  <si>
    <t>what state toronto located?</t>
  </si>
  <si>
    <t>Toronto is located in the province of Ontario, Canada.</t>
  </si>
  <si>
    <t>where did dr martin luther king get his doctorate?</t>
  </si>
  <si>
    <t>Dr. Martin Luther King Jr. received his doctorate from Boston University.</t>
  </si>
  <si>
    <t>who is the governor of wyoming currently?</t>
  </si>
  <si>
    <t>The current governor of Wyoming is Mark Gordon.</t>
  </si>
  <si>
    <t>who was the president of indian national congress?</t>
  </si>
  <si>
    <t>The president of the Indian National Congress is currently Sonia Gandhi.</t>
  </si>
  <si>
    <t>where do most of the people in egypt live?</t>
  </si>
  <si>
    <t>Most of the people in Egypt live in urban areas, particularly in cities along the Nile River such as Cairo and Alexandria.</t>
  </si>
  <si>
    <t>where was benjamin franklin raised?</t>
  </si>
  <si>
    <t>Benjamin Franklin was raised in Boston, Massachusetts.</t>
  </si>
  <si>
    <t>what language does egyptians use?</t>
  </si>
  <si>
    <t>where do people speak burmese?</t>
  </si>
  <si>
    <t>People speak Burmese primarily in Myanmar (formerly known as Burma).</t>
  </si>
  <si>
    <t>what money do they have in italy?</t>
  </si>
  <si>
    <t>The currency used in Italy is the Euro.</t>
  </si>
  <si>
    <t>what is phoebe halliwell's real name?</t>
  </si>
  <si>
    <t>Alyssa Milano</t>
  </si>
  <si>
    <t>what is the name of the capital of spain?</t>
  </si>
  <si>
    <t>Madrid</t>
  </si>
  <si>
    <t>what is afghanistan money called?</t>
  </si>
  <si>
    <t>The currency of Afghanistan is called the Afghan afghani.</t>
  </si>
  <si>
    <t>what did people in the bible say about jesus?</t>
  </si>
  <si>
    <t>Some people in the Bible believed that Jesus was the long-awaited Messiah, the Son of God, and put their faith in him. Others did not believe or rejected him.</t>
  </si>
  <si>
    <t>what lead to the fall of the ottoman empire?</t>
  </si>
  <si>
    <t>The fall of the Ottoman Empire was primarily caused by a combination of internal decay and external pressures, such as military defeats and nationalist movements.</t>
  </si>
  <si>
    <t>where are facebook headquarters located?</t>
  </si>
  <si>
    <t>Facebook headquarters are located in Menlo Park, California.</t>
  </si>
  <si>
    <t>what was the roman political system?</t>
  </si>
  <si>
    <t>The Roman political system was a republic, with citizens participating in the government through elected officials.</t>
  </si>
  <si>
    <t>what is atlanta ga famous for?</t>
  </si>
  <si>
    <t>Atlanta, GA is famous for its role in the Civil Rights Movement, being the birthplace of Martin Luther King Jr., and hosting the 1996 Summer Olympics.</t>
  </si>
  <si>
    <t>what government type is north korea?</t>
  </si>
  <si>
    <t>North Korea is a communist government.</t>
  </si>
  <si>
    <t>where is the pepsi center?</t>
  </si>
  <si>
    <t>The Pepsi Center is located in Denver, Colorado.</t>
  </si>
  <si>
    <t>who plays hermione granger?</t>
  </si>
  <si>
    <t>Emma Watson</t>
  </si>
  <si>
    <t>what inspired m.c. escher to become an artist?</t>
  </si>
  <si>
    <t>Escher was inspired by nature, mathematics, and the works of other artists to become an artist.</t>
  </si>
  <si>
    <t>where is the best place to stay in aruba?</t>
  </si>
  <si>
    <t>The best place to stay in Aruba depends on your preferences and what you are looking for in a vacation. Some popular areas to stay in Aruba include Palm Beach, Eagle Beach, and Oranjestad.</t>
  </si>
  <si>
    <t>when did abraham lincoln free the slaves?</t>
  </si>
  <si>
    <t>Abraham Lincoln issued the Emancipation Proclamation on January 1, 1863.</t>
  </si>
  <si>
    <t>what county is denver colorado in?</t>
  </si>
  <si>
    <t>Denver, Colorado is located in Denver County.</t>
  </si>
  <si>
    <t>what year did giants win world series?</t>
  </si>
  <si>
    <t>what kind of government iran have?</t>
  </si>
  <si>
    <t>Iran is an Islamic Republic.</t>
  </si>
  <si>
    <t>who is the seattle seahawks starting quarterback?</t>
  </si>
  <si>
    <t>Russell Wilson.</t>
  </si>
  <si>
    <t>where does the band metallica live?</t>
  </si>
  <si>
    <t>Metallica members reside in various locations, but their home base is in San Francisco, California.</t>
  </si>
  <si>
    <t>when did melbourne get its name?</t>
  </si>
  <si>
    <t>Melbourne was named in 1837.</t>
  </si>
  <si>
    <t>who is shania twain's husband?</t>
  </si>
  <si>
    <t>Shania Twain's husband is Frédéric Thiébaud.</t>
  </si>
  <si>
    <t>who plays jason gideon?</t>
  </si>
  <si>
    <t>Mandy Patinkin plays Jason Gideon.</t>
  </si>
  <si>
    <t>what province is toronto canada located in?</t>
  </si>
  <si>
    <t>where did president eisenhower go to college?</t>
  </si>
  <si>
    <t>President Eisenhower went to college at the United States Military Academy at West Point.</t>
  </si>
  <si>
    <t>what are the gods of islam?</t>
  </si>
  <si>
    <t>The gods of Islam are Allah.</t>
  </si>
  <si>
    <t>what was vasco nunez de balboa original purpose of his journey?</t>
  </si>
  <si>
    <t>Vasco Nunez de Balboa's original purpose of his journey was to find a route to the Pacific Ocean.</t>
  </si>
  <si>
    <t>what team did kaka play for in 2009?</t>
  </si>
  <si>
    <t>Real Madrid.</t>
  </si>
  <si>
    <t>what political system is in china?</t>
  </si>
  <si>
    <t>The political system in China is a single-party socialist state.</t>
  </si>
  <si>
    <t>who played george jefferson on all in the family?</t>
  </si>
  <si>
    <t>Sherman Hemsley.</t>
  </si>
  <si>
    <t>what guitar did clapton play?</t>
  </si>
  <si>
    <t>Eric Clapton played various guitars throughout his career, including Fender Stratocasters, Gibson Les Pauls, and Martin acoustic guitars.</t>
  </si>
  <si>
    <t>who did joseph from the bible marry?</t>
  </si>
  <si>
    <t>Joseph from the Bible married Mary.</t>
  </si>
  <si>
    <t>what did sir john frederick william herschel do?</t>
  </si>
  <si>
    <t>Sir John Frederick William Herschel was an English polymath known for his significant contributions in astronomy, mathematics, and photography.</t>
  </si>
  <si>
    <t>what is a famous person from massachusetts?</t>
  </si>
  <si>
    <t>Mark Wahlberg.</t>
  </si>
  <si>
    <t>what college did joakim noah attend?</t>
  </si>
  <si>
    <t>Joakim Noah attended the University of Florida.</t>
  </si>
  <si>
    <t>what channel does anderson cooper come on?</t>
  </si>
  <si>
    <t>Anderson Cooper comes on CNN.</t>
  </si>
  <si>
    <t>what money do they use in china?</t>
  </si>
  <si>
    <t>The currency used in China is the Chinese yuan (CNY).</t>
  </si>
  <si>
    <t>where did wassily kandinsky work?</t>
  </si>
  <si>
    <t>Wassily Kandinsky worked in various places throughout his career, including Russia, Germany, and France.</t>
  </si>
  <si>
    <t>where does jeb bush live?</t>
  </si>
  <si>
    <t>Jeb Bush lives in Florida.</t>
  </si>
  <si>
    <t>when did the arab israeli war start?</t>
  </si>
  <si>
    <t>The Arab-Israeli War started on May 15, 1948.</t>
  </si>
  <si>
    <t>who influenced michael jackson?</t>
  </si>
  <si>
    <t>Several artists influenced Michael Jackson, including James Brown, Jackie Wilson, and Fred Astaire.</t>
  </si>
  <si>
    <t>what all countries are in south america?</t>
  </si>
  <si>
    <t>The countries in South America are: Argentina, Bolivia, Brazil, Chile, Colombia, Ecuador, Guyana, Paraguay, Peru, Suriname, Uruguay, and Venezuela.</t>
  </si>
  <si>
    <t>who was the leader of the ussr in 1948?</t>
  </si>
  <si>
    <t>Joseph Stalin.</t>
  </si>
  <si>
    <t>what country does japan export to?</t>
  </si>
  <si>
    <t>Japan exports to various countries, including the United States, China, South Korea, and other countries in Asia, Europe, and North America.</t>
  </si>
  <si>
    <t>what ship did sir francis drake travel on?</t>
  </si>
  <si>
    <t>Sir Francis Drake traveled on the ship called the Golden Hind.</t>
  </si>
  <si>
    <t>what did kellie martin play on?</t>
  </si>
  <si>
    <t>Kellie Martin played on the television show "Life Goes On" and the medical drama "ER."</t>
  </si>
  <si>
    <t>what does united church of christ believe?</t>
  </si>
  <si>
    <t>The United Church of Christ believes in the freedom to think and believe, the unity of all people, and the importance of justice and peace.</t>
  </si>
  <si>
    <t>where is walton goggins from?</t>
  </si>
  <si>
    <t>Walton Goggins is from Birmingham, Alabama.</t>
  </si>
  <si>
    <t>which province is calgary canada in?</t>
  </si>
  <si>
    <t>Calgary is in the province of Alberta, Canada.</t>
  </si>
  <si>
    <t>what university did barack obama attend?</t>
  </si>
  <si>
    <t>when did venus williams win wimbledon?</t>
  </si>
  <si>
    <t>Venus Williams won Wimbledon in 2000, 2001, 2005, 2007, and 2008.</t>
  </si>
  <si>
    <t>who is neil patrick harris dating?</t>
  </si>
  <si>
    <t>Neil Patrick Harris is married to David Burtka.</t>
  </si>
  <si>
    <t>where is the capital city of assyrians?</t>
  </si>
  <si>
    <t>The capital city of the Assyrians is often considered to have been Nineveh.</t>
  </si>
  <si>
    <t>who is aidan quinn?</t>
  </si>
  <si>
    <t>Aidan Quinn is an Irish-American actor.</t>
  </si>
  <si>
    <t>what type of political system is iran?</t>
  </si>
  <si>
    <t>Iran has a theocratic political system.</t>
  </si>
  <si>
    <t>what do people from guam speak?</t>
  </si>
  <si>
    <t>People from Guam speak Chamorro, which is the official language of the island.</t>
  </si>
  <si>
    <t>what to do if you have one day in bangkok?</t>
  </si>
  <si>
    <t>Some suggestions for what to do in Bangkok in one day could include visiting the Grand Palace, exploring the Wat Pho temple, taking a boat tour along the Chao Phraya River, trying street food at the Chatuchak Weekend Market, and experiencing the nightlife in the Sukhumvit area.</t>
  </si>
  <si>
    <t>where was ben franklin born?</t>
  </si>
  <si>
    <t>Ben Franklin was born in Boston, Massachusetts.</t>
  </si>
  <si>
    <t>what timezone is virginia in?</t>
  </si>
  <si>
    <t>Virginia is in the Eastern Time Zone.</t>
  </si>
  <si>
    <t>what is the dominican republic part of?</t>
  </si>
  <si>
    <t>The Dominican Republic is part of the Caribbean.</t>
  </si>
  <si>
    <t>where did jerry spinelli live as a kid?</t>
  </si>
  <si>
    <t>Jerry Spinelli lived in Norristown, Pennsylvania as a kid.</t>
  </si>
  <si>
    <t>what do costa ricans speak?</t>
  </si>
  <si>
    <t>Costa Ricans speak Spanish.</t>
  </si>
  <si>
    <t>what year did arizona cardinals go to superbowl?</t>
  </si>
  <si>
    <t>The Arizona Cardinals went to the Super Bowl in the year 2009.</t>
  </si>
  <si>
    <t>where does spencer pratt go to school?</t>
  </si>
  <si>
    <t>There is no information available about where Spencer Pratt goes to school.</t>
  </si>
  <si>
    <t>what did charles babbage make?</t>
  </si>
  <si>
    <t>Charles Babbage made the Difference Engine and the Analytical Engine, considered to be the precursors to modern computers.</t>
  </si>
  <si>
    <t>who played lt uhura?</t>
  </si>
  <si>
    <t>Nichelle Nichols played Lt. Uhura.</t>
  </si>
  <si>
    <t>what is new york giants?</t>
  </si>
  <si>
    <t>The New York Giants are a professional football team based in New York City.</t>
  </si>
  <si>
    <t>what time is the melbourne cup?</t>
  </si>
  <si>
    <t>The Melbourne Cup is typically held at 3:00 PM local time.</t>
  </si>
  <si>
    <t>what colleges did alice walker attend?</t>
  </si>
  <si>
    <t>Alice Walker attended Spelman College and Sarah Lawrence College.</t>
  </si>
  <si>
    <t>what schools did barack obama attend?</t>
  </si>
  <si>
    <t>Barack Obama attended Punahou School and Occidental College before transferring to Columbia University and later attending Harvard Law School.</t>
  </si>
  <si>
    <t>where is the french alps located?</t>
  </si>
  <si>
    <t>The French Alps are located in southeastern France.</t>
  </si>
  <si>
    <t>what year was peyton manning's rookie year?</t>
  </si>
  <si>
    <t>who was peter frampton married to?</t>
  </si>
  <si>
    <t>Peter Frampton was married to Barbara Gold.</t>
  </si>
  <si>
    <t>what is the hawaii time zone?</t>
  </si>
  <si>
    <t>The Hawaii time zone is Hawaii-Aleutian Standard Time (HST).</t>
  </si>
  <si>
    <t>who has coached the baltimore ravens?</t>
  </si>
  <si>
    <t>John Harbaugh has coached the Baltimore Ravens.</t>
  </si>
  <si>
    <t>what teams did manny ramirez play for?</t>
  </si>
  <si>
    <t>Manny Ramirez played for the Cleveland Indians, Boston Red Sox, Los Angeles Dodgers, Chicago White Sox, and Tampa Bay Rays.</t>
  </si>
  <si>
    <t>what type of government does iraq have 2012?</t>
  </si>
  <si>
    <t>Iraq has a parliamentary democracy as its form of government in 2012.</t>
  </si>
  <si>
    <t>what other jobs did benjamin franklin have?</t>
  </si>
  <si>
    <t>In addition to being a Founding Father, Benjamin Franklin had various other jobs including printer, author, scientist, inventor, postmaster, and diplomat.</t>
  </si>
  <si>
    <t>who was gregor mendel and what did he contribute to science?</t>
  </si>
  <si>
    <t>Gregor Mendel was an Austrian monk and scientist who is known as the father of modern genetics. He conducted experiments with pea plants and discovered the principles of inheritance, including the rules of dominant and recessive traits. His work laid the foundation for understanding the mechanisms of genetic inheritance.</t>
  </si>
  <si>
    <t>who plays harold saxon in doctor who?</t>
  </si>
  <si>
    <t>John Simm</t>
  </si>
  <si>
    <t>what year was the first miss america pageant?</t>
  </si>
  <si>
    <t>what kind of guitar does lindsey buckingham play?</t>
  </si>
  <si>
    <t>Lindsey Buckingham plays an acoustic and electric guitar.</t>
  </si>
  <si>
    <t>what college did joe namath attend?</t>
  </si>
  <si>
    <t>where to stay near asheville?</t>
  </si>
  <si>
    <t>Blue Ridge Mountains area or downtown Asheville.</t>
  </si>
  <si>
    <t>what city uses gmt?</t>
  </si>
  <si>
    <t>London uses GMT (Greenwich Mean Time).</t>
  </si>
  <si>
    <t>where does the zambezi river begin?</t>
  </si>
  <si>
    <t>The Zambezi River begins in Zambia.</t>
  </si>
  <si>
    <t>what county is duluth minnesota in?</t>
  </si>
  <si>
    <t>St. Louis County.</t>
  </si>
  <si>
    <t>what zip code is chicago il?</t>
  </si>
  <si>
    <t>606xx</t>
  </si>
  <si>
    <t>what is the political system in argentina?</t>
  </si>
  <si>
    <t>The political system in Argentina is a federal presidential representative democratic republic.</t>
  </si>
  <si>
    <t>what did andrew johnson die from?</t>
  </si>
  <si>
    <t>Andrew Johnson died from a stroke.</t>
  </si>
  <si>
    <t>who is the governor of oregon 2012?</t>
  </si>
  <si>
    <t>The governor of Oregon in 2012 was John Kitzhaber.</t>
  </si>
  <si>
    <t>what city is mt st helens in?</t>
  </si>
  <si>
    <t>Mount St. Helens is located in Skamania County, Washington.</t>
  </si>
  <si>
    <t>what is janelle monae famous for?</t>
  </si>
  <si>
    <t>Janelle Monae is famous for being a singer, songwriter, actress, and activist.</t>
  </si>
  <si>
    <t>what continent is mexico located on?</t>
  </si>
  <si>
    <t>who created the ancient language in alagaesia?</t>
  </si>
  <si>
    <t>Christopher Paolini</t>
  </si>
  <si>
    <t>what four regions make up the united kingdom?</t>
  </si>
  <si>
    <t>The four regions that make up the United Kingdom are England, Scotland, Wales, and Northern Ireland.</t>
  </si>
  <si>
    <t>what does time warner own?</t>
  </si>
  <si>
    <t>Time Warner owns multiple media and entertainment companies, including CNN, HBO, Warner Bros. Entertainment, and Turner Broadcasting System.</t>
  </si>
  <si>
    <t>where did the roma people come from?</t>
  </si>
  <si>
    <t>The Roma people originated from India.</t>
  </si>
  <si>
    <t>what language do most native americans speak?</t>
  </si>
  <si>
    <t>Most Native Americans speak English.</t>
  </si>
  <si>
    <t>what kind of political system does iran have?</t>
  </si>
  <si>
    <t>where was anne hathaway born?</t>
  </si>
  <si>
    <t>Anne Hathaway was born in Brooklyn, New York.</t>
  </si>
  <si>
    <t>who did bryce dallas howard play in eclipse?</t>
  </si>
  <si>
    <t>Bryce Dallas Howard played the character Victoria in Eclipse.</t>
  </si>
  <si>
    <t>who owns audi 2011?</t>
  </si>
  <si>
    <t>The owner of an Audi 2011 would vary depending on the specific individual or organization who purchased the vehicle.</t>
  </si>
  <si>
    <t>where did andrew young go to school?</t>
  </si>
  <si>
    <t>Andrew Young attended Howard University for his undergraduate degree and earned his law degree from the Hartford Seminary Foundation in Connecticut.</t>
  </si>
  <si>
    <t>who started twa airlines?</t>
  </si>
  <si>
    <t>Howard Hughes started TWA (Trans World Airlines).</t>
  </si>
  <si>
    <t>what are the two dialects of chinese?</t>
  </si>
  <si>
    <t>The two dialects of Chinese are Mandarin and Cantonese.</t>
  </si>
  <si>
    <t>who was michael jackson in the wiz?</t>
  </si>
  <si>
    <t>Michael Jackson played the role of the Scarecrow in the movie "The Wiz."</t>
  </si>
  <si>
    <t>where is washington dc located what state?</t>
  </si>
  <si>
    <t>Washington, D.C. is located in the District of Columbia, not in any state.</t>
  </si>
  <si>
    <t>what county is duluth in?</t>
  </si>
  <si>
    <t>Duluth is in St. Louis County.</t>
  </si>
  <si>
    <t>what state in chicago in?</t>
  </si>
  <si>
    <t>Chicago is not a state, it is a city. It is located in the state of Illinois.</t>
  </si>
  <si>
    <t>what is the major language spoken in greece?</t>
  </si>
  <si>
    <t>who wrote luke bryan's drunk on you?</t>
  </si>
  <si>
    <t>The song "Drunk on You" was written by Rodney Clawson and Chris Tompkins.</t>
  </si>
  <si>
    <t>what time is it in japan 24 hour clock?</t>
  </si>
  <si>
    <t>It is currently [current time] in Japan.</t>
  </si>
  <si>
    <t>what part of the atom did chadwick discover?</t>
  </si>
  <si>
    <t>Chadwick discovered the neutron.</t>
  </si>
  <si>
    <t>what state is barack obama senator for?</t>
  </si>
  <si>
    <t>Barack Obama was a senator for the state of Illinois.</t>
  </si>
  <si>
    <t>what kinda music does john mayer sing?</t>
  </si>
  <si>
    <t>John Mayer sings a variety of genres including pop, rock, blues, and folk.</t>
  </si>
  <si>
    <t>what will happen to greece when it defaults?</t>
  </si>
  <si>
    <t>When Greece defaults, it is likely to face severe economic consequences such as a financial crisis, loss of access to international markets, potential bank failures, and economic turmoil.</t>
  </si>
  <si>
    <t>what boudicca do?</t>
  </si>
  <si>
    <t>Boudicca was the queen of the Celtic Iceni tribe who led a rebellion against the Roman Empire in Britain.</t>
  </si>
  <si>
    <t>what oprah thinks about god?</t>
  </si>
  <si>
    <t>Oprah's beliefs about God are personal and have evolved over time. She has talked about having a spiritual connection and believes in a higher power, but she is open to different perspectives and religious beliefs.</t>
  </si>
  <si>
    <t>what language do brazil speak?</t>
  </si>
  <si>
    <t>Portuguese.</t>
  </si>
  <si>
    <t>where did sir john a macdonald die?</t>
  </si>
  <si>
    <t>Sir John A. Macdonald died in Ottawa, Canada</t>
  </si>
  <si>
    <t>what kind of money in aruba?</t>
  </si>
  <si>
    <t>The currency in Aruba is the Aruban florin.</t>
  </si>
  <si>
    <t>what is the date today in perth?</t>
  </si>
  <si>
    <t>My apologies, but I'm not able to provide the current date.</t>
  </si>
  <si>
    <t>where did martin luther king jr get shot?</t>
  </si>
  <si>
    <t>Martin Luther King Jr. was shot and killed at the Lorraine Motel in Memphis, Tennessee.</t>
  </si>
  <si>
    <t>what country does spanish come from?</t>
  </si>
  <si>
    <t>what is south korea's capital city?</t>
  </si>
  <si>
    <t>Seoul</t>
  </si>
  <si>
    <t>who was darth vader in episode 3?</t>
  </si>
  <si>
    <t>Anakin Skywalker.</t>
  </si>
  <si>
    <t>when does ellen air?</t>
  </si>
  <si>
    <t>The Ellen show airs on weekdays.</t>
  </si>
  <si>
    <t>what is the currency in the republic of congo?</t>
  </si>
  <si>
    <t>The currency in the Republic of Congo is the Central African CFA franc.</t>
  </si>
  <si>
    <t>what does obama have a degree in?</t>
  </si>
  <si>
    <t>Obama has a degree in political science.</t>
  </si>
  <si>
    <t>who is the political leader of japan?</t>
  </si>
  <si>
    <t>The current political leader of Japan is Yoshihide Suga.</t>
  </si>
  <si>
    <t>what country did giovanni da verrazano represent?</t>
  </si>
  <si>
    <t>Giovanni da Verrazano represented Italy.</t>
  </si>
  <si>
    <t>when was saint nicholas died?</t>
  </si>
  <si>
    <t>Saint Nicholas is believed to have died on December 6th, 343 AD.</t>
  </si>
  <si>
    <t>what countries does germany share borders with?</t>
  </si>
  <si>
    <t>Germany shares borders with 9 countries: Denmark, Poland, Czech Republic, Austria, Switzerland, France, Belgium, Luxembourg, and the Netherlands.</t>
  </si>
  <si>
    <t>what city is the jacksonville jaguars from?</t>
  </si>
  <si>
    <t>Jacksonville, Florida</t>
  </si>
  <si>
    <t>when is the last time the raiders won a championship?</t>
  </si>
  <si>
    <t>The last time the Raiders won a championship was in 1983.</t>
  </si>
  <si>
    <t>where is the time zone in florida?</t>
  </si>
  <si>
    <t>who created youtube and when?</t>
  </si>
  <si>
    <t>YouTube was created by three former PayPal employees—Chad Hurley, Steve Chen, and Jawed Karim—in February 2005.</t>
  </si>
  <si>
    <t>what county is clearwater fl in?</t>
  </si>
  <si>
    <t>Pinellas County</t>
  </si>
  <si>
    <t>what type of political system is spain?</t>
  </si>
  <si>
    <t>Spain is a constitutional monarchy.</t>
  </si>
  <si>
    <t>what happened to farrah and her baby daddy?</t>
  </si>
  <si>
    <t>I'm sorry, but I can't provide any information as I am an AI language model and do not have real-time access to current events or personal information.</t>
  </si>
  <si>
    <t>what are the names of snoopy brothers and sisters?</t>
  </si>
  <si>
    <t>Snoopy's siblings are Spike, Belle, Marbles, Olaf, Andy, and Molly.</t>
  </si>
  <si>
    <t>what is the laguna beach theme song?</t>
  </si>
  <si>
    <t>The theme song for Laguna Beach is called "Unwritten" by Natasha Bedingfield.</t>
  </si>
  <si>
    <t>what was the cause of death for edgar allan poe?</t>
  </si>
  <si>
    <t>The cause of death for Edgar Allan Poe is still unknown.</t>
  </si>
  <si>
    <t>what is thomas edison's most famous for?</t>
  </si>
  <si>
    <t>Thomas Edison is most famous for inventing the practical incandescent light bulb.</t>
  </si>
  <si>
    <t>what does jennifer lopez do?</t>
  </si>
  <si>
    <t>Jennifer Lopez is a singer, actress, and producer.</t>
  </si>
  <si>
    <t>what country was dmitri mendeleev born?</t>
  </si>
  <si>
    <t>Dmitri Mendeleev was born in Russia.</t>
  </si>
  <si>
    <t>where did pres obama go to high school?</t>
  </si>
  <si>
    <t>Pres Obama went to Punahou School for high school.</t>
  </si>
  <si>
    <t>what is the capital city of west germany?</t>
  </si>
  <si>
    <t>The capital city of West Germany was Bonn.</t>
  </si>
  <si>
    <t>what money system does australia use?</t>
  </si>
  <si>
    <t>Australia uses the Australian dollar as its currency.</t>
  </si>
  <si>
    <t>when did herman cain run for president?</t>
  </si>
  <si>
    <t>Herman Cain ran for president in 2012.</t>
  </si>
  <si>
    <t>who is caroline spencer jr s father?</t>
  </si>
  <si>
    <t>Caroline Spencer Jr's father is Ridge Forrester.</t>
  </si>
  <si>
    <t>when is the us open tennis mens final 2011?</t>
  </si>
  <si>
    <t>The US Open tennis men's final in 2011 took place on September 12th.</t>
  </si>
  <si>
    <t>where does president barack obama live?</t>
  </si>
  <si>
    <t>President Barack Obama currently lives in Washington, D.C.</t>
  </si>
  <si>
    <t>where does nick diaz fight?</t>
  </si>
  <si>
    <t>Nick Diaz fights in Mixed Martial Arts (MMA) promotions, with his most notable fights taking place in the Ultimate Fighting Championship (UFC).</t>
  </si>
  <si>
    <t>where did st louis tornado hit?</t>
  </si>
  <si>
    <t>The St. Louis tornado hit the city of St. Louis in Missouri.</t>
  </si>
  <si>
    <t>what did whitney houston die of?</t>
  </si>
  <si>
    <t>Whitney Houston died of accidental drowning.</t>
  </si>
  <si>
    <t>what movies has selena gomez starred in?</t>
  </si>
  <si>
    <t>Some movies Selena Gomez has starred in are "Spring Breakers," "Monte Carlo," and "Hotel Transylvania."</t>
  </si>
  <si>
    <t>what highschool did khloe kardashian go to?</t>
  </si>
  <si>
    <t>Marymount High School.</t>
  </si>
  <si>
    <t>who is the 2011 heisman trophy winner?</t>
  </si>
  <si>
    <t>The 2011 Heisman Trophy winner was Robert Griffin III.</t>
  </si>
  <si>
    <t>what to do in midland tx this weekend?</t>
  </si>
  <si>
    <t>Some possible activities in Midland, TX this weekend could include visiting local attractions such as museums or parks, trying out local restaurants or food trucks, participating in outdoor activities like hiking or biking, or attending any events or concerts happening in the area.</t>
  </si>
  <si>
    <t>who played freddy in friday the 13th?</t>
  </si>
  <si>
    <t>Ari Lehman played Freddy in Friday the 13th.</t>
  </si>
  <si>
    <t>what contribution did hooke made to science in 1665?</t>
  </si>
  <si>
    <t>Robert Hooke made various contributions to science in 1665, including his discovery of cells while studying cork using a microscope.</t>
  </si>
  <si>
    <t>what countries make up great britain and what are their capitals?</t>
  </si>
  <si>
    <t>Countries that make up Great Britain include England, Scotland, and Wales. The capitals of these countries are London, Edinburgh, and Cardiff, respectively.</t>
  </si>
  <si>
    <t>what did eli whitney invented?</t>
  </si>
  <si>
    <t>Eli Whitney invented the cotton gin.</t>
  </si>
  <si>
    <t>what movies has angelina jolie in?</t>
  </si>
  <si>
    <t>Angelina Jolie has appeared in several movies including Lara Croft: Tomb Raider, Mr. &amp; Mrs. Smith, and Maleficent.</t>
  </si>
  <si>
    <t>what radio station does uga football come on?</t>
  </si>
  <si>
    <t>The radio station where UGA football comes on can vary depending on the specific game and location. It is best to check the local listings or the UGA Athletics website for the most accurate information.</t>
  </si>
  <si>
    <t>who owns the chrysler corporation?</t>
  </si>
  <si>
    <t>Stellantis owns the Chrysler Corporation.</t>
  </si>
  <si>
    <t>where was george washington originally from?</t>
  </si>
  <si>
    <t>George Washington was originally from Virginia.</t>
  </si>
  <si>
    <t>what country christopher columbus from?</t>
  </si>
  <si>
    <t>Italy.</t>
  </si>
  <si>
    <t>who was michael j fox?</t>
  </si>
  <si>
    <t>Michael J. Fox was a Canadian-American actor, best known for his roles in the Back to the Future film series.</t>
  </si>
  <si>
    <t>what movies did jenna dewan play in?</t>
  </si>
  <si>
    <t>Jenna Dewan has appeared in movies such as "Step Up," "Take the Lead," and "Tamara."</t>
  </si>
  <si>
    <t>what is the bosnian language?</t>
  </si>
  <si>
    <t>Bosnian language is one of the official languages of Bosnia and Herzegovina.</t>
  </si>
  <si>
    <t>what is father name of salman khan?</t>
  </si>
  <si>
    <t>Salim Khan</t>
  </si>
  <si>
    <t>where is shawn johnson gymnast from?</t>
  </si>
  <si>
    <t>Shawn Johnson is from the United States.</t>
  </si>
  <si>
    <t>what kind of money does the ivory coast use?</t>
  </si>
  <si>
    <t>The Ivory Coast uses the West African CFA franc as its currency.</t>
  </si>
  <si>
    <t>what writers influenced charles dickens?</t>
  </si>
  <si>
    <t>Some writers who influenced Charles Dickens include William Shakespeare, Henry Fielding, Tobias Smollett, and Jonathan Swift.</t>
  </si>
  <si>
    <t>where is roger federer from sui?</t>
  </si>
  <si>
    <t>Roger Federer is from Switzerland.</t>
  </si>
  <si>
    <t>what money should i bring to dominican?</t>
  </si>
  <si>
    <t>It is recommended to bring Dominican Pesos when traveling to the Dominican Republic.</t>
  </si>
  <si>
    <t>what is michael buble's style of music?</t>
  </si>
  <si>
    <t>Michael Bublé's style of music is primarily pop and traditional pop.</t>
  </si>
  <si>
    <t>where did the florida marlins?</t>
  </si>
  <si>
    <t>The Florida Marlins played in Miami, Florida.</t>
  </si>
  <si>
    <t>what movies did taylor lautner star in?</t>
  </si>
  <si>
    <t>Some movies Taylor Lautner starred in include "Twilight," "The Twilight Saga: New Moon," "The Twilight Saga: Eclipse," and "Abduction."</t>
  </si>
  <si>
    <t>what did nixon do when he was president?</t>
  </si>
  <si>
    <t>When he was president, Nixon implemented various policies such as the New Economic Policy, pursued detente with the Soviet Union, established the Environmental Protection Agency, and signed the Paris Peace Accords to end the Vietnam War.</t>
  </si>
  <si>
    <t>what do egyptians speak?</t>
  </si>
  <si>
    <t>Egyptians speak Arabic.</t>
  </si>
  <si>
    <t>what language did the egyptians?</t>
  </si>
  <si>
    <t>The Egyptians spoke ancient Egyptian.</t>
  </si>
  <si>
    <t>who plays sarah marshall?</t>
  </si>
  <si>
    <t>Jason Segel plays Sarah Marshall.</t>
  </si>
  <si>
    <t>what did skinner believe?</t>
  </si>
  <si>
    <t>Skinner believed in the theory of behaviorism and that behavior is influenced by environmental factors rather than internal states.</t>
  </si>
  <si>
    <t>when did babe ruth start playing baseball in the mlb?</t>
  </si>
  <si>
    <t>Babe Ruth started playing baseball in the MLB in 1914.</t>
  </si>
  <si>
    <t>what type of monarchy did england have during the glorious revolution?</t>
  </si>
  <si>
    <t>who plays marlo on the wire?</t>
  </si>
  <si>
    <t>Jamie Hector.</t>
  </si>
  <si>
    <t>what is the zip code for inglewood california?</t>
  </si>
  <si>
    <t>The zip code for Inglewood, California is 90301.</t>
  </si>
  <si>
    <t>who was the first actor to play edward quartermaine?</t>
  </si>
  <si>
    <t>David Lewis</t>
  </si>
  <si>
    <t>where did the founder of google go to college?</t>
  </si>
  <si>
    <t>The founder of Google, Larry Page, attended Stanford University for his college education.</t>
  </si>
  <si>
    <t>what currency is used in germany 2012?</t>
  </si>
  <si>
    <t>The currency used in Germany in 2012 was the Euro.</t>
  </si>
  <si>
    <t>what made roald dahl famous?</t>
  </si>
  <si>
    <t>Roald Dahl became famous for his children's books, including "Charlie and the Chocolate Factory" and "Matilda."</t>
  </si>
  <si>
    <t>what school did martin luther king jr attend?</t>
  </si>
  <si>
    <t>Martin Luther King Jr. attended Morehouse College, Crozer Theological Seminary, and Boston University.</t>
  </si>
  <si>
    <t>who did lenny kravitz marry?</t>
  </si>
  <si>
    <t>Lenny Kravitz married actress Lisa Bonet.</t>
  </si>
  <si>
    <t>what is the second official language of canada?</t>
  </si>
  <si>
    <t>French</t>
  </si>
  <si>
    <t>who coached the dallas cowboys in 1996?</t>
  </si>
  <si>
    <t>Barry Switzer.</t>
  </si>
  <si>
    <t>what country did ponce de leon live in?</t>
  </si>
  <si>
    <t>Ponce de Leon lived in Spain.</t>
  </si>
  <si>
    <t>what is the language called in russia?</t>
  </si>
  <si>
    <t>The language in Russia is called Russian.</t>
  </si>
  <si>
    <t>what does the name austin stand for?</t>
  </si>
  <si>
    <t>The name Austin means "great" or "magnificent."</t>
  </si>
  <si>
    <t>who does hank baskett play for now nov 2010?</t>
  </si>
  <si>
    <t>Hank Baskett does not currently play for any team as of November 2010.</t>
  </si>
  <si>
    <t>who was the president of the us in 1971?</t>
  </si>
  <si>
    <t>Richard Nixon.</t>
  </si>
  <si>
    <t>what team did ronaldo play for?</t>
  </si>
  <si>
    <t>Ronaldo played for several teams throughout his career, including Sporting Lisbon, Manchester United, Real Madrid, Juventus, and currently plays for Al Nassr.</t>
  </si>
  <si>
    <t>what to do today in birmingham uk?</t>
  </si>
  <si>
    <t>There are several things you can do in Birmingham, UK today. Some options include visiting museums such as the Birmingham Museum and Art Gallery or the Thinktank Science Museum, exploring the canals in Brindleyplace, shopping at the Bullring Shopping Centre, or enjoying a walk in one of the city's many parks such as Cannon Hill Park or Sutton Park.</t>
  </si>
  <si>
    <t>who was timothy mcveigh accomplice?</t>
  </si>
  <si>
    <t>Terry Nichols.</t>
  </si>
  <si>
    <t>how old is the current president of north korea?</t>
  </si>
  <si>
    <t>As of September 2021, the current president of North Korea, Kim Jong-un, is believed to be 36 years old.</t>
  </si>
  <si>
    <t>what show does tamera mowry play on?</t>
  </si>
  <si>
    <t>Tamera Mowry plays on "Sister, Sister."</t>
  </si>
  <si>
    <t>what language do the people speak in australia?</t>
  </si>
  <si>
    <t>what college is in greeley colorado?</t>
  </si>
  <si>
    <t>University of Northern Colorado.</t>
  </si>
  <si>
    <t>what countries does the niger river flow through?</t>
  </si>
  <si>
    <t>The Niger River flows through the countries of Guinea, Mali, Niger, Benin, and Nigeria.</t>
  </si>
  <si>
    <t>what is the official state flower of arizona?</t>
  </si>
  <si>
    <t>The official state flower of Arizona is the Saguaro Cactus Blossom.</t>
  </si>
  <si>
    <t>what religion are most people in pakistan?</t>
  </si>
  <si>
    <t>Islam</t>
  </si>
  <si>
    <t>where is pyramids located in egypt?</t>
  </si>
  <si>
    <t>The pyramids are located in Giza, Egypt.</t>
  </si>
  <si>
    <t>what games did bungie make?</t>
  </si>
  <si>
    <t>Bungie made games such as the Halo series and Destiny.</t>
  </si>
  <si>
    <t>who does cristiano ronaldo play for 2012?</t>
  </si>
  <si>
    <t>Cristiano Ronaldo played for Real Madrid in 2012.</t>
  </si>
  <si>
    <t>what type of laws did mary harris jones demand?</t>
  </si>
  <si>
    <t>Mary Harris Jones, also known as Mother Jones, demanded labor rights and protections for workers, including better working conditions, fair wages, and an end to child labor.</t>
  </si>
  <si>
    <t>what team did kobe bryant play for first?</t>
  </si>
  <si>
    <t>The team Kobe Bryant played for first was the Los Angeles Lakers.</t>
  </si>
  <si>
    <t>what kind of government does vietnam have?</t>
  </si>
  <si>
    <t>Vietnam has a socialist republic form of government.</t>
  </si>
  <si>
    <t>what language do the speak in switzerland?</t>
  </si>
  <si>
    <t>Switzerland has four official languages: German, French, Italian, and Romansh.</t>
  </si>
  <si>
    <t>where to stay in rome neighborhood?</t>
  </si>
  <si>
    <t>Trastevere, Centro Storico, and Monti are popular neighborhoods to consider staying in Rome.</t>
  </si>
  <si>
    <t>what style of art did van gogh produce?</t>
  </si>
  <si>
    <t>Van Gogh produced the style of art known as post-impressionism.</t>
  </si>
  <si>
    <t>what is american pie about song?</t>
  </si>
  <si>
    <t>"American Pie" is a song by Don McLean that references significant events and cultural icons of the 1950s and 1960s, and is often interpreted as an allegory of the decline of American innocence and ideals during that time period.</t>
  </si>
  <si>
    <t>what are portuguese people considered?</t>
  </si>
  <si>
    <t>Portuguese people are considered as citizens of Portugal.</t>
  </si>
  <si>
    <t>what movies did angelina jolie star in?</t>
  </si>
  <si>
    <t>Some movies that Angelina Jolie starred in include "Lara Croft: Tomb Raider," "Maleficent," "Salt," "Wanted," and "Mr. &amp; Mrs. Smith."</t>
  </si>
  <si>
    <t>where was ancient carthage located?</t>
  </si>
  <si>
    <t>Ancient Carthage was located in present-day Tunisia.</t>
  </si>
  <si>
    <t>what type of paintings did marc chagall do?</t>
  </si>
  <si>
    <t>Marc Chagall primarily did paintings in a style that merged elements of Cubism and Fauvism with his own distinctive imagery and symbolism.</t>
  </si>
  <si>
    <t>what did heisenberg say about electrons?</t>
  </si>
  <si>
    <t>Heisenberg stated that the precise position and momentum of an electron cannot be simultaneously determined.</t>
  </si>
  <si>
    <t>what movies did howard shore wrote the music for?</t>
  </si>
  <si>
    <t>Howard Shore wrote the music for movies such as The Lord of the Rings trilogy, The Hobbit trilogy, and The Aviator.</t>
  </si>
  <si>
    <t>what does chilean people speak?</t>
  </si>
  <si>
    <t>Chilean people speak Spanish.</t>
  </si>
  <si>
    <t>what were frederick douglass achievements?</t>
  </si>
  <si>
    <t>Frederick Douglass' achievements include being a prominent abolitionist, writer, speaker, and statesman. He also played a significant role in pushing for the end of slavery and advocating for equal rights for all individuals.</t>
  </si>
  <si>
    <t>who plays kenneth on 30 rock?</t>
  </si>
  <si>
    <t>Jack McBrayer</t>
  </si>
  <si>
    <t>when do they have the olympics?</t>
  </si>
  <si>
    <t>The Olympics are held every four years.</t>
  </si>
  <si>
    <t>what is zip code for davenport iowa?</t>
  </si>
  <si>
    <t>The zip code for Davenport, Iowa is 52801.</t>
  </si>
  <si>
    <t>where is riley's farm located?</t>
  </si>
  <si>
    <t>Riley's Farm is located in Oak Glen, California.</t>
  </si>
  <si>
    <t>who is the current coach of the new york knicks?</t>
  </si>
  <si>
    <t>The current coach of the New York Knicks is Tom Thibodeau.</t>
  </si>
  <si>
    <t>what was the name of william shakespeare's children?</t>
  </si>
  <si>
    <t>Susanna, Judith, and Hamnet.</t>
  </si>
  <si>
    <t>what organization did dr. carter g. woodson found?</t>
  </si>
  <si>
    <t>Dr. Carter G. Woodson founded the Association for the Study of African American Life and History (ASALH).</t>
  </si>
  <si>
    <t>who owns the steelers football team?</t>
  </si>
  <si>
    <t>The Rooney family.</t>
  </si>
  <si>
    <t>what currency does jamaica accept?</t>
  </si>
  <si>
    <t>Jamaica accepts the Jamaican dollar as its currency.</t>
  </si>
  <si>
    <t>who played howard stern in private parts?</t>
  </si>
  <si>
    <t>Howard Stern played himself in the film "Private Parts".</t>
  </si>
  <si>
    <t>when countries joined the european union?</t>
  </si>
  <si>
    <t>Various countries joined the European Union at different times. The first six countries (Belgium, Germany, France, Italy, Luxembourg, and the Netherlands) joined in 1957. Since then, many other countries have joined at various points in time, such as the UK in 1973 and Croatia in 2013.</t>
  </si>
  <si>
    <t>what inventions did leonardo da vinci made?</t>
  </si>
  <si>
    <t>Leonardo da Vinci invented various things including a flying machine, a parachute, and a self-propelled cart, among others.</t>
  </si>
  <si>
    <t>which team does ronaldinho play for?</t>
  </si>
  <si>
    <t>Ronaldinho has retired from professional soccer.</t>
  </si>
  <si>
    <t>where is eric cantor from?</t>
  </si>
  <si>
    <t>Eric Cantor is from Richmond, Virginia, United States.</t>
  </si>
  <si>
    <t>what is the currency of sweden called?</t>
  </si>
  <si>
    <t>The currency of Sweden is called the Swedish Krona.</t>
  </si>
  <si>
    <t>what school did cam newton go to before auburn?</t>
  </si>
  <si>
    <t>Cam Newton attended Blinn College before transferring to Auburn University.</t>
  </si>
  <si>
    <t>where did tim mcgraw grew up?</t>
  </si>
  <si>
    <t>Tim McGraw grew up in Start, Louisiana.</t>
  </si>
  <si>
    <t>when did ny giants win the superbowl?</t>
  </si>
  <si>
    <t>The NY Giants have won the Super Bowl four times: in 1987, 1991, 2008, and 2012.</t>
  </si>
  <si>
    <t>when did kerry run for president?</t>
  </si>
  <si>
    <t>Kerry ran for president in 2004.</t>
  </si>
  <si>
    <t>what's sweden's currency?</t>
  </si>
  <si>
    <t>The currency of Sweden is the Swedish krona (SEK).</t>
  </si>
  <si>
    <t>what currency does greece use?</t>
  </si>
  <si>
    <t>Greece uses the Euro.</t>
  </si>
  <si>
    <t>who does sonny bill williams play for 2012?</t>
  </si>
  <si>
    <t>Sonny Bill Williams played for the Sydney Roosters in 2012.</t>
  </si>
  <si>
    <t>who are senators from utah?</t>
  </si>
  <si>
    <t>The current senators from Utah are Mike Lee and Mitt Romney.</t>
  </si>
  <si>
    <t>what is the zip code for georgetown ga?</t>
  </si>
  <si>
    <t>The zip code for Georgetown, GA is 39854.</t>
  </si>
  <si>
    <t>who did michael vick play for in 2008?</t>
  </si>
  <si>
    <t>Michael Vick played for the Philadelphia Eagles in 2008.</t>
  </si>
  <si>
    <t>when was the last shark attack in maui?</t>
  </si>
  <si>
    <t>The last shark attack in Maui was on April 9, 2021.</t>
  </si>
  <si>
    <t>what type of government did egypt have?</t>
  </si>
  <si>
    <t>Egypt has a presidential system of government.</t>
  </si>
  <si>
    <t>where is rihanna from ethnically?</t>
  </si>
  <si>
    <t>Rihanna is from Barbados ethnically.</t>
  </si>
  <si>
    <t>where was the assyrian civilization located?</t>
  </si>
  <si>
    <t>The Assyrian civilization was located in ancient Mesopotamia, in what is present-day Iraq, Syria, and Turkey.</t>
  </si>
  <si>
    <t>what did baron de montesquieu die from?</t>
  </si>
  <si>
    <t>Baron de Montesquieu died of a fever.</t>
  </si>
  <si>
    <t>who are the current senators from illinois?</t>
  </si>
  <si>
    <t>Dick Durbin and Tammy Duckworth.</t>
  </si>
  <si>
    <t>what do do in nashville tn?</t>
  </si>
  <si>
    <t>In Nashville, you can visit popular attractions such as the Country Music Hall of Fame, explore the vibrant music scene on Broadway, and enjoy delicious Southern cuisine.</t>
  </si>
  <si>
    <t>what inventions did robert hooke made?</t>
  </si>
  <si>
    <t>Robert Hooke made several inventions including the universal joint, the iris diaphragm, and the balance wheel for watches.</t>
  </si>
  <si>
    <t>who plays patrick jane wife?</t>
  </si>
  <si>
    <t>Robin Tunney</t>
  </si>
  <si>
    <t>what team does derrick rose play for?</t>
  </si>
  <si>
    <t>Derrick Rose currently plays for the New York Knicks.</t>
  </si>
  <si>
    <t>what countries do new zealand export to?</t>
  </si>
  <si>
    <t>New Zealand exports to a wide range of countries including Australia, China, United States, Japan, and the United Kingdom, among others.</t>
  </si>
  <si>
    <t>what type of government does the former soviet union have?</t>
  </si>
  <si>
    <t>The former Soviet Union had a socialist government.</t>
  </si>
  <si>
    <t>what illness did huell howser died of?</t>
  </si>
  <si>
    <t>what car models does gm make?</t>
  </si>
  <si>
    <t>GM makes a variety of car models including Chevrolet, Buick, GMC, and Cadillac.</t>
  </si>
  <si>
    <t>which legend of zelda game is the first?</t>
  </si>
  <si>
    <t>The first Legend of Zelda game is called "The Legend of Zelda" for the Nintendo Entertainment System (NES).</t>
  </si>
  <si>
    <t>what nationality is zack de la rocha?</t>
  </si>
  <si>
    <t>Zack de la Rocha is American.</t>
  </si>
  <si>
    <t>what did mozart die from?</t>
  </si>
  <si>
    <t>Mozart died from a severe illness, possibly rheumatic fever or kidney failure.</t>
  </si>
  <si>
    <t>what years have the steelers won the super bowl?</t>
  </si>
  <si>
    <t>The Pittsburgh Steelers have won the Super Bowl in the following years: 1974, 1975, 1978, 1979, 2005, and 2008.</t>
  </si>
  <si>
    <t>what did doc holliday die from?</t>
  </si>
  <si>
    <t>Doc Holliday died from tuberculosis.</t>
  </si>
  <si>
    <t>what countries does britain own?</t>
  </si>
  <si>
    <t>Britain does not own any countries. However, it has 14 overseas territories around the world.</t>
  </si>
  <si>
    <t>what government does france have?</t>
  </si>
  <si>
    <t>France has a semi-presidential republic.</t>
  </si>
  <si>
    <t>who played dorothy in the film wizard of oz?</t>
  </si>
  <si>
    <t>who was the owner of kfc?</t>
  </si>
  <si>
    <t>Colonel Harland Sanders.</t>
  </si>
  <si>
    <t>where did robin gibb die?</t>
  </si>
  <si>
    <t>Robin Gibb died in London, England.</t>
  </si>
  <si>
    <t>what countries are on the mediterranean sea?</t>
  </si>
  <si>
    <t>The countries on the Mediterranean Sea are Spain, France, Monaco, Italy, Malta, Slovenia, Croatia, Bosnia and Herzegovina, Montenegro, Albania, Greece, Cyprus, Turkey, Syria, Lebanon, Israel, and Egypt.</t>
  </si>
  <si>
    <t>what languages do they speak in russia?</t>
  </si>
  <si>
    <t>The official language of Russia is Russian.</t>
  </si>
  <si>
    <t>who plays jim halpert?</t>
  </si>
  <si>
    <t>John Krasinski.</t>
  </si>
  <si>
    <t>when were the phillies founded?</t>
  </si>
  <si>
    <t>The Phillies were founded in 1883.</t>
  </si>
  <si>
    <t>who is john cabot's parents?</t>
  </si>
  <si>
    <t>John Cabot's parents were Giulio Caboto and Mattea Caboto.</t>
  </si>
  <si>
    <t>what is the capital city of montana usa?</t>
  </si>
  <si>
    <t>The capital city of Montana, USA is Helena.</t>
  </si>
  <si>
    <t>who succeeded william mckinley as president?</t>
  </si>
  <si>
    <t>Theodore Roosevelt.</t>
  </si>
  <si>
    <t>where does jamie chung live?</t>
  </si>
  <si>
    <t>Jamie Chung's current residence is not publicly disclosed.</t>
  </si>
  <si>
    <t>what george washington carver famous for?</t>
  </si>
  <si>
    <t>George Washington Carver was famous for his work as a scientist and inventor, particularly in the field of agriculture and developing innovative uses for peanuts.</t>
  </si>
  <si>
    <t>what is the zip code for wildwood?</t>
  </si>
  <si>
    <t>The zip code for Wildwood is 08260.</t>
  </si>
  <si>
    <t>what money currency does canada use?</t>
  </si>
  <si>
    <t>Canada uses the Canadian Dollar as its currency.</t>
  </si>
  <si>
    <t>where did bronx tale take place?</t>
  </si>
  <si>
    <t>Bronx Tale takes place in the Bronx, New York City.</t>
  </si>
  <si>
    <t>who voices ray in archer?</t>
  </si>
  <si>
    <t>Adam Reed.</t>
  </si>
  <si>
    <t>what kind of money do they use in russia?</t>
  </si>
  <si>
    <t>The currency used in Russia is the Russian Ruble.</t>
  </si>
  <si>
    <t>what does uvm stand for college?</t>
  </si>
  <si>
    <t>UVM stands for the University of Vermont.</t>
  </si>
  <si>
    <t>who plays edward elric?</t>
  </si>
  <si>
    <t>The actor who plays Edward Elric in the Fullmetal Alchemist series is Romi Park (Japanese) and Vic Mignogna (English).</t>
  </si>
  <si>
    <t>what was samuel de champlain searching for?</t>
  </si>
  <si>
    <t>Samuel de Champlain was searching for a passage to the East Indies and China.</t>
  </si>
  <si>
    <t>who plays lola bunny on the looney tunes show?</t>
  </si>
  <si>
    <t>Kristen Wiig</t>
  </si>
  <si>
    <t>what to do in chicago this weekend with kids?</t>
  </si>
  <si>
    <t>Visit the Shedd Aquarium, go on a family-friendly architectural boat tour, check out Millennium Park and the Bean, explore the Chicago Children's Museum, take a stroll along Navy Pier, and enjoy a picnic in Grant Park.</t>
  </si>
  <si>
    <t>what kind of money does germany?</t>
  </si>
  <si>
    <t>The currency used in Germany is the Euro.</t>
  </si>
  <si>
    <t>who did walter raleigh sail for?</t>
  </si>
  <si>
    <t>Walter Raleigh sailed for England.</t>
  </si>
  <si>
    <t>what cities are included in maricopa county?</t>
  </si>
  <si>
    <t>Phoenix, Mesa, Chandler, Glendale, Scottsdale, Gilbert, Tempe, Peoria, Surprise, Avondale, Goodyear, Buckeye, Queen Creek, Fountain Hills, El Mirage, Sun City, Sun City West, Anthem, and Tolleson.</t>
  </si>
  <si>
    <t>where did frank baum live?</t>
  </si>
  <si>
    <t>Frank Baum lived in various places throughout his life, including Chicago, Illinois and California.</t>
  </si>
  <si>
    <t>what time is the grand prix starting?</t>
  </si>
  <si>
    <t>The grand prix is starting at 2:00 PM.</t>
  </si>
  <si>
    <t>what are the places to see in dubai?</t>
  </si>
  <si>
    <t>The Burj Khalifa, Dubai Mall, Palm Jumeirah, Dubai Marina, and the Dubai Museum are some popular places to see in Dubai.</t>
  </si>
  <si>
    <t>where is johnny depp from?</t>
  </si>
  <si>
    <t>Johnny Depp is from Owensboro, Kentucky, United States.</t>
  </si>
  <si>
    <t>what characters does todd haberkorn voice?</t>
  </si>
  <si>
    <t>Todd Haberkorn voices characters in numerous anime and video games, including Natsu Dragneel in Fairy Tail, Haruka Nanase in Free!, and Ling Yao in Fullmetal Alchemist: Brotherhood.</t>
  </si>
  <si>
    <t>where the latin language come from?</t>
  </si>
  <si>
    <t>The Latin language originated in ancient Rome.</t>
  </si>
  <si>
    <t>what language do pakistani people talk?</t>
  </si>
  <si>
    <t>Pakistani people mainly speak Urdu, but there are also various regional languages spoken across different provinces.</t>
  </si>
  <si>
    <t>what does china border?</t>
  </si>
  <si>
    <t>China borders 14 countries: Russia, Mongolia, Kazakhstan, Kyrgyzstan, Tajikistan, Afghanistan, Pakistan, India, Nepal, Bhutan, Myanmar (Burma), Laos, Vietnam, and North Korea.</t>
  </si>
  <si>
    <t>when does the russian league start?</t>
  </si>
  <si>
    <t>The Russian League typically starts in July or August.</t>
  </si>
  <si>
    <t>what was alice walker famous for?</t>
  </si>
  <si>
    <t>Alice Walker is famous for being an American novelist, poet, and activist best known for her novel "The Color Purple," which won the Pulitzer Prize for Fiction in 1983.</t>
  </si>
  <si>
    <t>where did michael jackson went to school?</t>
  </si>
  <si>
    <t>where do haitian people come from?</t>
  </si>
  <si>
    <t>Haitian people primarily come from Haiti, which is located in the Caribbean.</t>
  </si>
  <si>
    <t>where is the time zone in kentucky?</t>
  </si>
  <si>
    <t>Kentucky is located in the Eastern Time Zone.</t>
  </si>
  <si>
    <t>what albums did john frusciante play on?</t>
  </si>
  <si>
    <t>John Frusciante played on several albums with the band Red Hot Chili Peppers, including "Blood Sugar Sex Magik," "Californication," and "Stadium Arcadium."</t>
  </si>
  <si>
    <t>what influenced whitman's poetry?</t>
  </si>
  <si>
    <t>Walt Whitman's poetry was influenced by nature, democracy, and the human body.</t>
  </si>
  <si>
    <t>what did martin luther king jr do in his life?</t>
  </si>
  <si>
    <t>Martin Luther King Jr. was a leader in the civil rights movement. He advocated for racial equality and justice through nonviolent protests, including the famous March on Washington where he delivered his iconic "I Have a Dream" speech.</t>
  </si>
  <si>
    <t>what kind of legal system does australia have?</t>
  </si>
  <si>
    <t>Australia has a common law legal system.</t>
  </si>
  <si>
    <t>where did jimmy hoffa live?</t>
  </si>
  <si>
    <t>Jimmy Hoffa lived in various places throughout his life, but his last known residence was in Lake Orion, Michigan.</t>
  </si>
  <si>
    <t>what role did frederick douglass play in the abolition movement?</t>
  </si>
  <si>
    <t>Frederick Douglass was a prominent leader in the abolition movement.</t>
  </si>
  <si>
    <t>where people speak welsh?</t>
  </si>
  <si>
    <t>People speak Welsh primarily in Wales.</t>
  </si>
  <si>
    <t>what children's books did suzanne collins wrote?</t>
  </si>
  <si>
    <t>Suzanne Collins wrote the "Gregor the Overlander" series and "The Hunger Games" trilogy.</t>
  </si>
  <si>
    <t>what state obama was born?</t>
  </si>
  <si>
    <t>Hawaii.</t>
  </si>
  <si>
    <t>what is the zip code for morgantown in?</t>
  </si>
  <si>
    <t>The zip code for Morgantown, IN is 46160.</t>
  </si>
  <si>
    <t>who is democritus and what did he discover?</t>
  </si>
  <si>
    <t>Democritus was an ancient Greek philosopher who formulated the theory of atomism, suggesting that all matter is composed of tiny, indivisible particles called atoms.</t>
  </si>
  <si>
    <t>who plays bella on twilight?</t>
  </si>
  <si>
    <t>Kristen Stewart.</t>
  </si>
  <si>
    <t>where did gettysburg start?</t>
  </si>
  <si>
    <t>Gettysburg started in Gettysburg, Pennsylvania.</t>
  </si>
  <si>
    <t>who does cristiano ronaldo play for in 2010?</t>
  </si>
  <si>
    <t>Cristiano Ronaldo played for Real Madrid in 2010.</t>
  </si>
  <si>
    <t>where did elvis presley live before he died?</t>
  </si>
  <si>
    <t>Elvis Presley lived in Graceland before he died.</t>
  </si>
  <si>
    <t>what is the currency of germany in 2010?</t>
  </si>
  <si>
    <t>The currency of Germany in 2010 was the Euro.</t>
  </si>
  <si>
    <t>what to do in daytona?</t>
  </si>
  <si>
    <t>Daytona offers various activities such as visiting Daytona Beach, exploring the Daytona International Speedway, enjoying water sports, and visiting the Daytona Beach Boardwalk and Pier.</t>
  </si>
  <si>
    <t>who does paul walker play in fast and furious?</t>
  </si>
  <si>
    <t>Paul Walker played the character Brian O'Conner in the Fast and Furious franchise.</t>
  </si>
  <si>
    <t>who was the vice president during george w bush?</t>
  </si>
  <si>
    <t>Dick Cheney was the vice president during George W. Bush's presidency.</t>
  </si>
  <si>
    <t>where did kevin hart go to school?</t>
  </si>
  <si>
    <t>Kevin Hart attended George Washington High School in Philadelphia, Pennsylvania.</t>
  </si>
  <si>
    <t>where gm cars are built?</t>
  </si>
  <si>
    <t>GM cars are built in various manufacturing plants located around the world.</t>
  </si>
  <si>
    <t>what kind of money do japanese use?</t>
  </si>
  <si>
    <t>where does the name melbourne come from?</t>
  </si>
  <si>
    <t>The name Melbourne is derived from the British Prime Minister William Lamb, 2nd Viscount Melbourne.</t>
  </si>
  <si>
    <t>what currency do the ukraine use?</t>
  </si>
  <si>
    <t>The currency in Ukraine is the hryvnia.</t>
  </si>
  <si>
    <t>what kind of money does chile use?</t>
  </si>
  <si>
    <t>Chile uses the Chilean Peso.</t>
  </si>
  <si>
    <t>what currency do italy have?</t>
  </si>
  <si>
    <t>Italy's currency is the Euro.</t>
  </si>
  <si>
    <t>what are spanish speaking countries and their capitals?</t>
  </si>
  <si>
    <t>Some Spanish-speaking countries and their capitals are:
1. Spain - Madrid
2. Mexico - Mexico City
3. Argentina - Buenos Aires
4. Colombia - Bogota
5. Peru - Lima
6. Venezuela - Caracas
7. Chile - Santiago
8. Ecuador - Quito
9. Cuba - Havana
10. Dominican Republic - Santo Domingo</t>
  </si>
  <si>
    <t>what language does people from denmark speak?</t>
  </si>
  <si>
    <t>Danish.</t>
  </si>
  <si>
    <t>what did susan atkins die of?</t>
  </si>
  <si>
    <t>Susan Atkins died of brain cancer.</t>
  </si>
  <si>
    <t>what type of currency does brazil use?</t>
  </si>
  <si>
    <t>Brazil uses the Brazilian Real as its currency.</t>
  </si>
  <si>
    <t>who plays tommy oliver in power rangers?</t>
  </si>
  <si>
    <t>Jason David Frank.</t>
  </si>
  <si>
    <t>what year did dwight howard won the slam dunk contest?</t>
  </si>
  <si>
    <t>Dwight Howard won the Slam Dunk Contest in 2008.</t>
  </si>
  <si>
    <t>what country did marco polo come from?</t>
  </si>
  <si>
    <t>Marco Polo came from Italy.</t>
  </si>
  <si>
    <t>what were hitler's parents names?</t>
  </si>
  <si>
    <t>Alois Hitler (father) and Klara Hitler (mother).</t>
  </si>
  <si>
    <t>when was the first pope of the catholic church?</t>
  </si>
  <si>
    <t>The first pope of the Catholic Church was Saint Peter, in the 1st century AD.</t>
  </si>
  <si>
    <t>what did amerigo vespucci explore?</t>
  </si>
  <si>
    <t>Amerigo Vespucci explored the coast of South America.</t>
  </si>
  <si>
    <t>what currency do i bring to cuba?</t>
  </si>
  <si>
    <t>Cuban Peso (CUP) or Convertible Peso (CUC).</t>
  </si>
  <si>
    <t>where did patrick henry live?</t>
  </si>
  <si>
    <t>Patrick Henry lived in Virginia.</t>
  </si>
  <si>
    <t>what kind of government does mongolia?</t>
  </si>
  <si>
    <t>Mongolia has a parliamentary republic government.</t>
  </si>
  <si>
    <t>what are some native american holidays?</t>
  </si>
  <si>
    <t>Some Native American holidays include Native American Day, American Indian Heritage Day, and indigenous peoples' day.</t>
  </si>
  <si>
    <t>where did jesse james die?</t>
  </si>
  <si>
    <t>Jesse James died in St. Joseph, Missouri, United States.</t>
  </si>
  <si>
    <t>where is spain located what continent?</t>
  </si>
  <si>
    <t>Spain is located in Europe.</t>
  </si>
  <si>
    <t>what form of government is the philippines?</t>
  </si>
  <si>
    <t>The form of government in the Philippines is a presidential republic.</t>
  </si>
  <si>
    <t>who plays stewie griffin on family guy?</t>
  </si>
  <si>
    <t>what are the two major religions in canada?</t>
  </si>
  <si>
    <t>Christianity and Islam.</t>
  </si>
  <si>
    <t>what kind of government do the canadians have?</t>
  </si>
  <si>
    <t>what happened to sir thomas cromwell?</t>
  </si>
  <si>
    <t>Sir Thomas Cromwell was executed for treason in 1540.</t>
  </si>
  <si>
    <t>what food is from china?</t>
  </si>
  <si>
    <t>Some popular foods from China include dumplings, noodles, rice, stir-fried dishes, and Peking duck.</t>
  </si>
  <si>
    <t>who plays stewie griffin's voice?</t>
  </si>
  <si>
    <t>who did butler beat last night?</t>
  </si>
  <si>
    <t>I'm sorry, I am not capable of providing real-time information.</t>
  </si>
  <si>
    <t>what are the mountains in peru called?</t>
  </si>
  <si>
    <t>The mountains in Peru are called the Andes.</t>
  </si>
  <si>
    <t>which kardashians are having babies?</t>
  </si>
  <si>
    <t>As of now, it has been confirmed that Khloé Kardashian and Kylie Jenner are expecting babies.</t>
  </si>
  <si>
    <t>what is south america made up of?</t>
  </si>
  <si>
    <t>South America is made up of 12 countries.</t>
  </si>
  <si>
    <t>what team does plaxico burress play for?</t>
  </si>
  <si>
    <t>Plaxico Burress is a retired NFL player.</t>
  </si>
  <si>
    <t>where english is spoken in the world?</t>
  </si>
  <si>
    <t>English is spoken in many countries around the world, including the United States, United Kingdom, Canada, Australia, New Zealand, and many more.</t>
  </si>
  <si>
    <t>where is victoria beckham from?</t>
  </si>
  <si>
    <t>Victoria Beckham is from United Kingdom.</t>
  </si>
  <si>
    <t>what office does paul ryan hold?</t>
  </si>
  <si>
    <t>Paul Ryan served as the 54th Speaker of the United States House of Representatives.</t>
  </si>
  <si>
    <t>what type of government does fiji have 2010?</t>
  </si>
  <si>
    <t>Fiji has a democratic government.</t>
  </si>
  <si>
    <t>what country is the iberian peninsula located in?</t>
  </si>
  <si>
    <t>The Iberian Peninsula is located in Spain and Portugal.</t>
  </si>
  <si>
    <t>who is daniel in the bible?</t>
  </si>
  <si>
    <t>Daniel is a prophet in the Bible.</t>
  </si>
  <si>
    <t>who played marty mcfly's dad?</t>
  </si>
  <si>
    <t>Crispin Glover</t>
  </si>
  <si>
    <t>what is george washington's legacy?</t>
  </si>
  <si>
    <t>George Washington's legacy includes his leadership as the first president of the United States, his key role in the American Revolutionary War, and his commitment to upholding democratic values.</t>
  </si>
  <si>
    <t>where to stay in bermuda tripadvisor?</t>
  </si>
  <si>
    <t>You can find recommendations for places to stay in Bermuda on TripAdvisor.</t>
  </si>
  <si>
    <t>which airport is closest to barcelona port?</t>
  </si>
  <si>
    <t>El Prat Airport is the closest airport to Barcelona Port.</t>
  </si>
  <si>
    <t>who is jojo simmons mother?</t>
  </si>
  <si>
    <t>Jojo Simmons' mother is Justine Simmons.</t>
  </si>
  <si>
    <t>where do cherry trees grow in the united states?</t>
  </si>
  <si>
    <t>Cherry trees grow in various regions of the United States including the Pacific Northwest, the Midwest, and the Northeast.</t>
  </si>
  <si>
    <t>who plays john connor in terminator salvation?</t>
  </si>
  <si>
    <t>what year doug williams won the super bowl?</t>
  </si>
  <si>
    <t>Doug Williams won the Super Bowl in 1988.</t>
  </si>
  <si>
    <t>what country was osama bin laden killed in?</t>
  </si>
  <si>
    <t>Pakistan.</t>
  </si>
  <si>
    <t>where did james cook go on his voyages?</t>
  </si>
  <si>
    <t>James Cook went on voyages to various places, including the Pacific Ocean, Australia, New Zealand, and Hawaii.</t>
  </si>
  <si>
    <t>who won the governor election in michigan?</t>
  </si>
  <si>
    <t>The answer to your question depends on the specific election you are referring to. Please provide more information.</t>
  </si>
  <si>
    <t>where did heidi klum and seal get married?</t>
  </si>
  <si>
    <t>Heidi Klum and Seal got married in Mexico.</t>
  </si>
  <si>
    <t>what kind of experiments did humphrey davy do?</t>
  </si>
  <si>
    <t>Humphry Davy conducted various experiments on gases and electrical conductivity.</t>
  </si>
  <si>
    <t>who created the chinese communist party?</t>
  </si>
  <si>
    <t>The Chinese Communist Party was created by Chen Duxiu and Li Dazhao.</t>
  </si>
  <si>
    <t>what timezone is new england usa in?</t>
  </si>
  <si>
    <t>New England USA is in the Eastern Time Zone.</t>
  </si>
  <si>
    <t>what happened to rev. robert schuller?</t>
  </si>
  <si>
    <t>Rev. Robert Schuller passed away on April 2, 2015.</t>
  </si>
  <si>
    <t>who plays the voice of meg in family guy?</t>
  </si>
  <si>
    <t>Mila Kunis.</t>
  </si>
  <si>
    <t>what can you visit in london?</t>
  </si>
  <si>
    <t>In London, you can visit famous landmarks such as the Tower of London, Buckingham Palace, the British Museum, and the Houses of Parliament. You can also explore parks like Hyde Park and visit iconic sites like the London Eye and the River Thames.</t>
  </si>
  <si>
    <t>what form of government does north korea?</t>
  </si>
  <si>
    <t>North Korea has a form of government known as a one-party socialist state.</t>
  </si>
  <si>
    <t>where is located cornell university?</t>
  </si>
  <si>
    <t>Ithaca, New York, United States.</t>
  </si>
  <si>
    <t>who speaks arabic language?</t>
  </si>
  <si>
    <t>Arabic speakers.</t>
  </si>
  <si>
    <t>who played the parents in ferris bueller day off?</t>
  </si>
  <si>
    <t>Cindy Pickett and Lyman Ward.</t>
  </si>
  <si>
    <t>what dialects are spoken in the uk?</t>
  </si>
  <si>
    <t>The main dialects spoken in the UK are English, Scottish Gaelic, Welsh, and Cornish.</t>
  </si>
  <si>
    <t>what should i visit in venice?</t>
  </si>
  <si>
    <t>St. Mark's Square, Doge's Palace, Rialto Bridge, and Grand Canal.</t>
  </si>
  <si>
    <t>where james madison was born?</t>
  </si>
  <si>
    <t>James Madison was born in Port Conway, Virginia.</t>
  </si>
  <si>
    <t>when was the last time iran invaded another country?</t>
  </si>
  <si>
    <t>The last time Iran invaded another country was in 1980 when it invaded Iraq.</t>
  </si>
  <si>
    <t>what did the ottoman empire look like?</t>
  </si>
  <si>
    <t>The Ottoman Empire was an imperial state that existed from the 14th to the early 20th century. It spanned three continents, including parts of Europe, Asia, and Africa. It was known for its diverse and multicultural society, with a central government ruled by a sultan in Constantinople (present-day Istanbul). The empire had a strong military and controlled vast territories, incorporating a variety of cultures and religions under its rule.</t>
  </si>
  <si>
    <t>what team does kareem abdul jabbar play for?</t>
  </si>
  <si>
    <t>Kareem Abdul Jabbar no longer plays for a team as he retired from professional basketball in 1989.</t>
  </si>
  <si>
    <t>who is jeff probst ex wife?</t>
  </si>
  <si>
    <t>Jeff Probst's ex-wife is Shelley Wright.</t>
  </si>
  <si>
    <t>where is tsonga born?</t>
  </si>
  <si>
    <t>Tsonga is born in South Africa.</t>
  </si>
  <si>
    <t>what island is bethany hamilton from?</t>
  </si>
  <si>
    <t>Bethany Hamilton is from the island of Kauai, in Hawaii.</t>
  </si>
  <si>
    <t>what is paige halliwell's powers?</t>
  </si>
  <si>
    <t>Paige Halliwell's powers are telekinesis, orbing, and the ability to telekinetically move objects and beings through space.</t>
  </si>
  <si>
    <t>what did jean jacques rousseau write?</t>
  </si>
  <si>
    <t>Jean-Jacques Rousseau wrote "The Social Contract" and "Emile, or On Education" among other works.</t>
  </si>
  <si>
    <t>what city is the state capital of washington?</t>
  </si>
  <si>
    <t>Olympia</t>
  </si>
  <si>
    <t>what does shawn johnson do?</t>
  </si>
  <si>
    <t>Shawn Johnson is a retired American gymnast.</t>
  </si>
  <si>
    <t>what was the reagan administration known for?</t>
  </si>
  <si>
    <t>The Reagan administration was known for its conservative policies, including tax cuts, deregulation, and a strong stance against communism.</t>
  </si>
  <si>
    <t>where did nadia boulanger live?</t>
  </si>
  <si>
    <t>Nadia Boulanger lived in Paris, France.</t>
  </si>
  <si>
    <t>what year did michael jordan get drafted?</t>
  </si>
  <si>
    <t>Michael Jordan was drafted in the year 1984.</t>
  </si>
  <si>
    <t>what airport do you fly into maui?</t>
  </si>
  <si>
    <t>Kahului Airport.</t>
  </si>
  <si>
    <t>who does mark sanchez play for?</t>
  </si>
  <si>
    <t>Mark Sanchez currently does not play for any NFL team.</t>
  </si>
  <si>
    <t>what sea does the yangtze river empty into?</t>
  </si>
  <si>
    <t>The Yangtze River empties into the East China Sea.</t>
  </si>
  <si>
    <t>what are the main imports and exports of afghanistan?</t>
  </si>
  <si>
    <t>The main exports of Afghanistan are fruits and nuts, textiles, precious and semi-precious stones, and carpets. The main imports of Afghanistan include machinery, petroleum products, food, and textiles.</t>
  </si>
  <si>
    <t>what movies have gerard butler been in?</t>
  </si>
  <si>
    <t>Gerard Butler has appeared in movies such as "300," "P.S. I Love You," and "Olympus Has Fallen."</t>
  </si>
  <si>
    <t>what country is beside france?</t>
  </si>
  <si>
    <t>Spain.</t>
  </si>
  <si>
    <t>what type of government germany have?</t>
  </si>
  <si>
    <t>Germany has a federal parliamentary republic.</t>
  </si>
  <si>
    <t>what is there to do in montpelier vt?</t>
  </si>
  <si>
    <t>Some popular activities in Montpelier, VT include visiting the Vermont State House, exploring Hubbard Park, browsing local shops and galleries, and enjoying outdoor activities such as hiking and biking.</t>
  </si>
  <si>
    <t>who is the leader of japan right now?</t>
  </si>
  <si>
    <t>The current leader of Japan is Prime Minister Yoshihide Suga.</t>
  </si>
  <si>
    <t>when did michael jordan started playing basketball in the nba?</t>
  </si>
  <si>
    <t>Michael Jordan started playing basketball in the NBA in 1984.</t>
  </si>
  <si>
    <t>what movies were michael clarke duncan?</t>
  </si>
  <si>
    <t>Some movies that Michael Clarke Duncan appeared in include "The Green Mile," "Armageddon," and "Sin City."</t>
  </si>
  <si>
    <t>in which city was president kennedy killed?</t>
  </si>
  <si>
    <t>President Kennedy was killed in Dallas, Texas.</t>
  </si>
  <si>
    <t>where is martin cooper from?</t>
  </si>
  <si>
    <t>Martin Cooper is from the United States.</t>
  </si>
  <si>
    <t>what is charlie sheen's dad's name?</t>
  </si>
  <si>
    <t>Charlie Sheen's dad's name is Martin Sheen.</t>
  </si>
  <si>
    <t>how much mlb teams are there?</t>
  </si>
  <si>
    <t>There are 30 MLB teams.</t>
  </si>
  <si>
    <t>what office does boehner hold?</t>
  </si>
  <si>
    <t>John Boehner is a former Speaker of the United States House of Representatives.</t>
  </si>
  <si>
    <t>where do the baltimore ravens play?</t>
  </si>
  <si>
    <t>what sport do the harlem globetrotters play?</t>
  </si>
  <si>
    <t>The Harlem Globetrotters play basketball.</t>
  </si>
  <si>
    <t>who was betty white married too?</t>
  </si>
  <si>
    <t>Betty White was married to Allen Ludden.</t>
  </si>
  <si>
    <t>where is poe buried now?</t>
  </si>
  <si>
    <t>Poe is buried in Baltimore, Maryland.</t>
  </si>
  <si>
    <t>where is danish located?</t>
  </si>
  <si>
    <t>Denmark.</t>
  </si>
  <si>
    <t>what is the best neighborhood to live in dallas?</t>
  </si>
  <si>
    <t>The best neighborhood to live in Dallas depends on personal preferences and needs. Some popular neighborhoods include Uptown, Highland Park, and Deep Ellum.</t>
  </si>
  <si>
    <t>who plays mary jane in spiderman 2?</t>
  </si>
  <si>
    <t>what languages do scottish people speak?</t>
  </si>
  <si>
    <t>Scottish people primarily speak Scottish Gaelic and English.</t>
  </si>
  <si>
    <t>what type of money does brazil have?</t>
  </si>
  <si>
    <t>Brazil has its own currency called the Brazilian Real.</t>
  </si>
  <si>
    <t>who started mary kay?</t>
  </si>
  <si>
    <t>Mary Kay Ash started Mary Kay.</t>
  </si>
  <si>
    <t>what types of government does france have?</t>
  </si>
  <si>
    <t>France has a semi-presidential representative democratic republic.</t>
  </si>
  <si>
    <t>where is mount st helens?</t>
  </si>
  <si>
    <t>Mount St. Helens is located in Washington state, USA.</t>
  </si>
  <si>
    <t>who are the players on the toronto maple leafs?</t>
  </si>
  <si>
    <t>The players on the Toronto Maple Leafs vary and can change over time. It is best to check the team's official roster for an up-to-date list of players.</t>
  </si>
  <si>
    <t>what present day countries use english as their national language?</t>
  </si>
  <si>
    <t>There are six countries that use English as their national language: United States, United Kingdom, Australia, Canada, Ireland, and New Zealand.</t>
  </si>
  <si>
    <t>in which continent is russia?</t>
  </si>
  <si>
    <t>Europe and Asia</t>
  </si>
  <si>
    <t>what to do in ottawa ontario today?</t>
  </si>
  <si>
    <t>There are many things to do in Ottawa, Ontario today. Some options include visiting Parliament Hill, exploring the ByWard Market, or strolling along the Rideau Canal.</t>
  </si>
  <si>
    <t>where did paul ryan live?</t>
  </si>
  <si>
    <t>Paul Ryan lived in Janesville, Wisconsin.</t>
  </si>
  <si>
    <t>who is galileo galilei and what is he famous for?</t>
  </si>
  <si>
    <t>Galileo Galilei was an Italian astronomer, physicist, and mathematician. He is famous for his scientific discoveries and inventions, such as the telescope, improvements to the scientific method, and his support for heliocentrism (the idea that the Earth revolves around the sun).</t>
  </si>
  <si>
    <t>what is the australian open called?</t>
  </si>
  <si>
    <t>The Australian Open.</t>
  </si>
  <si>
    <t>what is the money currency in guatemala?</t>
  </si>
  <si>
    <t>The currency in Guatemala is the Guatemalan quetzal.</t>
  </si>
  <si>
    <t>where is angola located?</t>
  </si>
  <si>
    <t>Angola is located in southern Africa.</t>
  </si>
  <si>
    <t>what is tibetan language?</t>
  </si>
  <si>
    <t>Tibetan language is a Tibetic language spoken mainly in Tibet and other regions in China, Bhutan, Nepal, and India.</t>
  </si>
  <si>
    <t>what is the national flag of russia?</t>
  </si>
  <si>
    <t>The national flag of Russia is a horizontal tricolor of white, blue, and red.</t>
  </si>
  <si>
    <t>when did maria sharapova start playing tennis?</t>
  </si>
  <si>
    <t>Maria Sharapova started playing tennis at the age of four.</t>
  </si>
  <si>
    <t>what sort of government does canada have?</t>
  </si>
  <si>
    <t>what country does mexico trade with?</t>
  </si>
  <si>
    <t>Mexico trades with a variety of countries, including the United States, Canada, China, and Japan, among others.</t>
  </si>
  <si>
    <t>what form of government does australia?</t>
  </si>
  <si>
    <t>Australia has a parliamentary democracy with a constitutional monarchy.</t>
  </si>
  <si>
    <t>what are the official languages of jamaica?</t>
  </si>
  <si>
    <t>The official language of Jamaica is English.</t>
  </si>
  <si>
    <t>where did harriet tubman live after the civil war?</t>
  </si>
  <si>
    <t>After the Civil War, Harriet Tubman lived in Auburn, New York.</t>
  </si>
  <si>
    <t>who was the voice of simba?</t>
  </si>
  <si>
    <t>Matthew Broderick.</t>
  </si>
  <si>
    <t>which country did james cook sailed for?</t>
  </si>
  <si>
    <t>James Cook sailed for England.</t>
  </si>
  <si>
    <t>what is the capital of oregon?</t>
  </si>
  <si>
    <t>Salem.</t>
  </si>
  <si>
    <t>what do spain call their money?</t>
  </si>
  <si>
    <t>what happened after the invasion of normandy?</t>
  </si>
  <si>
    <t>After the invasion of Normandy, also known as D-Day, the Allies successfully established a foothold in France and began their campaign to liberate occupied Europe from Nazi control.</t>
  </si>
  <si>
    <t>who did james franco play on general hospital?</t>
  </si>
  <si>
    <t>James Franco played the character of Franco on General Hospital.</t>
  </si>
  <si>
    <t>which party did lincoln belong to?</t>
  </si>
  <si>
    <t>who plays saruman in lord of the rings?</t>
  </si>
  <si>
    <t>Christopher Lee plays Saruman in Lord of the Rings.</t>
  </si>
  <si>
    <t>where is the best place to visit in the bahamas?</t>
  </si>
  <si>
    <t>The best place to visit in the Bahamas is Nassau.</t>
  </si>
  <si>
    <t>what is the currency of mexico called?</t>
  </si>
  <si>
    <t>The currency of Mexico is called the Mexican Peso.</t>
  </si>
  <si>
    <t>what teams did shaq play 4?</t>
  </si>
  <si>
    <t>Shaq played for the Orlando Magic, Los Angeles Lakers, Miami Heat, Phoenix Suns, Cleveland Cavaliers, and Boston Celtics.</t>
  </si>
  <si>
    <t>what currency does turkey accept?</t>
  </si>
  <si>
    <t>The currency that Turkey accepts is the Turkish Lira.</t>
  </si>
  <si>
    <t>who was vice president under lincoln?</t>
  </si>
  <si>
    <t>what state is the george washington university in?</t>
  </si>
  <si>
    <t>where did andreas vesalius die?</t>
  </si>
  <si>
    <t>Andreas Vesalius died in Zakynthos, Greece.</t>
  </si>
  <si>
    <t>where did paul ryan attend college?</t>
  </si>
  <si>
    <t>Paul Ryan attended Miami University in Ohio.</t>
  </si>
  <si>
    <t>who is ronaldo playing for now?</t>
  </si>
  <si>
    <t>Ronaldo is currently playing for Manchester United.</t>
  </si>
  <si>
    <t>what color are the arizona cardinals uniforms?</t>
  </si>
  <si>
    <t>The Arizona Cardinals' uniforms are primarily red.</t>
  </si>
  <si>
    <t>when was george h.w. bush elected president?</t>
  </si>
  <si>
    <t>George H.W. Bush was elected president in 1988.</t>
  </si>
  <si>
    <t>where was emperor qin shi huang born?</t>
  </si>
  <si>
    <t>Emperor Qin Shi Huang was born in the state of Qin in what is now Shaanxi province, China.</t>
  </si>
  <si>
    <t>where was the first ford motor company located?</t>
  </si>
  <si>
    <t>The first Ford Motor Company was located in Detroit, Michigan.</t>
  </si>
  <si>
    <t>where the seneca indians lived?</t>
  </si>
  <si>
    <t>The Seneca Indians lived in the northeastern part of North America, primarily in what is now New York state.</t>
  </si>
  <si>
    <t>which country does irish language come from?</t>
  </si>
  <si>
    <t>Ireland.</t>
  </si>
  <si>
    <t>what did the harlem renaissance created?</t>
  </si>
  <si>
    <t>The Harlem Renaissance created a vibrant artistic and intellectual movement in the African American community.</t>
  </si>
  <si>
    <t>what movies gerard butler in?</t>
  </si>
  <si>
    <t>Gerard Butler has appeared in movies such as "300," "The Phantom of the Opera," "Olympus Has Fallen," and "Law Abiding Citizen."</t>
  </si>
  <si>
    <t>where did mendeleev died?</t>
  </si>
  <si>
    <t>Mendeleev died in Saint Petersburg, Russia.</t>
  </si>
  <si>
    <t>where is glastonbury uk?</t>
  </si>
  <si>
    <t>Glastonbury is located in Somerset, UK.</t>
  </si>
  <si>
    <t>what language did ancient romans write in?</t>
  </si>
  <si>
    <t>Ancient Romans wrote in Latin.</t>
  </si>
  <si>
    <t>what team does diego forlan currently play for?</t>
  </si>
  <si>
    <t>Diego Forlan currently does not play for any team.</t>
  </si>
  <si>
    <t>what other movies is liam hemsworth in?</t>
  </si>
  <si>
    <t>Some other movies that Liam Hemsworth has been in include "The Last Song," "The Hunger Games" series, "Independence Day: Resurgence," and "Isn't It Romantic."</t>
  </si>
  <si>
    <t>what to do downtown san francisco?</t>
  </si>
  <si>
    <t>Explore iconic landmarks such as the Golden Gate Bridge, visit museums like the San Francisco Museum of Modern Art, shop and dine at Union Square, and take in the vibrant atmosphere of Chinatown.</t>
  </si>
  <si>
    <t>what kind of cancer did bob marley died from?</t>
  </si>
  <si>
    <t>Bob Marley died from melanoma, a type of skin cancer.</t>
  </si>
  <si>
    <t>what religion did jesus christ follow?</t>
  </si>
  <si>
    <t>Jesus Christ followed Judaism.</t>
  </si>
  <si>
    <t>who was luke skywalker played by?</t>
  </si>
  <si>
    <t>who was the secretary of state when richard nixon was president?</t>
  </si>
  <si>
    <t>Henry Kissinger.</t>
  </si>
  <si>
    <t>who does the voice of kovu in lion king?</t>
  </si>
  <si>
    <t>Jason Marsden</t>
  </si>
  <si>
    <t>where did theodore roosevelt live before he became president?</t>
  </si>
  <si>
    <t>Theodore Roosevelt lived in New York before he became president.</t>
  </si>
  <si>
    <t>what year was tom brady drafted?</t>
  </si>
  <si>
    <t>Tom Brady was drafted in the year 2000.</t>
  </si>
  <si>
    <t>what party is bloomberg affiliated with?</t>
  </si>
  <si>
    <t>Michael Bloomberg is affiliated with the Democratic Party.</t>
  </si>
  <si>
    <t>where does t boone pickens live?</t>
  </si>
  <si>
    <t>T. Boone Pickens passed away on September 11, 2019.</t>
  </si>
  <si>
    <t>when did the mets win the pennant?</t>
  </si>
  <si>
    <t>The Mets won the pennant in 1969, 1973, 1986, and 2000.</t>
  </si>
  <si>
    <t>where was saint paul from?</t>
  </si>
  <si>
    <t>Saint Paul was from Tarsus in Cilicia, which is now modern-day Turkey.</t>
  </si>
  <si>
    <t>what is the capital city of germany now?</t>
  </si>
  <si>
    <t>Berlin</t>
  </si>
  <si>
    <t>what countries does japan export to?</t>
  </si>
  <si>
    <t>Japan exports to various countries around the world, including the United States, China, South Korea, Taiwan, and many others.</t>
  </si>
  <si>
    <t>where is arabic the official language?</t>
  </si>
  <si>
    <t>Arabic is the official language in many countries, including Egypt, Saudi Arabia, Iraq, Morocco, and UAE.</t>
  </si>
  <si>
    <t>what continent is syria located in?</t>
  </si>
  <si>
    <t>what events does stephanie rice compete in?</t>
  </si>
  <si>
    <t>Stephanie Rice competes in swimming events.</t>
  </si>
  <si>
    <t>what happened to nelson mandela after he was released from jail?</t>
  </si>
  <si>
    <t>After being released from jail, Nelson Mandela went on to play a crucial role in ending apartheid and becoming the first black President of South Africa.</t>
  </si>
  <si>
    <t>where did charlton heston live?</t>
  </si>
  <si>
    <t>Charlton Heston lived in Beverly Hills, California.</t>
  </si>
  <si>
    <t>where did hurricane irene?</t>
  </si>
  <si>
    <t>Hurricane Irene occurred mainly in the Caribbean Sea and the east coast of the United States.</t>
  </si>
  <si>
    <t>what region is thailand located in?</t>
  </si>
  <si>
    <t>Southeast Asia.</t>
  </si>
  <si>
    <t>who was president when the us navy department was established?</t>
  </si>
  <si>
    <t>John Adams.</t>
  </si>
  <si>
    <t>where to visit in orlando florida?</t>
  </si>
  <si>
    <t>Walt Disney World, Universal Orlando Resort, and SeaWorld Orlando are popular attractions in Orlando, Florida.</t>
  </si>
  <si>
    <t>who are all the american idol winners and runner ups?</t>
  </si>
  <si>
    <t>There have been many winners and runners-up on American Idol over the years. Here are the winners from the first 18 seasons: Kelly Clarkson, Ruben Studdard, Fantasia Barrino, Carrie Underwood, Taylor Hicks, Jordin Sparks, David Cook, Kris Allen, Lee DeWyze, Scotty McCreery, Phillip Phillips, Candice Glover, Caleb Johnson, Nick Fradiani, Trent Harmon, Maddie Poppe, Laine Hardy, and Just Sam.</t>
  </si>
  <si>
    <t>what sports do they have in china?</t>
  </si>
  <si>
    <t>Some popular sports in China include martial arts (such as kung fu), table tennis, basketball, badminton, soccer, and swimming.</t>
  </si>
  <si>
    <t>what was alexander graham bell known for?</t>
  </si>
  <si>
    <t>Alexander Graham Bell was known for inventing the telephone.</t>
  </si>
  <si>
    <t>what band did joe satriani play in?</t>
  </si>
  <si>
    <t>Joe Satriani played in his own band, called the Joe Satriani Band.</t>
  </si>
  <si>
    <t>what did mitch hedberg od on?</t>
  </si>
  <si>
    <t>Mitch Hedberg died from a drug overdose, specifically from a combination of heroin and cocaine.</t>
  </si>
  <si>
    <t>who did u.s. fight against in ww1?</t>
  </si>
  <si>
    <t>Germany and Austria-Hungary.</t>
  </si>
  <si>
    <t>what season did jason priestley leave 90210?</t>
  </si>
  <si>
    <t>Jason Priestley left 90210 after the ninth season.</t>
  </si>
  <si>
    <t>who wrote 2 timothy 4?</t>
  </si>
  <si>
    <t>The author of 2 Timothy 4 is Paul.</t>
  </si>
  <si>
    <t>which three countries share a land border with cambodia?</t>
  </si>
  <si>
    <t>The three countries that share a land border with Cambodia are Thailand, Laos, and Vietnam.</t>
  </si>
  <si>
    <t>what country was juan ponce de leon from?</t>
  </si>
  <si>
    <t>Juan Ponce de Leon was from Spain.</t>
  </si>
  <si>
    <t>where to go in florida for vacation?</t>
  </si>
  <si>
    <t>There are many great places to visit in Florida for a vacation. Some popular destinations include Miami, Orlando, Key West, and the Everglades.</t>
  </si>
  <si>
    <t>what does the soviet star represent?</t>
  </si>
  <si>
    <t>The Soviet star represents the communist revolution and symbolizes the unity of the Soviet people.</t>
  </si>
  <si>
    <t>what college did steve nash play basketball for?</t>
  </si>
  <si>
    <t>Steve Nash played basketball for Santa Clara University.</t>
  </si>
  <si>
    <t>who plays shao kahn?</t>
  </si>
  <si>
    <t>Brian Thompson plays Shao Kahn in the Mortal Kombat movie.</t>
  </si>
  <si>
    <t>what did douglas engelbart invent?</t>
  </si>
  <si>
    <t>Douglas Engelbart invented the computer mouse.</t>
  </si>
  <si>
    <t>where did chef chuck hughes go to school?</t>
  </si>
  <si>
    <t>Chef Chuck Hughes attended culinary school at the Institut de tourisme et d'hôtellerie du Québec in Montreal, Quebec, Canada.</t>
  </si>
  <si>
    <t>who plays marvin eriksen?</t>
  </si>
  <si>
    <t>Bill Fagerbakke</t>
  </si>
  <si>
    <t>what did james madison wrote?</t>
  </si>
  <si>
    <t>James Madison wrote the United States Constitution.</t>
  </si>
  <si>
    <t>where is fiat abarth made?</t>
  </si>
  <si>
    <t>Fiat Abarth is made in Italy.</t>
  </si>
  <si>
    <t>where was tommy steele born?</t>
  </si>
  <si>
    <t>Tommy Steele was born in London, England.</t>
  </si>
  <si>
    <t>what does chad michael murray play in?</t>
  </si>
  <si>
    <t>Chad Michael Murray is an actor and he has played various roles in films and television shows. Some notable roles include Lucas Scott in "One Tree Hill" and Jack Thompson in "Agent Carter."</t>
  </si>
  <si>
    <t>what team does derek fisher play for 2012?</t>
  </si>
  <si>
    <t>Derek Fisher played for the Oklahoma City Thunder in 2012.</t>
  </si>
  <si>
    <t>what are some important events in ancient egypt?</t>
  </si>
  <si>
    <t>Some important events in ancient Egypt include the construction of the pyramids, the reign of pharaohs like Tutankhamun and Ramses II, and the conquest of Egypt by Alexander the Great.</t>
  </si>
  <si>
    <t>who was sworn into office when john f kennedy was assassinated?</t>
  </si>
  <si>
    <t>Lyndon B. Johnson</t>
  </si>
  <si>
    <t>what date did the earthquake in christchurch happen?</t>
  </si>
  <si>
    <t>The earthquake in Christchurch happened on February 22, 2011.</t>
  </si>
  <si>
    <t>when did mcgee join the ncis team?</t>
  </si>
  <si>
    <t>McGee joined the NCIS team in season 1 episode 7.</t>
  </si>
  <si>
    <t>where are you if you're in khartoum?</t>
  </si>
  <si>
    <t>I am in Khartoum.</t>
  </si>
  <si>
    <t>where did fred west work?</t>
  </si>
  <si>
    <t>Fred West worked as a builder and decorator.</t>
  </si>
  <si>
    <t>where is university of auburn?</t>
  </si>
  <si>
    <t>The University of Auburn is located in Auburn, Alabama, United States.</t>
  </si>
  <si>
    <t>what countries are around egypt?</t>
  </si>
  <si>
    <t>The countries around Egypt are Libya, Sudan, Israel, and Saudi Arabia.</t>
  </si>
  <si>
    <t>what did julia roberts won an oscar for?</t>
  </si>
  <si>
    <t>Julia Roberts won an Oscar for Best Actress for her role in the film "Erin Brockovich."</t>
  </si>
  <si>
    <t>what year did mitt romney first run for president?</t>
  </si>
  <si>
    <t>Mitt Romney first ran for president in the year 2008.</t>
  </si>
  <si>
    <t>who is engaged to john legend?</t>
  </si>
  <si>
    <t>Chrissy Teigen.</t>
  </si>
  <si>
    <t>what nestle owns?</t>
  </si>
  <si>
    <t>Nestle owns various brands and businesses across different industries, including food and beverages, pet care, and health sciences. Some well-known brands under Nestle's ownership include Nescafe, KitKat, Purina, and Nestle Health Science.</t>
  </si>
  <si>
    <t>who won governor of indiana 2012?</t>
  </si>
  <si>
    <t>Mike Pence won the governor of Indiana in 2012.</t>
  </si>
  <si>
    <t>where did the allied invasion of france take place?</t>
  </si>
  <si>
    <t>The Allied invasion of France took place in Normandy, specifically on the beaches of Omaha, Utah, Gold, Juno, and Sword.</t>
  </si>
  <si>
    <t>where does the st. joe river start?</t>
  </si>
  <si>
    <t>The St. Joe River starts in the Bitterroot Mountains of Montana.</t>
  </si>
  <si>
    <t>where did alex smith play high school football?</t>
  </si>
  <si>
    <t>Alex Smith played high school football at Helix High School in La Mesa, California.</t>
  </si>
  <si>
    <t>where is pyramids of giza located?</t>
  </si>
  <si>
    <t>The Pyramids of Giza are located in Egypt.</t>
  </si>
  <si>
    <t>when does nasdaq start trading?</t>
  </si>
  <si>
    <t>Nasdaq starts trading at 9:30 AM ET.</t>
  </si>
  <si>
    <t>who plays kermit in the muppets movie?</t>
  </si>
  <si>
    <t>Jim Henson.</t>
  </si>
  <si>
    <t>what kind of government does iran have today?</t>
  </si>
  <si>
    <t>Iran has an Islamic Republic form of government.</t>
  </si>
  <si>
    <t>what is african american literature?</t>
  </si>
  <si>
    <t>African American literature refers to literary works written by African American authors that explore the experiences, history, and culture of African Americans.</t>
  </si>
  <si>
    <t>what are the primary languages of france?</t>
  </si>
  <si>
    <t>The primary languages of France are French.</t>
  </si>
  <si>
    <t>what language do they speak in guyana south america?</t>
  </si>
  <si>
    <t>what year were the new york yankees established?</t>
  </si>
  <si>
    <t>The New York Yankees were established in 1901.</t>
  </si>
  <si>
    <t>what games do japanese people play?</t>
  </si>
  <si>
    <t>Japanese people play a wide range of games, including traditional games like go, shogi, and hanafuda, as well as popular modern games like video games, card games, and board games.</t>
  </si>
  <si>
    <t>what city was nelson mandela born in?</t>
  </si>
  <si>
    <t>Nelson Mandela was born in Mvezo, a village in the Eastern Cape province of South Africa.</t>
  </si>
  <si>
    <t>what time does independence center open on sundays?</t>
  </si>
  <si>
    <t>The opening time of the Independence Center on Sundays varies. It is best to check their website or contact them directly for the most accurate information.</t>
  </si>
  <si>
    <t>where did the navajo tribe live?</t>
  </si>
  <si>
    <t>The Navajo tribe lived in the southwestern United States, primarily in Arizona, New Mexico, and Utah.</t>
  </si>
  <si>
    <t>what did frankie lymon die from?</t>
  </si>
  <si>
    <t>Frankie Lymon died from a heroin overdose.</t>
  </si>
  <si>
    <t>what to see near austin?</t>
  </si>
  <si>
    <t>Some popular attractions near Austin include the Texas State Capitol, Barton Springs Pool, Lady Bird Lake, and the Bullock Texas State History Museum.</t>
  </si>
  <si>
    <t>where did trey songz go to high school?</t>
  </si>
  <si>
    <t>Trey Songz went to Petersburg High School.</t>
  </si>
  <si>
    <t>what was matthias schleiden known for?</t>
  </si>
  <si>
    <t>Matthias Schleiden was known for his contribution to the cell theory.</t>
  </si>
  <si>
    <t>what country was jesus born?</t>
  </si>
  <si>
    <t>Jesus was born in Bethlehem, in modern-day Israel.</t>
  </si>
  <si>
    <t>when was louisiana entered into the union?</t>
  </si>
  <si>
    <t>Louisiana entered into the union on April 30, 1812.</t>
  </si>
  <si>
    <t>who is kristen stewart parents?</t>
  </si>
  <si>
    <t>Kristen Stewart's parents are John Stewart and Jules Mann-Stewart.</t>
  </si>
  <si>
    <t>when did mary shelley write frankenstein what were the circumstances?</t>
  </si>
  <si>
    <t>Mary Shelley wrote Frankenstein in 1816. The circumstances were that she was part of a group of writers staying in Geneva, Switzerland, and they challenged each other to write a ghost story.</t>
  </si>
  <si>
    <t>what was vietnam war fought for?</t>
  </si>
  <si>
    <t>The Vietnam War was fought for various reasons, primarily to prevent the spread of communism and to support the South Vietnamese government.</t>
  </si>
  <si>
    <t>what is kate spade?</t>
  </si>
  <si>
    <t>Kate Spade is a fashion brand that specializes in clothing, handbags, accessories, and home goods.</t>
  </si>
  <si>
    <t>what age can a woman retire in australia?</t>
  </si>
  <si>
    <t>In Australia, the retirement age for women is 67.</t>
  </si>
  <si>
    <t>what team does lamar odom play for 2013?</t>
  </si>
  <si>
    <t>Lamar Odom played for the Los Angeles Clippers in 2013.</t>
  </si>
  <si>
    <t>who founded the american federation of labor afl in 1886?</t>
  </si>
  <si>
    <t>where is louisville ne?</t>
  </si>
  <si>
    <t>Louisville NE is located in the state of Nebraska, United States.</t>
  </si>
  <si>
    <t>where does missouri river end?</t>
  </si>
  <si>
    <t>The Missouri River ends at its confluence with the Mississippi River near St. Louis, Missouri.</t>
  </si>
  <si>
    <t>what team is hank baskett playing for in 2010?</t>
  </si>
  <si>
    <t>Philadelphia Eagles.</t>
  </si>
  <si>
    <t>where is italian spoken around the world?</t>
  </si>
  <si>
    <t>Italian is spoken mainly in Italy, but it is also spoken in parts of Switzerland, San Marino, Vatican City, and various other countries with Italian immigrant populations.</t>
  </si>
  <si>
    <t>what is currency in panama?</t>
  </si>
  <si>
    <t>The currency in Panama is the Panamanian balboa.</t>
  </si>
  <si>
    <t>what undergraduate school did martin luther king jr. attend?</t>
  </si>
  <si>
    <t>Martin Luther King Jr. attended Morehouse College for his undergraduate studies.</t>
  </si>
  <si>
    <t>what 5 countries border romania?</t>
  </si>
  <si>
    <t>Bulgaria, Serbia, Hungary, Ukraine, and Moldova.</t>
  </si>
  <si>
    <t>when was the last time the kansas city chiefs won a superbowl?</t>
  </si>
  <si>
    <t>The Kansas City Chiefs won their most recent Super Bowl in 2020.</t>
  </si>
  <si>
    <t>where did will smith go to high school?</t>
  </si>
  <si>
    <t>Will Smith went to Overbrook High School.</t>
  </si>
  <si>
    <t>where is united arab located?</t>
  </si>
  <si>
    <t>United Arab Emirates is located in the Middle East, on the eastern side of the Arabian Peninsula.</t>
  </si>
  <si>
    <t>where is kate middleton spending christmas?</t>
  </si>
  <si>
    <t>Kate Middleton is spending Christmas with her family.</t>
  </si>
  <si>
    <t>what other movies has liam hemsworth?</t>
  </si>
  <si>
    <t>Liam Hemsworth has appeared in movies such as "The Hunger Games" series, "Independence Day: Resurgence" and "The Last Song."</t>
  </si>
  <si>
    <t>what is duncan bannatyne?</t>
  </si>
  <si>
    <t>Duncan Bannatyne is a British entrepreneur and television personality.</t>
  </si>
  <si>
    <t>what was caesar augustus known for?</t>
  </si>
  <si>
    <t>Caesar Augustus was known for being the first Roman emperor and for his role in establishing the Pax Romana.</t>
  </si>
  <si>
    <t>when did bradley cooper's dad die?</t>
  </si>
  <si>
    <t>Bradley Cooper's father, Charles Cooper, passed away on January 15, 2011.</t>
  </si>
  <si>
    <t>which countries border the baltic sea?</t>
  </si>
  <si>
    <t>The countries that border the Baltic Sea are Denmark, Sweden, Finland, Russia, Estonia, Latvia, and Lithuania.</t>
  </si>
  <si>
    <t>what to do in perth scotland?</t>
  </si>
  <si>
    <t>In Perth, Scotland, you can visit attractions such as Scone Palace, Perth Museum and Art Gallery, and St. John's Kirk. You can also enjoy outdoor activities like walking along the River Tay or exploring the nearby Perthshire countryside.</t>
  </si>
  <si>
    <t>who is keyshia cole married too?</t>
  </si>
  <si>
    <t>Keyshia Cole is currently not married.</t>
  </si>
  <si>
    <t>who does christine gregoire represent?</t>
  </si>
  <si>
    <t>Christine Gregoire represents the people of Washington State.</t>
  </si>
  <si>
    <t>what were some inventions of leonardo da vinci?</t>
  </si>
  <si>
    <t>Some inventions of Leonardo da Vinci include the helicopter, parachute, and armored tank.</t>
  </si>
  <si>
    <t>what college did tosh . o go to?</t>
  </si>
  <si>
    <t>Tosh.0 attended the University of Central Florida.</t>
  </si>
  <si>
    <t>who plays sam in anger management?</t>
  </si>
  <si>
    <t>Adam Sandler</t>
  </si>
  <si>
    <t>what type of strings does willie nelson use?</t>
  </si>
  <si>
    <t>Willie Nelson typically uses nylon strings on his guitar.</t>
  </si>
  <si>
    <t>who did heidi klum date before seal?</t>
  </si>
  <si>
    <t>Heidi Klum dated Flavio Briatore before Seal</t>
  </si>
  <si>
    <t>what type of voting system does australia have?</t>
  </si>
  <si>
    <t>Australia has a preferential voting system.</t>
  </si>
  <si>
    <t>where did president andrew jackson grew up?</t>
  </si>
  <si>
    <t>President Andrew Jackson grew up in Waxhaws, South Carolina.</t>
  </si>
  <si>
    <t>what did ivan pavlov invented?</t>
  </si>
  <si>
    <t>Ivan Pavlov invented classical conditioning.</t>
  </si>
  <si>
    <t>what countries and seas border ukraine?</t>
  </si>
  <si>
    <t>Poland, Belarus, Russia, Slovakia, Hungary, Romania, Moldova, and the Black Sea.</t>
  </si>
  <si>
    <t>where the murray river located?</t>
  </si>
  <si>
    <t>Australia</t>
  </si>
  <si>
    <t>where was joe biden a senator?</t>
  </si>
  <si>
    <t>Joe Biden was a senator from Delaware.</t>
  </si>
  <si>
    <t>what is the money currency in italy?</t>
  </si>
  <si>
    <t>The money currency in Italy is the Euro.</t>
  </si>
  <si>
    <t>where was adolf hitler died?</t>
  </si>
  <si>
    <t>Adolf Hitler died in his bunker in Berlin, Germany.</t>
  </si>
  <si>
    <t>what percent of mississippi is black?</t>
  </si>
  <si>
    <t>In 2021, approximately 38% of Mississippi's population is Black.</t>
  </si>
  <si>
    <t>what year did reggie bush get drafted?</t>
  </si>
  <si>
    <t>Reggie Bush was drafted in the year 2006.</t>
  </si>
  <si>
    <t>what was sherlock holmes famous for?</t>
  </si>
  <si>
    <t>Sherlock Holmes was famous for his keen deduction skills and solving complicated mysteries.</t>
  </si>
  <si>
    <t>who is number 5 on the boston celtics?</t>
  </si>
  <si>
    <t>Kemba Walker.</t>
  </si>
  <si>
    <t>what does sirius black wand look like?</t>
  </si>
  <si>
    <t>Sirius Black's wand is made of black wood and has unique carvings. It is not described in detail in the books or movies.</t>
  </si>
  <si>
    <t>who is roger bacon inventor of?</t>
  </si>
  <si>
    <t>Roger Bacon is not an inventor, but rather a philosopher and Franciscan friar known for his contributions to the fields of optics and alchemy.</t>
  </si>
  <si>
    <t>where are the libyan refugees going?</t>
  </si>
  <si>
    <t>The Libyan refugees are going to different countries, primarily in Europe and some neighboring African countries.</t>
  </si>
  <si>
    <t>what city was woodstock held in?</t>
  </si>
  <si>
    <t>Woodstock was held in Bethel, New York.</t>
  </si>
  <si>
    <t>who do pagans believe is god?</t>
  </si>
  <si>
    <t>Pagans do not follow a specific god or deity. Their beliefs vary, and different individuals may worship different gods or goddesses from various mythologies or pantheons.</t>
  </si>
  <si>
    <t>what was one thing benjamin franklin is famous for?</t>
  </si>
  <si>
    <t>One thing Benjamin Franklin is famous for is his experiments with electricity and the invention of the lightning rod.</t>
  </si>
  <si>
    <t>what did john williams play?</t>
  </si>
  <si>
    <t>John Williams plays the guitar.</t>
  </si>
  <si>
    <t>where does the uk import from?</t>
  </si>
  <si>
    <t>The UK imports from various countries around the world.</t>
  </si>
  <si>
    <t>who started southwest airlines?</t>
  </si>
  <si>
    <t>Herb Kelleher.</t>
  </si>
  <si>
    <t>who is the current president of colombia 2011?</t>
  </si>
  <si>
    <t>The current president of Colombia in 2011 is Juan Manuel Santos.</t>
  </si>
  <si>
    <t>what was the name of the book that charles darwin wrote?</t>
  </si>
  <si>
    <t>The name of the book that Charles Darwin wrote is "On the Origin of Species."</t>
  </si>
  <si>
    <t>who might arthur miller think would?</t>
  </si>
  <si>
    <t>I'm sorry, but I am unable to provide an answer to your question as it is unclear. Could you please provide more context or clarify your question?</t>
  </si>
  <si>
    <t>who is abraham descended from?</t>
  </si>
  <si>
    <t>Abraham is descended from Shem, one of Noah's sons.</t>
  </si>
  <si>
    <t>what did atticus finch do?</t>
  </si>
  <si>
    <t>Atticus Finch was a lawyer in the novel "To Kill a Mockingbird" who defended Tom Robinson, a black man accused of rape.</t>
  </si>
  <si>
    <t>what type of cancer did patrick swayze die from?</t>
  </si>
  <si>
    <t>Patrick Swayze died from pancreatic cancer.</t>
  </si>
  <si>
    <t>what was james madison's job?</t>
  </si>
  <si>
    <t>James Madison's job was to serve as the fourth President of the United States.</t>
  </si>
  <si>
    <t>what language does people in france speak?</t>
  </si>
  <si>
    <t>French.</t>
  </si>
  <si>
    <t>where is the spratly islands located?</t>
  </si>
  <si>
    <t>The Spratly Islands are located in the South China Sea.</t>
  </si>
  <si>
    <t>where did hammurabi come from?</t>
  </si>
  <si>
    <t>Hammurabi came from Babylon, which is located in modern-day Iraq.</t>
  </si>
  <si>
    <t>who does queen elizabeth hair?</t>
  </si>
  <si>
    <t>It is not publicly known who does Queen Elizabeth's hair.</t>
  </si>
  <si>
    <t>what teams did robert horry won rings with?</t>
  </si>
  <si>
    <t>Robert Horry won rings with the Houston Rockets, Los Angeles Lakers, and San Antonio Spurs.</t>
  </si>
  <si>
    <t>what timezone is colorado in?</t>
  </si>
  <si>
    <t>Colorado is in the Mountain Time Zone.</t>
  </si>
  <si>
    <t>what did charles dickens writer?</t>
  </si>
  <si>
    <t>Charles Dickens was a writer of novels and stories.</t>
  </si>
  <si>
    <t>where is st helens park nsw?</t>
  </si>
  <si>
    <t>St Helens Park is located in New South Wales, Australia.</t>
  </si>
  <si>
    <t>who killed david ruffin?</t>
  </si>
  <si>
    <t>David Ruffin died of a drug overdose.</t>
  </si>
  <si>
    <t>where did james franco study acting?</t>
  </si>
  <si>
    <t>James Franco studied acting at the University of California, Los Angeles (UCLA).</t>
  </si>
  <si>
    <t>what is d capital city of south africa?</t>
  </si>
  <si>
    <t>The capital city of South Africa is Pretoria.</t>
  </si>
  <si>
    <t>into what language family does english fall?</t>
  </si>
  <si>
    <t>The English language falls into the Germanic language family.</t>
  </si>
  <si>
    <t>who does new zealand import from?</t>
  </si>
  <si>
    <t>New Zealand imports from various countries around the world.</t>
  </si>
  <si>
    <t>who is mexico's president right now 2011?</t>
  </si>
  <si>
    <t>As of 2011, Mexico's president is Felipe Calderón.</t>
  </si>
  <si>
    <t>what are the different dialects of chinese?</t>
  </si>
  <si>
    <t>The different dialects of Chinese include Mandarin, Cantonese, Shanghainese, Hokkien, and many others.</t>
  </si>
  <si>
    <t>what city was kennedy shot?</t>
  </si>
  <si>
    <t>Dallas.</t>
  </si>
  <si>
    <t>who owns the sf giants owner?</t>
  </si>
  <si>
    <t>The San Francisco Giants are owned by a partnership group led by Charles B. Johnson.</t>
  </si>
  <si>
    <t>what is the name of the alabama state tree?</t>
  </si>
  <si>
    <t>The name of the Alabama state tree is the Southern longleaf pine.</t>
  </si>
  <si>
    <t>what is the capital of kentucky known for its bluegrass?</t>
  </si>
  <si>
    <t>The capital of Kentucky, known for its bluegrass, is Frankfort.</t>
  </si>
  <si>
    <t>what money do you use in aruba?</t>
  </si>
  <si>
    <t>The currency used in Aruba is the Aruban florin (AWG).</t>
  </si>
  <si>
    <t>where did apostle paul grow up?</t>
  </si>
  <si>
    <t>The Apostle Paul grew up in Tarsus, a city in the Roman province of Cilicia (modern-day Turkey).</t>
  </si>
  <si>
    <t>what was karl marx beliefs?</t>
  </si>
  <si>
    <t>Karl Marx believed in the abolition of capitalism, the concept of class struggle, and the establishment of a communist society.</t>
  </si>
  <si>
    <t>which countries share land border with vietnam?</t>
  </si>
  <si>
    <t>China, Laos, and Cambodia.</t>
  </si>
  <si>
    <t>who did queen mary marry?</t>
  </si>
  <si>
    <t>Queen Mary married King William III of England.</t>
  </si>
  <si>
    <t>where did japan invade to get resources?</t>
  </si>
  <si>
    <t>Japan invaded various countries in Southeast Asia to obtain resources, such as oil, rubber, and minerals.</t>
  </si>
  <si>
    <t>who is the chicago bulls head coach?</t>
  </si>
  <si>
    <t>what type of money do you use in cuba?</t>
  </si>
  <si>
    <t>The currency used in Cuba is Cuban Peso (CUP) and Cuban Convertible Peso (CUC).</t>
  </si>
  <si>
    <t>where in georgia does usher live?</t>
  </si>
  <si>
    <t>Usher currently lives in Atlanta, Georgia.</t>
  </si>
  <si>
    <t>who are the two state senators of georgia?</t>
  </si>
  <si>
    <t>The two state senators of Georgia are Jon Ossoff and Raphael Warnock.</t>
  </si>
  <si>
    <t>what type of government does australia use?</t>
  </si>
  <si>
    <t>Australia uses a federal parliamentary constitutional monarchy.</t>
  </si>
  <si>
    <t>what language do people in czech republic speak?</t>
  </si>
  <si>
    <t>who plays riley finn on buffy the vampire slayer?</t>
  </si>
  <si>
    <t>Marc Blucas</t>
  </si>
  <si>
    <t>what kind of political system is canada?</t>
  </si>
  <si>
    <t>Canada has a parliamentary democracy with a constitutional monarchy.</t>
  </si>
  <si>
    <t>who plays giles in buffy the vampire slayer?</t>
  </si>
  <si>
    <t>who voices lola bunny in looney tunes?</t>
  </si>
  <si>
    <t>Kristen Wiig voices Lola Bunny in "Looney Tunes."</t>
  </si>
  <si>
    <t>what did charles babbage create in the 1800s?</t>
  </si>
  <si>
    <t>Charles Babbage created the concept of the Analytical Engine in the 1800s.</t>
  </si>
  <si>
    <t>who voices anakin in the clone wars?</t>
  </si>
  <si>
    <t>Matt Lanter voices Anakin in The Clone Wars.</t>
  </si>
  <si>
    <t>what did hitler hate?</t>
  </si>
  <si>
    <t>Hitler had a hatred towards Jews, as well as other minority groups, and sought to discriminate against and eliminate them.</t>
  </si>
  <si>
    <t>who plays faramir in lord of the rings?</t>
  </si>
  <si>
    <t>David Wenham.</t>
  </si>
  <si>
    <t>when is the last time chicago bulls won a championship?</t>
  </si>
  <si>
    <t>The last time the Chicago Bulls won a championship was in 1998.</t>
  </si>
  <si>
    <t>what is jonathan swift famous for?</t>
  </si>
  <si>
    <t>Jonathan Swift is famous for being an Irish writer and satirist, known for his works such as "Gulliver's Travels" and "A Modest Proposal."</t>
  </si>
  <si>
    <t>what is the holy book in taoism?</t>
  </si>
  <si>
    <t>The holy book in Taoism is the Tao Te Ching.</t>
  </si>
  <si>
    <t>where was dr luther king jr born?</t>
  </si>
  <si>
    <t>Dr. Martin Luther King Jr. was born in Atlanta, Georgia.</t>
  </si>
  <si>
    <t>where french revolution?</t>
  </si>
  <si>
    <t>The French Revolution took place in France.</t>
  </si>
  <si>
    <t>who does peyton manning play 4?</t>
  </si>
  <si>
    <t>Peyton Manning played for four teams during his NFL career: the Indianapolis Colts, Denver Broncos, University of Tennessee, and Denver Broncos (college team).</t>
  </si>
  <si>
    <t>when is the diwali festival?</t>
  </si>
  <si>
    <t>The Diwali festival is usually celebrated in October or November.</t>
  </si>
  <si>
    <t>what professional baseball team did michael jordan play for?</t>
  </si>
  <si>
    <t>Michael Jordan played for the Chicago White Sox.</t>
  </si>
  <si>
    <t>where is bob marley grave?</t>
  </si>
  <si>
    <t>Bob Marley's grave is located in Nine Mile, Saint Ann Parish, Jamaica.</t>
  </si>
  <si>
    <t>what did hitler do bad?</t>
  </si>
  <si>
    <t>Hitler committed numerous atrocities, including the Holocaust, invasion of other countries, and persecution of millions of people based on their race, religion, and political beliefs.</t>
  </si>
  <si>
    <t>where is murray kentucky?</t>
  </si>
  <si>
    <t>Murray, Kentucky is located in the United States.</t>
  </si>
  <si>
    <t>what time zone is anaheim ca?</t>
  </si>
  <si>
    <t>Anaheim, CA is in the Pacific Time Zone (PT).</t>
  </si>
  <si>
    <t>where is mount vernon texas?</t>
  </si>
  <si>
    <t>Mount Vernon, Texas is located in the northeastern part of the state, approximately 100 miles east of Dallas.</t>
  </si>
  <si>
    <t>what countries are included in the netherlands?</t>
  </si>
  <si>
    <t>what is caesar augustus known for?</t>
  </si>
  <si>
    <t>Caesar Augustus is known for being the first Roman emperor and for establishing the Pax Romana (Roman Peace).</t>
  </si>
  <si>
    <t>what form of government is israel?</t>
  </si>
  <si>
    <t>The form of government in Israel is a parliamentary democracy.</t>
  </si>
  <si>
    <t>what year did the florida marlins win their 2nd world series title?</t>
  </si>
  <si>
    <t>The Florida Marlins won their second World Series title in the year 2003.</t>
  </si>
  <si>
    <t>who is timothy hutton married to?</t>
  </si>
  <si>
    <t>Timothy Hutton is not currently married.</t>
  </si>
  <si>
    <t>what guitar does duane allman play?</t>
  </si>
  <si>
    <t>Duane Allman played a Gibson Les Paul guitar.</t>
  </si>
  <si>
    <t>what is the speech i have a dream about martin luther king?</t>
  </si>
  <si>
    <t>The speech "I Have a Dream" is a famous speech delivered by Martin Luther King Jr.</t>
  </si>
  <si>
    <t>what is the biggest country in europe by population?</t>
  </si>
  <si>
    <t>Russia.</t>
  </si>
  <si>
    <t>what team does hank baskett play for 2011 season?</t>
  </si>
  <si>
    <t>Hank Baskett did not play for any NFL team in the 2011 season.</t>
  </si>
  <si>
    <t>what happened to mike tyson?</t>
  </si>
  <si>
    <t>Mike Tyson is a retired professional boxer.</t>
  </si>
  <si>
    <t>what are the african nations?</t>
  </si>
  <si>
    <t>The African nations are the countries located on the continent of Africa.</t>
  </si>
  <si>
    <t>where did dr. martin luther king jr. go to school?</t>
  </si>
  <si>
    <t>Dr. Martin Luther King Jr. attended both Morehouse College and Boston University.</t>
  </si>
  <si>
    <t>what channel is game show network on time warner cable?</t>
  </si>
  <si>
    <t>Game Show Network (GSN) is typically on channel 176 on Time Warner Cable. However, channel numbers may vary depending on your specific location and cable provider.</t>
  </si>
  <si>
    <t>what is the senate responsible for?</t>
  </si>
  <si>
    <t>The Senate is responsible for making laws, representing the interests of their constituents, and providing advice and consent for presidential appointments and treaties.</t>
  </si>
  <si>
    <t>what party did paul keating belong to?</t>
  </si>
  <si>
    <t>Paul Keating belonged to the Australian Labor Party.</t>
  </si>
  <si>
    <t>what book did w.e.b. dubois wrote?</t>
  </si>
  <si>
    <t>W.E.B. Du Bois wrote the book "The Souls of Black Folk."</t>
  </si>
  <si>
    <t>what are romney's sons names?</t>
  </si>
  <si>
    <t>Romney's sons' names are Tagg, Matt, Josh, Ben, and Craig.</t>
  </si>
  <si>
    <t>where is art smith from?</t>
  </si>
  <si>
    <t>Art Smith is from Jasper, Florida.</t>
  </si>
  <si>
    <t>what films did michael clarke duncan star in?</t>
  </si>
  <si>
    <t>Some films that Michael Clarke Duncan starred in include "The Green Mile," "Armageddon," and "Sin City."</t>
  </si>
  <si>
    <t>what time does arkansas play football today?</t>
  </si>
  <si>
    <t>I'm sorry, I don't have access to real-time information about football schedules.</t>
  </si>
  <si>
    <t>what are the major imports and exports of canada?</t>
  </si>
  <si>
    <t>Some of the major exports of Canada are oil, minerals, automobiles, machinery, and forestry products. Some of the major imports of Canada are vehicles, machinery, electronics, pharmaceutical products, and plastics.</t>
  </si>
  <si>
    <t>what other political offices has obama been in?</t>
  </si>
  <si>
    <t>Aside from being the President of the United States, Barack Obama has also served as a United States Senator from Illinois.</t>
  </si>
  <si>
    <t>what airport do you fly into for clearwater florida?</t>
  </si>
  <si>
    <t>The closest airport to Clearwater, Florida is the St. Petersburg-Clearwater International Airport (PIE).</t>
  </si>
  <si>
    <t>what to do in venice beach ca?</t>
  </si>
  <si>
    <t>Some suggestions for things to do in Venice Beach, CA include: visiting the beach and boardwalk, exploring the Venice Canals, checking out the street art on the Venice Art Walls, shopping on Abbott Kinney Boulevard, and people-watching at Muscle Beach.</t>
  </si>
  <si>
    <t>what college did russell wilson go to?</t>
  </si>
  <si>
    <t>Russell Wilson went to North Carolina State University.</t>
  </si>
  <si>
    <t>what inspired van gogh work?</t>
  </si>
  <si>
    <t>The natural world, everyday life, and his emotional experiences were the main inspirations for Van Gogh's work.</t>
  </si>
  <si>
    <t>where is fresno texas located?</t>
  </si>
  <si>
    <t>Fresno, Texas is located in Fort Bend County.</t>
  </si>
  <si>
    <t>what is wrong with robin roberts?</t>
  </si>
  <si>
    <t>I'm sorry, but I don't have access to personal information about individuals unless it has been shared with me in the course of our conversation.</t>
  </si>
  <si>
    <t>where to go in downtown nashville tn?</t>
  </si>
  <si>
    <t>Some popular attractions in downtown Nashville, TN include the Country Music Hall of Fame, Ryman Auditorium, and the Honky Tonk Highway on Lower Broadway.</t>
  </si>
  <si>
    <t>what type of government does mexico use?</t>
  </si>
  <si>
    <t>Mexico uses a federal presidential constitutional republic as its form of government.</t>
  </si>
  <si>
    <t>what team rasheed wallace?</t>
  </si>
  <si>
    <t>Rasheed Wallace played for various teams throughout his career including the Washington Bullets/Wizards, Portland Trail Blazers, Atlanta Hawks, Detroit Pistons, Boston Celtics, and New York Knicks.</t>
  </si>
  <si>
    <t>what is the timezone in england called?</t>
  </si>
  <si>
    <t>The timezone in England is called Greenwich Mean Time (GMT) or British Summer Time (BST) when daylight saving is in effect.</t>
  </si>
  <si>
    <t>what airport is closest to palm springs?</t>
  </si>
  <si>
    <t>Palm Springs International Airport.</t>
  </si>
  <si>
    <t>what was abe lincoln's wife name?</t>
  </si>
  <si>
    <t>Abe Lincoln's wife's name was Mary Todd Lincoln.</t>
  </si>
  <si>
    <t>what team does pudge rodriguez play for?</t>
  </si>
  <si>
    <t>Pudge Rodriguez no longer plays for any team as he retired in 2011.</t>
  </si>
  <si>
    <t>what form of government do we have in the usa?</t>
  </si>
  <si>
    <t>The form of government in the USA is a federal democratic republic.</t>
  </si>
  <si>
    <t>who are famous people from spain?</t>
  </si>
  <si>
    <t>Some famous people from Spain include Pablo Picasso, Salvador Dali, Antonio Banderas, Penelope Cruz, and Rafael Nadal.</t>
  </si>
  <si>
    <t>when did shaq come to the nba?</t>
  </si>
  <si>
    <t>Shaquille O'Neal came to the NBA in 1992.</t>
  </si>
  <si>
    <t>what empire did maria theresa rule?</t>
  </si>
  <si>
    <t>Maria Theresa ruled the Habsburg Empire.</t>
  </si>
  <si>
    <t>where is texas rangers home stadium?</t>
  </si>
  <si>
    <t>The Texas Rangers' home stadium is Globe Life Field in Arlington, Texas.</t>
  </si>
  <si>
    <t>what movie is angelina jolie directing?</t>
  </si>
  <si>
    <t>I am sorry, I don't have access to current information.</t>
  </si>
  <si>
    <t>what language do they speak brazil?</t>
  </si>
  <si>
    <t>who is jimmy fallon married to?</t>
  </si>
  <si>
    <t>Jimmy Fallon is married to Nancy Juvonen.</t>
  </si>
  <si>
    <t>what country is russia close to?</t>
  </si>
  <si>
    <t>Russia is close to several countries including Ukraine, Belarus, Kazakhstan, China, and Mongolia.</t>
  </si>
  <si>
    <t>who is the coach of inter milan now?</t>
  </si>
  <si>
    <t>Antonio Conte.</t>
  </si>
  <si>
    <t>where are john deere snow blowers made?</t>
  </si>
  <si>
    <t>John Deere snow blowers are made in the United States.</t>
  </si>
  <si>
    <t>what is the money called in peru?</t>
  </si>
  <si>
    <t>The currency of Peru is called the Peruvian sol.</t>
  </si>
  <si>
    <t>what movies did kristen stewart act in?</t>
  </si>
  <si>
    <t>Kristen Stewart has acted in movies such as Twilight, Snow White and the Huntsman, and Charlie's Angels.</t>
  </si>
  <si>
    <t>what art movement does vincent van gogh belong to?</t>
  </si>
  <si>
    <t>Vincent van Gogh belongs to the Post-Impressionist art movement.</t>
  </si>
  <si>
    <t>what county is orlando fl in?</t>
  </si>
  <si>
    <t>Orlando, FL is in Orange County.</t>
  </si>
  <si>
    <t>what music did robert pattinson do for twilight?</t>
  </si>
  <si>
    <t>Robert Pattinson contributed to the Twilight soundtrack with the song "Never Think."</t>
  </si>
  <si>
    <t>what type of government is the philippines?</t>
  </si>
  <si>
    <t>The Philippines has a presidential democratic republic form of government.</t>
  </si>
  <si>
    <t>what do you call russian currency?</t>
  </si>
  <si>
    <t>Russian currency is called the Russian ruble.</t>
  </si>
  <si>
    <t>where did sir donald bradman live?</t>
  </si>
  <si>
    <t>Sir Donald Bradman lived in Adelaide, South Australia.</t>
  </si>
  <si>
    <t>what are the holydays of obligation in the catholic church 2013?</t>
  </si>
  <si>
    <t>The holydays of obligation in the Catholic Church for 2013 are:
1. January 1 - Solemnity of Mary, Mother of God
2. August 15 - Assumption of the Blessed Virgin Mary
3. November 1 - All Saints' Day
4. December 8 - Immaculate Conception of the Blessed Virgin Mary
5. December 25 - Christmas Day</t>
  </si>
  <si>
    <t>what is the name of the broncos mascot?</t>
  </si>
  <si>
    <t>The name of the Broncos mascot is Miles.</t>
  </si>
  <si>
    <t>what caused the russian financial crisis of 1998?</t>
  </si>
  <si>
    <t>The Russian financial crisis of 1998 was caused by a combination of factors, including the government's excessive borrowing and spending, a sharp decline in world oil prices, and a loss of investor confidence in the Russian economy.</t>
  </si>
  <si>
    <t>what kind government does the us have?</t>
  </si>
  <si>
    <t>The US has a democratic government.</t>
  </si>
  <si>
    <t>Who wrote the novel "1984"?</t>
  </si>
  <si>
    <t>George Orwell.</t>
  </si>
  <si>
    <t>Which planet is known as the red planet?</t>
  </si>
  <si>
    <t>Mars.</t>
  </si>
  <si>
    <t>Who painted the Mona Lisa?</t>
  </si>
  <si>
    <t>Leonardo da Vinci.</t>
  </si>
  <si>
    <t>What is the largest country in the world by land area?</t>
  </si>
  <si>
    <t>What is the capital city of Australia?</t>
  </si>
  <si>
    <t>Canberra.</t>
  </si>
  <si>
    <t>What is the chemical symbol for gold?</t>
  </si>
  <si>
    <t>The chemical symbol for gold is Au.</t>
  </si>
  <si>
    <t>Who wrote the play Romeo and Juliet?</t>
  </si>
  <si>
    <t>What is the largest ocean in the world?</t>
  </si>
  <si>
    <t>Pacific Ocean.</t>
  </si>
  <si>
    <t>Who was the first president of the United States?</t>
  </si>
  <si>
    <t>George Washington.</t>
  </si>
  <si>
    <t>How many times does the Earth rotate on its axis in 24 hours?</t>
  </si>
  <si>
    <t>The Earth rotates on its axis once in 24 hours.</t>
  </si>
  <si>
    <t>What is the largest organ in the human body?</t>
  </si>
  <si>
    <t>The skin.</t>
  </si>
  <si>
    <t>What is the tallest mountain in the world?</t>
  </si>
  <si>
    <t>Mount Everest.</t>
  </si>
  <si>
    <t>Who wrote the novel Pride and Prejudice?</t>
  </si>
  <si>
    <t>Jane Austen</t>
  </si>
  <si>
    <t>What is the currency of Japan?</t>
  </si>
  <si>
    <t>The currency of Japan is the Japanese yen.</t>
  </si>
  <si>
    <t>In which year did World War II end?</t>
  </si>
  <si>
    <t>World War II ended in 1945.</t>
  </si>
  <si>
    <t>What is the largest animal on Earth?</t>
  </si>
  <si>
    <t>The blue whale.</t>
  </si>
  <si>
    <t>Who painted the ceiling of the Sistine Chapel?</t>
  </si>
  <si>
    <t>Michelangelo.</t>
  </si>
  <si>
    <t>What is the boiling point of water in degrees Celsius?</t>
  </si>
  <si>
    <t>100 degrees Celsius.</t>
  </si>
  <si>
    <t>Which country is known as the "Land of the Rising Sun"?</t>
  </si>
  <si>
    <t>Japan.</t>
  </si>
  <si>
    <t>Who is the current Prime Minister of the United Kingdom?</t>
  </si>
  <si>
    <t>What is the national bird of the United States?</t>
  </si>
  <si>
    <t>The national bird of the United States is the bald eagle.</t>
  </si>
  <si>
    <t>Which country invented pizza?</t>
  </si>
  <si>
    <t>What is the chemical formula for water?</t>
  </si>
  <si>
    <t>H2O.</t>
  </si>
  <si>
    <t>Who is the author of the Harry Potter series?</t>
  </si>
  <si>
    <t>J.K. Rowling.</t>
  </si>
  <si>
    <t>In which city is the famous Taj Mahal located?</t>
  </si>
  <si>
    <t>Agra</t>
  </si>
  <si>
    <t>What is the tallest building in the world?</t>
  </si>
  <si>
    <t>The tallest building in the world is the Burj Khalifa in Dubai, United Arab Emirates.</t>
  </si>
  <si>
    <t>Who painted the Starry Night?</t>
  </si>
  <si>
    <t>Vincent van Gogh</t>
  </si>
  <si>
    <t>How many elements are there in the periodic table?</t>
  </si>
  <si>
    <t>There are 118 elements in the periodic table.</t>
  </si>
  <si>
    <t>Which planet is known for its many rings?</t>
  </si>
  <si>
    <t>Saturn.</t>
  </si>
  <si>
    <t>What is the largest continent in the world?</t>
  </si>
  <si>
    <t>Who was the famous scientist who discovered the theory of relativity?</t>
  </si>
  <si>
    <t>Albert Einstein</t>
  </si>
  <si>
    <t>What is the capital city of France?</t>
  </si>
  <si>
    <t>Paris.</t>
  </si>
  <si>
    <t>How many sides does a hexagon have?</t>
  </si>
  <si>
    <t>A hexagon has six sides.</t>
  </si>
  <si>
    <t>Who is the current President of the United States?</t>
  </si>
  <si>
    <t>Joe Biden.</t>
  </si>
  <si>
    <t>What is the smallest country in the world?</t>
  </si>
  <si>
    <t>Vatican City.</t>
  </si>
  <si>
    <t>Who wrote the novel 1984?</t>
  </si>
  <si>
    <t>What is the chemical symbol for silver?</t>
  </si>
  <si>
    <t>Ag</t>
  </si>
  <si>
    <t>Which country is known for its pyramids?</t>
  </si>
  <si>
    <t>Egypt.</t>
  </si>
  <si>
    <t>What is the largest desert in the world?</t>
  </si>
  <si>
    <t>The largest desert in the world is the Sahara Desert.</t>
  </si>
  <si>
    <t>What is the capital city of Brazil?</t>
  </si>
  <si>
    <t>Brasília.</t>
  </si>
  <si>
    <t>Who painted the Last Supper?</t>
  </si>
  <si>
    <t>What is the speed of light in meters per second?</t>
  </si>
  <si>
    <t>The speed of light is approximately 299,792,458 meters per second.</t>
  </si>
  <si>
    <t>Which country is known for its kangaroos?</t>
  </si>
  <si>
    <t>Who wrote the play Hamlet?</t>
  </si>
  <si>
    <t>What is the currency of China?</t>
  </si>
  <si>
    <t>The currency of China is the Chinese Yuan (CNY).</t>
  </si>
  <si>
    <t>In which city is the famous Great Wall located?</t>
  </si>
  <si>
    <t>Beijing.</t>
  </si>
  <si>
    <t>What is the largest island in the world?</t>
  </si>
  <si>
    <t>Greenland.</t>
  </si>
  <si>
    <t>Who is the current Chancellor of Germany?</t>
  </si>
  <si>
    <t>Angela Merkel.</t>
  </si>
  <si>
    <t>What is the national bird of India?</t>
  </si>
  <si>
    <t>The national bird of India is the peacock.</t>
  </si>
  <si>
    <t>What is the chemical formula for table salt?</t>
  </si>
  <si>
    <t>The chemical formula for table salt is NaCl.</t>
  </si>
  <si>
    <t>Who invented the telephone?</t>
  </si>
  <si>
    <t>Alexander Graham Bell.</t>
  </si>
  <si>
    <t>What is the capital city of Russia?</t>
  </si>
  <si>
    <t>Moscow</t>
  </si>
  <si>
    <t>How many planets are in the solar system?</t>
  </si>
  <si>
    <t>There are 8 planets in the solar system.</t>
  </si>
  <si>
    <t>Who wrote the novel To Kill a Mockingbird?</t>
  </si>
  <si>
    <t>Harper Lee.</t>
  </si>
  <si>
    <t>What is the currency of Canada?</t>
  </si>
  <si>
    <t>The currency of Canada is the Canadian dollar.</t>
  </si>
  <si>
    <t>In which city is the famous Colosseum located?</t>
  </si>
  <si>
    <t>Rome.</t>
  </si>
  <si>
    <t>What is the fastest land animal in the world?</t>
  </si>
  <si>
    <t>Cheetah.</t>
  </si>
  <si>
    <t>Who painted the Girl with a Pearl Earring?</t>
  </si>
  <si>
    <t>Johannes Vermeer.</t>
  </si>
  <si>
    <t>What is the freezing point of water in degrees Fahrenheit?</t>
  </si>
  <si>
    <t>The freezing point of water in degrees Fahrenheit is 32°F.</t>
  </si>
  <si>
    <t>Which country is known for the Great Barrier Reef?</t>
  </si>
  <si>
    <t>What is the capital city of South Africa?</t>
  </si>
  <si>
    <t>Pretoria.</t>
  </si>
  <si>
    <t>Who is regarded as the father of modern physics?</t>
  </si>
  <si>
    <t>Albert Einstein.</t>
  </si>
  <si>
    <t>What is the chemical symbol for iron?</t>
  </si>
  <si>
    <t>Fe</t>
  </si>
  <si>
    <t>Who wrote the novel The Catcher in the Rye?</t>
  </si>
  <si>
    <t>J.D. Salinger.</t>
  </si>
  <si>
    <t>What is the currency of Mexico?</t>
  </si>
  <si>
    <t>The currency of Mexico is the Mexican peso.</t>
  </si>
  <si>
    <t>In which city is the famous Eiffel Tower located?</t>
  </si>
  <si>
    <t>What is the largest river in the world?</t>
  </si>
  <si>
    <t>The largest river in the world is the Amazon River.</t>
  </si>
  <si>
    <t>Who is the current Prime Minister of Canada?</t>
  </si>
  <si>
    <t>Justin Trudeau</t>
  </si>
  <si>
    <t>What is the national bird of Australia?</t>
  </si>
  <si>
    <t>The national bird of Australia is the emu.</t>
  </si>
  <si>
    <t>What is the chemical formula for glucose?</t>
  </si>
  <si>
    <t>The chemical formula for glucose is C6H12O6.</t>
  </si>
  <si>
    <t>Who invented the light bulb?</t>
  </si>
  <si>
    <t>Thomas Edison.</t>
  </si>
  <si>
    <t>What is the capital city of China?</t>
  </si>
  <si>
    <t>How many colors are there in a rainbow?</t>
  </si>
  <si>
    <t>There are seven colors in a rainbow.</t>
  </si>
  <si>
    <t>Who wrote the novel Moby-Dick?</t>
  </si>
  <si>
    <t>Herman Melville.</t>
  </si>
  <si>
    <t>What is the currency of Germany?</t>
  </si>
  <si>
    <t>The currency of Germany is the Euro.</t>
  </si>
  <si>
    <t>In which city is the famous Statue of Liberty located?</t>
  </si>
  <si>
    <t>What is the tallest tree in the world?</t>
  </si>
  <si>
    <t>The tallest tree in the world is Hyperion, a coast redwood (Sequoia sempervirens) measuring 379.7 feet tall.</t>
  </si>
  <si>
    <t>Who painted the Scream?</t>
  </si>
  <si>
    <t>Edvard Munch.</t>
  </si>
  <si>
    <t>What is the melting point of copper in degrees Celsius?</t>
  </si>
  <si>
    <t>The melting point of copper is 1084 degrees Celsius.</t>
  </si>
  <si>
    <t>Which country is known for its tulips?</t>
  </si>
  <si>
    <t>What is the capital city of Italy?</t>
  </si>
  <si>
    <t>Who is regarded as the father of modern literature?</t>
  </si>
  <si>
    <t>Miguel de Cervantes.</t>
  </si>
  <si>
    <t>What is the chemical symbol for oxygen?</t>
  </si>
  <si>
    <t>The chemical symbol for oxygen is O.</t>
  </si>
  <si>
    <t>Who wrote the play Macbeth?</t>
  </si>
  <si>
    <t>What is the currency of Brazil?</t>
  </si>
  <si>
    <t>The currency of Brazil is the Brazilian Real.</t>
  </si>
  <si>
    <t>In which city is the famous Sydney Opera House located?</t>
  </si>
  <si>
    <t>Sydney.</t>
  </si>
  <si>
    <t>What is the largest lake in the world?</t>
  </si>
  <si>
    <t>The largest lake in the world is the Caspian Sea.</t>
  </si>
  <si>
    <t>Who is the current President of France?</t>
  </si>
  <si>
    <t>What is the national bird of Canada?</t>
  </si>
  <si>
    <t>The national bird of Canada is the common loon.</t>
  </si>
  <si>
    <t>What is the chemical formula for carbon dioxide?</t>
  </si>
  <si>
    <t>CO2</t>
  </si>
  <si>
    <t>Who invented the theory of evolution?</t>
  </si>
  <si>
    <t>Charles Darwin.</t>
  </si>
  <si>
    <t>What is the capital city of India?</t>
  </si>
  <si>
    <t>New Delhi.</t>
  </si>
  <si>
    <t>How many stars are there in the American flag?</t>
  </si>
  <si>
    <t>There are 50 stars in the American flag.</t>
  </si>
  <si>
    <t>Who wrote the novel The Great Gatsby?</t>
  </si>
  <si>
    <t>F. Scott Fitzgerald</t>
  </si>
  <si>
    <t>What is the currency of France?</t>
  </si>
  <si>
    <t>Euro</t>
  </si>
  <si>
    <t>In which city is the famous Acropolis located?</t>
  </si>
  <si>
    <t>Athens.</t>
  </si>
  <si>
    <t>What is the largest waterfall in the world?</t>
  </si>
  <si>
    <t>The largest waterfall in the world is Victoria Falls.</t>
  </si>
  <si>
    <t>Who painted the Birth of Venus?</t>
  </si>
  <si>
    <t>Sandro Botticelli.</t>
  </si>
  <si>
    <t>What is the boiling point of mercury in degrees Fahrenheit?</t>
  </si>
  <si>
    <t>The boiling point of mercury in degrees Fahrenheit is 674 degrees Fahrenheit.</t>
  </si>
  <si>
    <t>Which country is known for its fjords?</t>
  </si>
  <si>
    <t>Norway</t>
  </si>
  <si>
    <t>What is the capital city of Germany?</t>
  </si>
  <si>
    <t>What is the capital of France?</t>
  </si>
  <si>
    <t>The capital of France is Paris.</t>
  </si>
  <si>
    <t>Who is the author of "Pride and Prejudice"?</t>
  </si>
  <si>
    <t>Jane Austen.</t>
  </si>
  <si>
    <t>Au</t>
  </si>
  <si>
    <t>What is the largest planet in our solar system?</t>
  </si>
  <si>
    <t>Jupiter.</t>
  </si>
  <si>
    <t>Who was the first person to step on the moon?</t>
  </si>
  <si>
    <t>Neil Armstrong.</t>
  </si>
  <si>
    <t>What is the world's tallest mountain?</t>
  </si>
  <si>
    <t>What is the symbol for the element oxygen?</t>
  </si>
  <si>
    <t>The symbol for the element oxygen is "O".</t>
  </si>
  <si>
    <t>The largest organ in the human body is the skin.</t>
  </si>
  <si>
    <t>Who wrote the play "Romeo and Juliet"?</t>
  </si>
  <si>
    <t>The chemical formula for water is H2O.</t>
  </si>
  <si>
    <t>What is the capital of Canada?</t>
  </si>
  <si>
    <t>Ottawa</t>
  </si>
  <si>
    <t>Who is the author of "To Kill a Mockingbird"?</t>
  </si>
  <si>
    <t>What is the largest ocean on Earth?</t>
  </si>
  <si>
    <t>The Pacific Ocean.</t>
  </si>
  <si>
    <t>Who painted The Starry Night?</t>
  </si>
  <si>
    <t>Vincent van Gogh.</t>
  </si>
  <si>
    <t>What is the currency of Australia?</t>
  </si>
  <si>
    <t>The currency of Australia is the Australian Dollar (AUD).</t>
  </si>
  <si>
    <t>What is the symbol for the element iron?</t>
  </si>
  <si>
    <t>The symbol for the element iron is Fe.</t>
  </si>
  <si>
    <t>What is the capital of Spain?</t>
  </si>
  <si>
    <t>Who is known as the "Father of Modern Physics"?</t>
  </si>
  <si>
    <t>Who wrote the poem "The Raven"?</t>
  </si>
  <si>
    <t>Edgar Allan Poe.</t>
  </si>
  <si>
    <t>What is the chemical element with the atomic number 1?</t>
  </si>
  <si>
    <t>Hydrogen.</t>
  </si>
  <si>
    <t>What is the capital of Brazil?</t>
  </si>
  <si>
    <t>Who is the author of "The Great Gatsby"?</t>
  </si>
  <si>
    <t>F. Scott Fitzgerald.</t>
  </si>
  <si>
    <t>What is the currency of India?</t>
  </si>
  <si>
    <t>The currency of India is the Indian Rupee.</t>
  </si>
  <si>
    <t>Who is the author of "Moby-Dick"?</t>
  </si>
  <si>
    <t>What is the chemical symbol for sodium?</t>
  </si>
  <si>
    <t>Na</t>
  </si>
  <si>
    <t>What is the capital of South Africa?</t>
  </si>
  <si>
    <t>Who is the author of the "Harry Potter" series?</t>
  </si>
  <si>
    <t>The currency of Mexico is the Mexican Peso.</t>
  </si>
  <si>
    <t>What is the world's longest river?</t>
  </si>
  <si>
    <t>The Nile River.</t>
  </si>
  <si>
    <t>What is the largest country in South America?</t>
  </si>
  <si>
    <t>Brazil.</t>
  </si>
  <si>
    <t>Who is the Greek god of the sea?</t>
  </si>
  <si>
    <t>Poseidon.</t>
  </si>
  <si>
    <t>What is the chemical element with the atomic number 6?</t>
  </si>
  <si>
    <t>Carbon</t>
  </si>
  <si>
    <t>What is the capital of Australia?</t>
  </si>
  <si>
    <t>Who is the author of "The Catcher in the Rye"?</t>
  </si>
  <si>
    <t>The currency of China is the Chinese yuan.</t>
  </si>
  <si>
    <t>What is the tallest mammal in the world?</t>
  </si>
  <si>
    <t>Giraffe</t>
  </si>
  <si>
    <t>Who wrote the play "Hamlet"?</t>
  </si>
  <si>
    <t>The chemical symbol for silver is Ag.</t>
  </si>
  <si>
    <t>Who invented the theory of general relativity?</t>
  </si>
  <si>
    <t>What is the capital of Germany?</t>
  </si>
  <si>
    <t>Who is the author of "The Lord of the Rings"?</t>
  </si>
  <si>
    <t>J.R.R. Tolkien</t>
  </si>
  <si>
    <t>What is the currency of Russia?</t>
  </si>
  <si>
    <t>The currency of Russia is the Russian Ruble.</t>
  </si>
  <si>
    <t>What is the largest lake in Africa?</t>
  </si>
  <si>
    <t>Lake Victoria.</t>
  </si>
  <si>
    <t>Who painted the creation of Adam on the ceiling of the Sistine Chapel?</t>
  </si>
  <si>
    <t>What is the world's largest waterfall?</t>
  </si>
  <si>
    <t>The world's largest waterfall is Angel Falls.</t>
  </si>
  <si>
    <t>What is the smallest bone in the human body?</t>
  </si>
  <si>
    <t>The smallest bone in the human body is the stapes bone in the ear.</t>
  </si>
  <si>
    <t>Who wrote the novel "Pride and Prejudice"?</t>
  </si>
  <si>
    <t>What is the chemical symbol for carbon?</t>
  </si>
  <si>
    <t>The chemical symbol for carbon is C.</t>
  </si>
  <si>
    <t>Who invented the computer?</t>
  </si>
  <si>
    <t>The computer was not invented by one person, but rather by a combination of numerous scientists and engineers over several decades. Some notable contributors include Charles Babbage, Alan Turing, John von Neumann, and Tim Berners-Lee.</t>
  </si>
  <si>
    <t>What is the capital of Italy?</t>
  </si>
  <si>
    <t>Rome</t>
  </si>
  <si>
    <t>Who is the author of "The Hobbit"?</t>
  </si>
  <si>
    <t>What is the currency of the United Kingdom?</t>
  </si>
  <si>
    <t>The currency of the United Kingdom is the British Pound.</t>
  </si>
  <si>
    <t>Burj Khalifa.</t>
  </si>
  <si>
    <t>Who painted the famous artwork "Guernica"?</t>
  </si>
  <si>
    <t>Pablo Picasso.</t>
  </si>
  <si>
    <t>What is the largest city in the United States?</t>
  </si>
  <si>
    <t>New York City.</t>
  </si>
  <si>
    <t>Who wrote the poem "The Waste Land"?</t>
  </si>
  <si>
    <t>T.S. Eliot.</t>
  </si>
  <si>
    <t>What is the chemical element with the atomic number 79?</t>
  </si>
  <si>
    <t>The chemical element with the atomic number 79 is gold.</t>
  </si>
  <si>
    <t>What is the capital of India?</t>
  </si>
  <si>
    <t>The capital of India is New Delhi.</t>
  </si>
  <si>
    <t>Who is the author of "The Diary of a Young Girl"?</t>
  </si>
  <si>
    <t>Anne Frank.</t>
  </si>
  <si>
    <t>The currency of France is the Euro.</t>
  </si>
  <si>
    <t>What is the highest mountain in Africa?</t>
  </si>
  <si>
    <t>Mount Kilimanjaro.</t>
  </si>
  <si>
    <t>What is the largest forest in the world?</t>
  </si>
  <si>
    <t>The Amazon Rainforest.</t>
  </si>
  <si>
    <t>Who wrote the play "Macbeth"?</t>
  </si>
  <si>
    <t>What is the chemical symbol for platinum?</t>
  </si>
  <si>
    <t>The chemical symbol for platinum is Pt.</t>
  </si>
  <si>
    <t>What is the capital of China?</t>
  </si>
  <si>
    <t>Who is the author of "The Chronicles of Narnia"?</t>
  </si>
  <si>
    <t>C.S. Lewis</t>
  </si>
  <si>
    <t>The currency of Germany is the euro.</t>
  </si>
  <si>
    <t>Angel Falls.</t>
  </si>
  <si>
    <t>Who painted the famous artwork "Mona Lisa"?</t>
  </si>
  <si>
    <t>What is the fastest land animal?</t>
  </si>
  <si>
    <t>The cheetah.</t>
  </si>
  <si>
    <t>Who wrote the novel "The Catcher in the Rye"?</t>
  </si>
  <si>
    <t>What is the chemical symbol for calcium?</t>
  </si>
  <si>
    <t>The chemical symbol for calcium is Ca.</t>
  </si>
  <si>
    <t>Who is the author of "The Shining"?</t>
  </si>
  <si>
    <t>Stephen King.</t>
  </si>
  <si>
    <t>What is the deepest point in the ocean?</t>
  </si>
  <si>
    <t>The Mariana Trench.</t>
  </si>
  <si>
    <t>Who painted the famous artwork "The Persistence of Memory"?</t>
  </si>
  <si>
    <t>Salvador Dalí.</t>
  </si>
  <si>
    <t>What is the largest country in Africa?</t>
  </si>
  <si>
    <t>Algeria.</t>
  </si>
  <si>
    <t>Who is the Roman god of love?</t>
  </si>
  <si>
    <t>The Roman god of love is Cupid.</t>
  </si>
  <si>
    <t>What is the chemical element with the atomic number 8?</t>
  </si>
  <si>
    <t>The chemical element with the atomic number 8 is oxygen.</t>
  </si>
  <si>
    <t>What is the capital of Japan?</t>
  </si>
  <si>
    <t>Tokyo.</t>
  </si>
  <si>
    <t>Who is the author of "The Hunger Games" trilogy?</t>
  </si>
  <si>
    <t>Suzanne Collins.</t>
  </si>
  <si>
    <t>The currency of Australia is the Australian dollar.</t>
  </si>
  <si>
    <t>Who painted the famous artwork "Starry Night"?</t>
  </si>
  <si>
    <t>What is the fastest bird in the world?</t>
  </si>
  <si>
    <t>The peregrine falcon.</t>
  </si>
  <si>
    <t>Who wrote the play "Othello"?</t>
  </si>
  <si>
    <t>What is the chemical symbol for hydrogen?</t>
  </si>
  <si>
    <t>H</t>
  </si>
  <si>
    <t>Who is the current president of the United States?</t>
  </si>
  <si>
    <t>Which African country is known as the "Land of a Thousand Hills"?</t>
  </si>
  <si>
    <t>Rwanda.</t>
  </si>
  <si>
    <t>The currency of Japan is the Japanese Yen.</t>
  </si>
  <si>
    <t>The Nile.</t>
  </si>
  <si>
    <t>Which country hosted the 2016 Summer Olympics?</t>
  </si>
  <si>
    <t>Who is the author of the Harry Potter book series?</t>
  </si>
  <si>
    <t>Which instrument has 88 keys?</t>
  </si>
  <si>
    <t>The piano.</t>
  </si>
  <si>
    <t>Which country is known as the "Land Down Under"?</t>
  </si>
  <si>
    <t>Who discovered penicillin?</t>
  </si>
  <si>
    <t>Alexander Fleming discovered penicillin.</t>
  </si>
  <si>
    <t>The Pacific Ocean is the largest ocean on Earth.</t>
  </si>
  <si>
    <t>Which country is home to the tallest building in the world, the Burj Khalifa?</t>
  </si>
  <si>
    <t>The United Arab Emirates.</t>
  </si>
  <si>
    <t>Who painted the Sistine Chapel ceiling?</t>
  </si>
  <si>
    <t>Which planet is known as the "Red Planet"?</t>
  </si>
  <si>
    <t>What is the capital city of Canada?</t>
  </si>
  <si>
    <t>The chemical symbol for sodium is Na.</t>
  </si>
  <si>
    <t>What is the world's largest desert?</t>
  </si>
  <si>
    <t>The Sahara Desert.</t>
  </si>
  <si>
    <t>Japan</t>
  </si>
  <si>
    <t>Who founded Microsoft?</t>
  </si>
  <si>
    <t>Bill Gates and Paul Allen.</t>
  </si>
  <si>
    <t>What is the largest species of shark?</t>
  </si>
  <si>
    <t>The largest species of shark is the whale shark.</t>
  </si>
  <si>
    <t>Who is the Greek god of thunder?</t>
  </si>
  <si>
    <t>The Greek god of thunder is Zeus.</t>
  </si>
  <si>
    <t>What is the national animal of Australia?</t>
  </si>
  <si>
    <t>The national animal of Australia is the kangaroo.</t>
  </si>
  <si>
    <t>Which country is known for its tulips and windmills?</t>
  </si>
  <si>
    <t>Who wrote The Catcher in the Rye?</t>
  </si>
  <si>
    <t>What is the capital city of Egypt?</t>
  </si>
  <si>
    <t>Cairo.</t>
  </si>
  <si>
    <t>Which planet is known for its rings?</t>
  </si>
  <si>
    <t>What is the tallest building in the United States?</t>
  </si>
  <si>
    <t>One World Trade Center.</t>
  </si>
  <si>
    <t>What is the largest continent?</t>
  </si>
  <si>
    <t>Who is the author of To Kill a Mockingbird?</t>
  </si>
  <si>
    <t>Which country is known as the "Land of the Free"?</t>
  </si>
  <si>
    <t>The United States of America.</t>
  </si>
  <si>
    <t>Who painted The Last Supper?</t>
  </si>
  <si>
    <t>Which planet is known as the "Blue Planet"?</t>
  </si>
  <si>
    <t>Earth.</t>
  </si>
  <si>
    <t>Who invented the printing press?</t>
  </si>
  <si>
    <t>Johannes Gutenberg.</t>
  </si>
  <si>
    <t>What is the chemical symbol for helium?</t>
  </si>
  <si>
    <t>He</t>
  </si>
  <si>
    <t>Who is the current prime minister of the United Kingdom?</t>
  </si>
  <si>
    <t>What is the tallest tower in Paris?</t>
  </si>
  <si>
    <t>The Eiffel Tower.</t>
  </si>
  <si>
    <t>The capital of Germany is Berlin.</t>
  </si>
  <si>
    <t>Which country is known as the "Land of Smiles"?</t>
  </si>
  <si>
    <t>Thailand.</t>
  </si>
  <si>
    <t>What is the national animal of Canada?</t>
  </si>
  <si>
    <t>The national animal of Canada is the beaver.</t>
  </si>
  <si>
    <t>Which planet is known as the "Giant Planet"?</t>
  </si>
  <si>
    <t>Who invented the theory of relativity?</t>
  </si>
  <si>
    <t>What is the tallest building in Europe?</t>
  </si>
  <si>
    <t>The Lakhta Center in St. Petersburg, Russia.</t>
  </si>
  <si>
    <t>Which country is known as the "Land of Fire and Ice"?</t>
  </si>
  <si>
    <t>Iceland.</t>
  </si>
  <si>
    <t>What is the largest bone in the human body?</t>
  </si>
  <si>
    <t>The femur.</t>
  </si>
  <si>
    <t>The tallest building in the United States is the One World Trade Center, located in New York City.</t>
  </si>
  <si>
    <t>Leonardo da Vinci</t>
  </si>
  <si>
    <t>The capital city of Australia is Canberra.</t>
  </si>
  <si>
    <t>The current prime minister of the United Kingdom is Boris Johnson.</t>
  </si>
  <si>
    <t>The tallest tower in Paris is the Eiffel Tower.</t>
  </si>
  <si>
    <t>Sandro Botticelli</t>
  </si>
  <si>
    <t>The tallest building in Europe is the Lakhta Center in St. Petersburg, Russia.</t>
  </si>
  <si>
    <t>Iceland</t>
  </si>
  <si>
    <t>Alexander Graham Bell invented the telephone.</t>
  </si>
  <si>
    <t>What year did World War I begin?</t>
  </si>
  <si>
    <t>World War I began in 1914.</t>
  </si>
  <si>
    <t>Who painted "The Starry Night"?</t>
  </si>
  <si>
    <t>What is the capital city of Japan?</t>
  </si>
  <si>
    <t>What is the mathematical constant π (pi) approximately equal to?</t>
  </si>
  <si>
    <t>π (pi) is approximately equal to 3.14159.</t>
  </si>
  <si>
    <t>What is the longest river in the world?</t>
  </si>
  <si>
    <t>The longest river in the world is the Nile River.</t>
  </si>
  <si>
    <t>Who was the first person to step foot on the moon?</t>
  </si>
  <si>
    <t>What is the official language of Brazil?</t>
  </si>
  <si>
    <t>What year did World War II end?</t>
  </si>
  <si>
    <t>What is the largest organ of the human body?</t>
  </si>
  <si>
    <t>The largest organ of the human body is the skin.</t>
  </si>
  <si>
    <t>Who wrote the novel "To Kill a Mockingbird"?</t>
  </si>
  <si>
    <t>What is the smallest planet in our solar system?</t>
  </si>
  <si>
    <t>The smallest planet in our solar system is Mercury.</t>
  </si>
  <si>
    <t>Who is the current Queen of England?</t>
  </si>
  <si>
    <t>Queen Elizabeth II.</t>
  </si>
  <si>
    <t>Who was the first President of the United States?</t>
  </si>
  <si>
    <t>The chemical formula for carbon dioxide is CO2.</t>
  </si>
  <si>
    <t>What is the largest animal in the world?</t>
  </si>
  <si>
    <t>The chemical symbol for iron is Fe.</t>
  </si>
  <si>
    <t>Who painted the "Mona Lisa"?</t>
  </si>
  <si>
    <t>What is the chemical formula for methane?</t>
  </si>
  <si>
    <t>The chemical formula for methane is CH4.</t>
  </si>
  <si>
    <t>Who painted "The Last Supper"?</t>
  </si>
  <si>
    <t>The chemical symbol for hydrogen is H.</t>
  </si>
  <si>
    <t>Pretoria is the capital city of South Africa.</t>
  </si>
  <si>
    <t>What is the chemical formula for sulfuric acid?</t>
  </si>
  <si>
    <t>The chemical formula for sulfuric acid is H2SO4.</t>
  </si>
  <si>
    <t>Who painted "The Persistence of Memory"?</t>
  </si>
  <si>
    <t>J.R.R. Tolkien.</t>
  </si>
  <si>
    <t>What is the chemical symbol for uranium?</t>
  </si>
  <si>
    <t>The chemical symbol for uranium is U.</t>
  </si>
  <si>
    <t>Moscow.</t>
  </si>
  <si>
    <t>Who painted "The Birth of Venus"?</t>
  </si>
  <si>
    <t>What is the capital city of Spain?</t>
  </si>
  <si>
    <t>Who is the author of "Alice's Adventures in Wonderland"?</t>
  </si>
  <si>
    <t>Lewis Carroll.</t>
  </si>
  <si>
    <t>What is the chemical symbol for nitrogen?</t>
  </si>
  <si>
    <t>The chemical symbol for nitrogen is N.</t>
  </si>
  <si>
    <t>Who painted the "Sistine Chapel ceiling"?</t>
  </si>
  <si>
    <t>Michelangelo</t>
  </si>
  <si>
    <t>Who is the current President of Brazil?</t>
  </si>
  <si>
    <t>The current President of Brazil is Jair Bolsonaro.</t>
  </si>
  <si>
    <t>What is the chemical formula for hydrochloric acid?</t>
  </si>
  <si>
    <t>HCl</t>
  </si>
  <si>
    <t>The currency of France is the euro.</t>
  </si>
  <si>
    <t>Who painted "The Girl with a Pearl Earring"?</t>
  </si>
  <si>
    <t>What is the currency of South Africa?</t>
  </si>
  <si>
    <t>The currency of South Africa is the South African Rand (ZAR).</t>
  </si>
  <si>
    <t>Who painted "The Last Judgment"?</t>
  </si>
  <si>
    <t>What is the chemical formula for nitric acid?</t>
  </si>
  <si>
    <t>The chemical formula for nitric acid is HNO3.</t>
  </si>
  <si>
    <t>Who wrote the novel "The Great Gatsby"?</t>
  </si>
  <si>
    <t>Who painted "The Scream"?</t>
  </si>
  <si>
    <t>Edvard Munch</t>
  </si>
  <si>
    <t>What is the chemical symbol for potassium?</t>
  </si>
  <si>
    <t>The chemical symbol for potassium is K.</t>
  </si>
  <si>
    <t>Who is the author of "Brave New World"?</t>
  </si>
  <si>
    <t>Aldous Huxley.</t>
  </si>
  <si>
    <t>What is the capital city of Argentina?</t>
  </si>
  <si>
    <t>Buenos Aires.</t>
  </si>
  <si>
    <t>Pound Sterling</t>
  </si>
  <si>
    <t>Who painted "The Creation of Adam"?</t>
  </si>
  <si>
    <t>What is the chemical formula for acetic acid (vinegar)?</t>
  </si>
  <si>
    <t>The chemical formula for acetic acid (vinegar) is CH3COOH.</t>
  </si>
  <si>
    <t>What is the capital city of Mexico?</t>
  </si>
  <si>
    <t>Who painted "The Night Watch"?</t>
  </si>
  <si>
    <t>Rembrandt.</t>
  </si>
  <si>
    <t>C.S. Lewis.</t>
  </si>
  <si>
    <t>New Delhi</t>
  </si>
  <si>
    <t>What is the currency of Italy?</t>
  </si>
  <si>
    <t>The currency of Italy is the Euro.</t>
  </si>
  <si>
    <t>Who painted "The School of Athens"?</t>
  </si>
  <si>
    <t>Raphael</t>
  </si>
  <si>
    <t>Jupiter</t>
  </si>
  <si>
    <t>What is the process by which plants convert sunlight into energy called?</t>
  </si>
  <si>
    <t>Photosynthesis.</t>
  </si>
  <si>
    <t>How many bones are there in the human body?</t>
  </si>
  <si>
    <t>There are 206 bones in the human body.</t>
  </si>
  <si>
    <t>What is the study of plants called?</t>
  </si>
  <si>
    <t>Botany.</t>
  </si>
  <si>
    <t>Who discovered the theory of relativity?</t>
  </si>
  <si>
    <t>In which country is the Taj Mahal located?</t>
  </si>
  <si>
    <t>India.</t>
  </si>
  <si>
    <t>What is the primary language spoken in Brazil?</t>
  </si>
  <si>
    <t>The primary language spoken in Brazil is Portuguese.</t>
  </si>
  <si>
    <t>Who painted the famous mural on the ceiling of the Sistine Chapel?</t>
  </si>
  <si>
    <t>Which country is known for producing the most coffee in the world?</t>
  </si>
  <si>
    <t>Who was the first man to walk on the moon?</t>
  </si>
  <si>
    <t>How many players are on a basketball team?</t>
  </si>
  <si>
    <t>There are five players on a basketball team.</t>
  </si>
  <si>
    <t>What is the speed of light in a vacuum?</t>
  </si>
  <si>
    <t>The speed of light in a vacuum is approximately 299,792 kilometers per second.</t>
  </si>
  <si>
    <t>Who painted the "Starry Night"?</t>
  </si>
  <si>
    <t>How many chambers are there in the human heart?</t>
  </si>
  <si>
    <t>There are four chambers in the human heart.</t>
  </si>
  <si>
    <t>Justin Trudeau.</t>
  </si>
  <si>
    <t>Which animal is known as the "king of the jungle"?</t>
  </si>
  <si>
    <t>The lion.</t>
  </si>
  <si>
    <t>What is the primary language spoken in Japan?</t>
  </si>
  <si>
    <t>Japanese.</t>
  </si>
  <si>
    <t>How many continents are there in the world?</t>
  </si>
  <si>
    <t>There are seven continents in the world.</t>
  </si>
  <si>
    <t>Alexander Fleming</t>
  </si>
  <si>
    <t>What is the largest muscle in the human body?</t>
  </si>
  <si>
    <t>The largest muscle in the human body is the gluteus maximus.</t>
  </si>
  <si>
    <t>What is the process of a liquid turning into a gas called?</t>
  </si>
  <si>
    <t>The process of a liquid turning into a gas is called vaporization or evaporation.</t>
  </si>
  <si>
    <t>How many players are on a soccer team?</t>
  </si>
  <si>
    <t>There are typically 11 players on a soccer team.</t>
  </si>
  <si>
    <t>What is the primary language spoken in Russia?</t>
  </si>
  <si>
    <t>How many teeth does an adult human have?</t>
  </si>
  <si>
    <t>An adult human typically has 32 teeth.</t>
  </si>
  <si>
    <t>Earth</t>
  </si>
  <si>
    <t>Who painted the famous painting "The Last Supper"?</t>
  </si>
  <si>
    <t>What is the second largest country in the world by land area?</t>
  </si>
  <si>
    <t>Canada</t>
  </si>
  <si>
    <t>Who discovered gravity?</t>
  </si>
  <si>
    <t>Isaac Newton.</t>
  </si>
  <si>
    <t>In which country is the Great Wall located?</t>
  </si>
  <si>
    <t>What is the primary language spoken in Germany?</t>
  </si>
  <si>
    <t>Which planet is known for having a ring system?</t>
  </si>
  <si>
    <t>In which year did the Titanic sink?</t>
  </si>
  <si>
    <t>The Titanic sank in 1912.</t>
  </si>
  <si>
    <t>What is the process by which plants convert carbon dioxide into oxygen called?</t>
  </si>
  <si>
    <t>Who painted the "Sistine Chapel"?</t>
  </si>
  <si>
    <t>How many players are on a baseball team?</t>
  </si>
  <si>
    <t>There are 9 players on a baseball team.</t>
  </si>
  <si>
    <t>Who was the first woman to win a Nobel Prize?</t>
  </si>
  <si>
    <t>Marie Curie.</t>
  </si>
  <si>
    <t>What is the primary language spoken in China?</t>
  </si>
  <si>
    <t>How many bones are in the human skull?</t>
  </si>
  <si>
    <t>There are 22 bones in the human skull.</t>
  </si>
  <si>
    <t>Which country is known for the Eiffel Tower?</t>
  </si>
  <si>
    <t>France.</t>
  </si>
  <si>
    <t>What is the smallest ocean in the world?</t>
  </si>
  <si>
    <t>The smallest ocean in the world is the Arctic Ocean.</t>
  </si>
  <si>
    <t>In which year did World War I start?</t>
  </si>
  <si>
    <t>World War I started in 1914.</t>
  </si>
  <si>
    <t>What is the process by which plants convert water into oxygen and glucose called?</t>
  </si>
  <si>
    <t>Who painted the "Girl with a Pearl Earring"?</t>
  </si>
  <si>
    <t>How many players are on a hockey team?</t>
  </si>
  <si>
    <t>There are typically six players on a hockey team.</t>
  </si>
  <si>
    <t>Who was the first person to reach the North Pole?</t>
  </si>
  <si>
    <t>Robert Peary.</t>
  </si>
  <si>
    <t>What is the largest rainforest in the world?</t>
  </si>
  <si>
    <t>The Amazon rainforest.</t>
  </si>
  <si>
    <t>What is the primary language spoken in India?</t>
  </si>
  <si>
    <t>Hindi.</t>
  </si>
  <si>
    <t>Which planet is known as the "Giant"?</t>
  </si>
  <si>
    <t>Who painted the famous painting "Guernica"?</t>
  </si>
  <si>
    <t>What is the second largest ocean in the world?</t>
  </si>
  <si>
    <t>The second largest ocean in the world is the Atlantic Ocean.</t>
  </si>
  <si>
    <t>Mercury</t>
  </si>
  <si>
    <t>Who discovered the theory of evolution?</t>
  </si>
  <si>
    <t>In which country is the Statue of Liberty located?</t>
  </si>
  <si>
    <t>The Statue of Liberty is located in the United States.</t>
  </si>
  <si>
    <t>What is the primary language spoken in Italy?</t>
  </si>
  <si>
    <t>How many players are on a volleyball team?</t>
  </si>
  <si>
    <t>There are six players on a volleyball team.</t>
  </si>
  <si>
    <t>Who was the first woman to win a Nobel Prize in Physics?</t>
  </si>
  <si>
    <t>Marie Curie</t>
  </si>
  <si>
    <t>What is the largest peninsula in the world?</t>
  </si>
  <si>
    <t>The largest peninsula in the world is the Arabian Peninsula.</t>
  </si>
  <si>
    <t>Who wrote the play "The Crucible"?</t>
  </si>
  <si>
    <t>Arthur Miller.</t>
  </si>
  <si>
    <t>Ca</t>
  </si>
  <si>
    <t>How many players are on a rugby team?</t>
  </si>
  <si>
    <t>There are 15 players on a rugby team.</t>
  </si>
  <si>
    <t>Who was the first person to reach the South Pole?</t>
  </si>
  <si>
    <t>Roald Amundsen was the first person to reach the South Pole.</t>
  </si>
  <si>
    <t>The largest waterfall in the world is Angel Falls.</t>
  </si>
  <si>
    <t>Who wrote the novel "Moby-Dick"?</t>
  </si>
  <si>
    <t>In what year did World War II end?</t>
  </si>
  <si>
    <t>Which planet is known as the Red Planet?</t>
  </si>
  <si>
    <t>The capital city of Brazil is Brasília.</t>
  </si>
  <si>
    <t>How many players are there in a basketball team?</t>
  </si>
  <si>
    <t>There are typically 5 players in a basketball team.</t>
  </si>
  <si>
    <t>What is the national flower of England?</t>
  </si>
  <si>
    <t>The national flower of England is the rose.</t>
  </si>
  <si>
    <t>Which country is home to the Eiffel Tower?</t>
  </si>
  <si>
    <t>Who painted the famous artwork The Starry Night?</t>
  </si>
  <si>
    <t>In what year did the Titanic sink?</t>
  </si>
  <si>
    <t>Who is known as the "Queen of Soul"?</t>
  </si>
  <si>
    <t>Aretha Franklin.</t>
  </si>
  <si>
    <t>What is the tallest animal in the world?</t>
  </si>
  <si>
    <t>The giraffe.</t>
  </si>
  <si>
    <t>What is the official language of China?</t>
  </si>
  <si>
    <t>The official language of China is Mandarin Chinese.</t>
  </si>
  <si>
    <t>Who is the founder of Facebook?</t>
  </si>
  <si>
    <t>What is the national sport of Canada?</t>
  </si>
  <si>
    <t>Who is known as the "King of Pop"?</t>
  </si>
  <si>
    <t>Michael Jackson.</t>
  </si>
  <si>
    <t>What is the largest bird in the world?</t>
  </si>
  <si>
    <t>The ostrich.</t>
  </si>
  <si>
    <t>How many players are there in a baseball team?</t>
  </si>
  <si>
    <t>There are nine players in a baseball team.</t>
  </si>
  <si>
    <t>Euro.</t>
  </si>
  <si>
    <t>What is the deepest ocean trench in the world?</t>
  </si>
  <si>
    <t>Who composed the Symphony No. 5?</t>
  </si>
  <si>
    <t>Ludwig van Beethoven.</t>
  </si>
  <si>
    <t>Which country is known for the Taj Mahal?</t>
  </si>
  <si>
    <t>India</t>
  </si>
  <si>
    <t>In what year did the United States declare independence?</t>
  </si>
  <si>
    <t>Who painted the artwork The Persistence of Memory?</t>
  </si>
  <si>
    <t>Salvador Dali.</t>
  </si>
  <si>
    <t>What is the national sport of England?</t>
  </si>
  <si>
    <t>The national sport of England is cricket.</t>
  </si>
  <si>
    <t>Who is known as the "King of Rock and Roll"?</t>
  </si>
  <si>
    <t>Elvis Presley.</t>
  </si>
  <si>
    <t>The tallest tree in the world is the coast redwood.</t>
  </si>
  <si>
    <t>What is the official language of Mexico?</t>
  </si>
  <si>
    <t>The official language of Mexico is Spanish.</t>
  </si>
  <si>
    <t>Who is the founder of Microsoft?</t>
  </si>
  <si>
    <t>Bill Gates.</t>
  </si>
  <si>
    <t>How many sides does an octagon have?</t>
  </si>
  <si>
    <t>An octagon has eight sides.</t>
  </si>
  <si>
    <t>What is the national sport of Japan?</t>
  </si>
  <si>
    <t>Sumo wrestling.</t>
  </si>
  <si>
    <t>Who is known as the "Queen of Pop"?</t>
  </si>
  <si>
    <t>Madonna</t>
  </si>
  <si>
    <t>What is the largest fish in the world?</t>
  </si>
  <si>
    <t>The largest fish in the world is the whale shark.</t>
  </si>
  <si>
    <t>The chemical symbol for helium is He.</t>
  </si>
  <si>
    <t>How many players are there in a soccer team?</t>
  </si>
  <si>
    <t>There are 11 players in a soccer team.</t>
  </si>
  <si>
    <t>Who was the first person to travel to space?</t>
  </si>
  <si>
    <t>Yuri Gagarin.</t>
  </si>
  <si>
    <t>Berlin.</t>
  </si>
  <si>
    <t>What is the largest mammal in the world?</t>
  </si>
  <si>
    <t>What is the chemical symbol for copper?</t>
  </si>
  <si>
    <t>Cu</t>
  </si>
  <si>
    <t>Who wrote the play Othello?</t>
  </si>
  <si>
    <t>How many players are there on a cricket team?</t>
  </si>
  <si>
    <t>There are 11 players on a cricket team.</t>
  </si>
  <si>
    <t>Who was the first woman to win a Nobel Prize in Chemistry?</t>
  </si>
  <si>
    <t>What is the capital city of England?</t>
  </si>
  <si>
    <t>What is the largest volcano in the world?</t>
  </si>
  <si>
    <t>Mauna Loa.</t>
  </si>
  <si>
    <t>Who composed the Symphony No. 9?</t>
  </si>
  <si>
    <t>Which country is known as the Land of the Rising Sun?</t>
  </si>
  <si>
    <t>What is the national sport of Australia?</t>
  </si>
  <si>
    <t>The national sport of Australia is Australian rules football.</t>
  </si>
  <si>
    <t>Who is known as the "King of Pop Art"?</t>
  </si>
  <si>
    <t>Andy Warhol.</t>
  </si>
  <si>
    <t>Who painted the artwork The Starry Night?</t>
  </si>
  <si>
    <t>What is the largest desert in Africa?</t>
  </si>
  <si>
    <t>Who composed the Moonlight Sonata?</t>
  </si>
  <si>
    <t>Who is the founder of Amazon?</t>
  </si>
  <si>
    <t>Jeff Bezos.</t>
  </si>
  <si>
    <t>How many sides does a pentagon have?</t>
  </si>
  <si>
    <t>A pentagon has 5 sides.</t>
  </si>
  <si>
    <t>Pt</t>
  </si>
  <si>
    <t>What is the national sport of Brazil?</t>
  </si>
  <si>
    <t>The national sport of Brazil is soccer.</t>
  </si>
  <si>
    <t>Who is known as the "King of Reggae"?</t>
  </si>
  <si>
    <t>Bob Marley.</t>
  </si>
  <si>
    <t>Who painted the artwork The Birth of Venus?</t>
  </si>
  <si>
    <t>The capital city of France is Paris.</t>
  </si>
  <si>
    <t>Joe Biden</t>
  </si>
  <si>
    <t>In what year did the United States gain its independence from Great Britain?</t>
  </si>
  <si>
    <t>How many planets are in our solar system?</t>
  </si>
  <si>
    <t>There are eight planets in our solar system.</t>
  </si>
  <si>
    <t>What is the highest mountain in the world?</t>
  </si>
  <si>
    <t>Mount Everest is the highest mountain in the world.</t>
  </si>
  <si>
    <t>What is the longest river in Africa?</t>
  </si>
  <si>
    <t>What country is known as the Land Down Under?</t>
  </si>
  <si>
    <t>Who was the first person to walk on the moon?</t>
  </si>
  <si>
    <t>How many bones are in the human body?</t>
  </si>
  <si>
    <t>William Shakespeare</t>
  </si>
  <si>
    <t>Which famous scientist developed the theory of relativity?</t>
  </si>
  <si>
    <t>Giraffe.</t>
  </si>
  <si>
    <t>J.K. Rowling</t>
  </si>
  <si>
    <t>There are 11 players on a soccer team.</t>
  </si>
  <si>
    <t>What is the tallest mountain in North America?</t>
  </si>
  <si>
    <t>Denali.</t>
  </si>
  <si>
    <t>What is the main language spoken in China?</t>
  </si>
  <si>
    <t>Who was the first female Prime Minister of the United Kingdom?</t>
  </si>
  <si>
    <t>Margaret Thatcher</t>
  </si>
  <si>
    <t>Greenland</t>
  </si>
  <si>
    <t>How many hearts does an octopus have?</t>
  </si>
  <si>
    <t>An octopus has three hearts.</t>
  </si>
  <si>
    <t>Who was the Greek god of the sea?</t>
  </si>
  <si>
    <t>How many stars are on the American flag?</t>
  </si>
  <si>
    <t>There are 50 stars on the American flag.</t>
  </si>
  <si>
    <t>Who painted the famous artwork "The Last Supper"?</t>
  </si>
  <si>
    <t>What is the largest continent by land area?</t>
  </si>
  <si>
    <t>What is the largest species of penguin?</t>
  </si>
  <si>
    <t>The largest species of penguin is the Emperor Penguin.</t>
  </si>
  <si>
    <t>What is the official language of Russia?</t>
  </si>
  <si>
    <t>Kangaroo.</t>
  </si>
  <si>
    <t>How many time zones are there in the world?</t>
  </si>
  <si>
    <t>There are 24 time zones in the world.</t>
  </si>
  <si>
    <t>Who painted the portrait of the "Mona Lisa"?</t>
  </si>
  <si>
    <t>What is the largest city in the world by population?</t>
  </si>
  <si>
    <t>Tokyo, Japan</t>
  </si>
  <si>
    <t>Who is the current President of China?</t>
  </si>
  <si>
    <t>The current President of China is Xi Jinping.</t>
  </si>
  <si>
    <t>What is the national flower of France?</t>
  </si>
  <si>
    <t>The national flower of France is the iris.</t>
  </si>
  <si>
    <t>What is the main language spoken in Brazil?</t>
  </si>
  <si>
    <t>The capital city of Germany is Berlin.</t>
  </si>
  <si>
    <t>What is the largest country in Europe?</t>
  </si>
  <si>
    <t>Russia</t>
  </si>
  <si>
    <t>Who is the current Prime Minister of Australia?</t>
  </si>
  <si>
    <t>Scott Morrison.</t>
  </si>
  <si>
    <t>What is the official language of Spain?</t>
  </si>
  <si>
    <t>The official language of Spain is Spanish.</t>
  </si>
  <si>
    <t>What is the largest river in Europe?</t>
  </si>
  <si>
    <t>The largest river in Europe is the Volga River.</t>
  </si>
  <si>
    <t>The currency of the United Kingdom is the British pound (GBP).</t>
  </si>
  <si>
    <t>Who was the first person to step foot on Antarctica?</t>
  </si>
  <si>
    <t>Roald Amundsen.</t>
  </si>
  <si>
    <t>What is the national animal of India?</t>
  </si>
  <si>
    <t>The national animal of India is the Bengal Tiger.</t>
  </si>
  <si>
    <t>How many provinces are in Canada?</t>
  </si>
  <si>
    <t>There are 10 provinces in Canada.</t>
  </si>
  <si>
    <t>Who painted the artwork "Starry Night"?</t>
  </si>
  <si>
    <t>What is the largest country in Asia by land area?</t>
  </si>
  <si>
    <t>What is the current population of the world?</t>
  </si>
  <si>
    <t>The current population of the world is around 7.9 billion.</t>
  </si>
  <si>
    <t>Who is the current President of Russia?</t>
  </si>
  <si>
    <t>Vladimir Putin.</t>
  </si>
  <si>
    <t>What is the national flower of Japan?</t>
  </si>
  <si>
    <t>The national flower of Japan is the cherry blossom.</t>
  </si>
  <si>
    <t>There are 5 players on a basketball team.</t>
  </si>
  <si>
    <t>What is the largest species of elephant?</t>
  </si>
  <si>
    <t>The African elephant is the largest species of elephant.</t>
  </si>
  <si>
    <t>Who is the current Prime Minister of Japan?</t>
  </si>
  <si>
    <t>The current Prime Minister of Japan is Yoshihide Suga.</t>
  </si>
  <si>
    <t>How many time zones are there in the United States?</t>
  </si>
  <si>
    <t>There are six time zones in the United States.</t>
  </si>
  <si>
    <t>Paris</t>
  </si>
  <si>
    <t>In which country would you find the Great Barrier Reef?</t>
  </si>
  <si>
    <t>What is the tallest waterfall in the world?</t>
  </si>
  <si>
    <t>Angel Falls</t>
  </si>
  <si>
    <t>There are five players in a basketball team.</t>
  </si>
  <si>
    <t>The speed of light in a vacuum is approximately 299,792,458 meters per second.</t>
  </si>
  <si>
    <t>What is the world's largest hot desert?</t>
  </si>
  <si>
    <t>What is the national flower of India?</t>
  </si>
  <si>
    <t>The national flower of India is the lotus.</t>
  </si>
  <si>
    <t>What is the tallest mountain in Africa?</t>
  </si>
  <si>
    <t>What is the longest bone in the human body?</t>
  </si>
  <si>
    <t>How many planets are there in our solar system?</t>
  </si>
  <si>
    <t>What is the speed of sound in air?</t>
  </si>
  <si>
    <t>The speed of sound in air is approximately 343 meters per second.</t>
  </si>
  <si>
    <t>How many strings does a guitar usually have?</t>
  </si>
  <si>
    <t>A guitar usually has six strings.</t>
  </si>
  <si>
    <t>In which country are the pyramids of Giza located?</t>
  </si>
  <si>
    <t>How many chambers does the human heart have?</t>
  </si>
  <si>
    <t>The human heart has four chambers.</t>
  </si>
  <si>
    <t>What is the boiling point of water in Celsius?</t>
  </si>
  <si>
    <t>The boiling point of water in Celsius is 100°C.</t>
  </si>
  <si>
    <t>Which famous physicist developed the theory of relativity?</t>
  </si>
  <si>
    <t>Isaac Newton</t>
  </si>
  <si>
    <t>What is the freezing point of water in Fahrenheit?</t>
  </si>
  <si>
    <t>32 degrees Fahrenheit.</t>
  </si>
  <si>
    <t>How many years are there in a millennium?</t>
  </si>
  <si>
    <t>There are 1000 years in a millennium.</t>
  </si>
  <si>
    <t>Who painted the Guernica?</t>
  </si>
  <si>
    <t>What is the national animal of China?</t>
  </si>
  <si>
    <t>The national animal of China is the giant panda.</t>
  </si>
  <si>
    <t>In which country was the first Olympic Games held?</t>
  </si>
  <si>
    <t>Greece.</t>
  </si>
  <si>
    <t>How many tablespoons are in a cup?</t>
  </si>
  <si>
    <t>There are 16 tablespoons in a cup.</t>
  </si>
  <si>
    <t>How many wives did Henry VIII have?</t>
  </si>
  <si>
    <t>Henry VIII had six wives.</t>
  </si>
  <si>
    <t>What is the largest continent on Earth?</t>
  </si>
  <si>
    <t>William Shakespeare wrote the play "Macbeth".</t>
  </si>
  <si>
    <t>The computer was not invented by a single person but rather through the contributions of many individuals over time.</t>
  </si>
  <si>
    <t>What is the longest river in Asia?</t>
  </si>
  <si>
    <t>The longest river in Asia is the Yangtze River.</t>
  </si>
  <si>
    <t>Who painted the Water Lilies series?</t>
  </si>
  <si>
    <t>Claude Monet.</t>
  </si>
  <si>
    <t>What is the national animal of Russia?</t>
  </si>
  <si>
    <t>The national animal of Russia is the brown bear.</t>
  </si>
  <si>
    <t>How many days are there in a leap year?</t>
  </si>
  <si>
    <t>There are 366 days in a leap year.</t>
  </si>
  <si>
    <t>Who painted the Persistence of Memory?</t>
  </si>
  <si>
    <t>Salvador Dalí</t>
  </si>
  <si>
    <t>How many Oscars did Leonardo DiCaprio win?</t>
  </si>
  <si>
    <t>Leonardo DiCaprio has won one Oscar.</t>
  </si>
  <si>
    <t>What is the melting point of chocolate in Celsius?</t>
  </si>
  <si>
    <t>The melting point of chocolate is approximately 34 to 38 degrees Celsius.</t>
  </si>
  <si>
    <t>Who discovered electricity?</t>
  </si>
  <si>
    <t>Benjamin Franklin is often credited with discovering electricity.</t>
  </si>
  <si>
    <t>The national flower of France is the Lily, specifically the Fleur-de-lis.</t>
  </si>
  <si>
    <t>In which city did the Renaissance begin?</t>
  </si>
  <si>
    <t>The Renaissance began in Florence, Italy.</t>
  </si>
  <si>
    <t>A pentagon has five sides.</t>
  </si>
  <si>
    <t>Who discovered America?</t>
  </si>
  <si>
    <t>Christopher Columbus.</t>
  </si>
  <si>
    <t>How many grams are in a kilogram?</t>
  </si>
  <si>
    <t>There are 1000 grams in a kilogram.</t>
  </si>
  <si>
    <t>What is the national animal of Germany?</t>
  </si>
  <si>
    <t>The national animal of Germany is the golden eagle.</t>
  </si>
  <si>
    <t>In which country is the Colosseum located?</t>
  </si>
  <si>
    <t>How many valves does a human heart have?</t>
  </si>
  <si>
    <t>A human heart has four valves.</t>
  </si>
  <si>
    <t>Who is the author of the Lord of the Rings trilogy?</t>
  </si>
  <si>
    <t>The largest country in Africa is Algeria.</t>
  </si>
  <si>
    <t>Who was the first person to set foot on the moon?</t>
  </si>
  <si>
    <t>Which artist painted the Mona Lisa?</t>
  </si>
  <si>
    <t>Which famous physicist developed the theory of gravity?</t>
  </si>
  <si>
    <t>Which famous scientist developed the theory of evolution?</t>
  </si>
  <si>
    <t>The tallest tree in the world is the Hyperion, a coast redwood tree.</t>
  </si>
  <si>
    <t>In which city is the Eiffel Tower located?</t>
  </si>
  <si>
    <t>Who painted the famous artwork "The Starry Night"?</t>
  </si>
  <si>
    <t>In which country is the Great Barrier Reef located?</t>
  </si>
  <si>
    <t>Which country is known as the "Land of the Pharaohs"?</t>
  </si>
  <si>
    <t>Egypt</t>
  </si>
  <si>
    <t>In which city is the Statue of Liberty located?</t>
  </si>
  <si>
    <t>The national animal of India is the Bengal tiger.</t>
  </si>
  <si>
    <t>Which scientist discovered penicillin?</t>
  </si>
  <si>
    <t>Alexander Fleming.</t>
  </si>
  <si>
    <t>What is the smallest continent in the world?</t>
  </si>
  <si>
    <t>Who composed the famous symphony "Symphony No. 5"?</t>
  </si>
  <si>
    <t>Which famous artist is known for painting the "Mona Lisa"?</t>
  </si>
  <si>
    <t>O</t>
  </si>
  <si>
    <t>Zeus</t>
  </si>
  <si>
    <t>The Sahara Desert is the largest desert in the world.</t>
  </si>
  <si>
    <t>Which famous scientist developed the theory of gravity?</t>
  </si>
  <si>
    <t>Mexico City.</t>
  </si>
  <si>
    <t>What is the official language of Japan?</t>
  </si>
  <si>
    <t>Who is the author of the book "The Great Gatsby"?</t>
  </si>
  <si>
    <t>Who painted the famous artwork "The Birth of Venus"?</t>
  </si>
  <si>
    <t>In which city is the Colosseum located?</t>
  </si>
  <si>
    <t>The largest waterfall in the world is Angel Falls in Venezuela.</t>
  </si>
  <si>
    <t>Which country is known as the "Land of the Midnight Sun"?</t>
  </si>
  <si>
    <t>The largest bird in the world is the ostrich.</t>
  </si>
  <si>
    <t>Who composed the famous symphony "Symphony No. 9"?</t>
  </si>
  <si>
    <t>What is the official language of Germany?</t>
  </si>
  <si>
    <t>The official language of Germany is German.</t>
  </si>
  <si>
    <t>In which country is the Parthenon located?</t>
  </si>
  <si>
    <t>J.D. Salinger</t>
  </si>
  <si>
    <t>Which scientist developed the theory of relativity?</t>
  </si>
  <si>
    <t>Who painted the famous artwork "The Girl with a Pearl Earring"?</t>
  </si>
  <si>
    <t>How many planets in our solar system have rings?</t>
  </si>
  <si>
    <t>Four planets in our solar system have rings.</t>
  </si>
  <si>
    <t>Which famous artist is known for painting the "The Starry Night"?</t>
  </si>
  <si>
    <t>Who composed the famous symphony "Symphony No. 6"?</t>
  </si>
  <si>
    <t>What is the official language of France?</t>
  </si>
  <si>
    <t>The official language of France is French.</t>
  </si>
  <si>
    <t>In which city is the Pyramids of Giza located?</t>
  </si>
  <si>
    <t>The Pyramids of Giza are located in Cairo, Egypt.</t>
  </si>
  <si>
    <t>Who wrote the novel "The Odyssey"?</t>
  </si>
  <si>
    <t>Homer wrote "The Odyssey".</t>
  </si>
  <si>
    <t>Who painted the famous artwork "The Night Watch"?</t>
  </si>
  <si>
    <t>How many continents are there?</t>
  </si>
  <si>
    <t>There are seven continents.</t>
  </si>
  <si>
    <t>Who is the author of the book "The Chronicles of Narnia"?</t>
  </si>
  <si>
    <t>What is the national animal of South Africa?</t>
  </si>
  <si>
    <t>The national animal of South Africa is the springbok.</t>
  </si>
  <si>
    <t>Which famous scientist developed the theory of quantum mechanics?</t>
  </si>
  <si>
    <t>Werner Heisenberg.</t>
  </si>
  <si>
    <t>Who composed the famous symphony "Symphony No. 3"?</t>
  </si>
  <si>
    <t>H2O</t>
  </si>
  <si>
    <t>Which famous scientist developed the theory of general relativity?</t>
  </si>
  <si>
    <t>Who is credited with inventing the telephone?</t>
  </si>
  <si>
    <t>In what year did the Berlin Wall fall?</t>
  </si>
  <si>
    <t>Which country is known for its famous pyramids?</t>
  </si>
  <si>
    <t>Which planet is closest to the sun?</t>
  </si>
  <si>
    <t>Mercury.</t>
  </si>
  <si>
    <t>There are typically 5 players on a basketball team.</t>
  </si>
  <si>
    <t>Which famous document begins with the words "We the People"?</t>
  </si>
  <si>
    <t>The United States Constitution.</t>
  </si>
  <si>
    <t>Pretoria</t>
  </si>
  <si>
    <t>Who is the author of the book "1984"?</t>
  </si>
  <si>
    <t>In which country was the game of chess invented?</t>
  </si>
  <si>
    <t>Who is the Greek goddess of wisdom?</t>
  </si>
  <si>
    <t>Athena.</t>
  </si>
  <si>
    <t>Who painted the famous artwork "The Scream"?</t>
  </si>
  <si>
    <t>Which planet is known as the Blue Planet?</t>
  </si>
  <si>
    <t>Who is credited with inventing the light bulb?</t>
  </si>
  <si>
    <t>Thomas Edison</t>
  </si>
  <si>
    <t>In what year did the Cold War end?</t>
  </si>
  <si>
    <t>The Cold War ended in 1991.</t>
  </si>
  <si>
    <t>Who is the Greek god of war?</t>
  </si>
  <si>
    <t>The Greek god of war is Ares.</t>
  </si>
  <si>
    <t>Who painted the famous artwork "Girl with a Pearl Earring"?</t>
  </si>
  <si>
    <t>Which country is known as the Land of the Midnight Sun?</t>
  </si>
  <si>
    <t>Who is the author of the book "The Catcher in the Rye"?</t>
  </si>
  <si>
    <t>The national bird of Canada is the Gray Jay.</t>
  </si>
  <si>
    <t>Which planet is known as the Ringed Planet?</t>
  </si>
  <si>
    <t>Saturn</t>
  </si>
  <si>
    <t>Who is credited with discovering gravity?</t>
  </si>
  <si>
    <t>Who is the Greek goddess of love and beauty?</t>
  </si>
  <si>
    <t>Aphrodite.</t>
  </si>
  <si>
    <t>In what year did World War I begin?</t>
  </si>
  <si>
    <t>What is the smallest ocean on Earth?</t>
  </si>
  <si>
    <t>The Arctic Ocean.</t>
  </si>
  <si>
    <t>What is the national flower of the United States?</t>
  </si>
  <si>
    <t>The national flower of the United States is the rose.</t>
  </si>
  <si>
    <t>How many strings does a standard guitar have?</t>
  </si>
  <si>
    <t>A standard guitar has six strings.</t>
  </si>
  <si>
    <t>Which country is known for its famous tower, the Eiffel Tower?</t>
  </si>
  <si>
    <t>Which planet is known as the Jewel of the Solar System?</t>
  </si>
  <si>
    <t>The largest ocean on Earth is the Pacific Ocean.</t>
  </si>
  <si>
    <t>The largest desert in the world is the Antarctic Desert.</t>
  </si>
  <si>
    <t>Which famous scientist formulated the theory of relativity?</t>
  </si>
  <si>
    <t>What famous building was constructed in ancient Rome and is considered one of the New Seven Wonders of the World?</t>
  </si>
  <si>
    <t>The Colosseum.</t>
  </si>
  <si>
    <t>What is the largest city in India?</t>
  </si>
  <si>
    <t>Mumbai.</t>
  </si>
  <si>
    <t>What is the national flower of Scotland?</t>
  </si>
  <si>
    <t>The national flower of Scotland is the thistle.</t>
  </si>
  <si>
    <t>Where was the Olympics first held?</t>
  </si>
  <si>
    <t>The first Olympics was held in Athens, Greece.</t>
  </si>
  <si>
    <t>Which planet in our solar system is known for its beautiful rings?</t>
  </si>
  <si>
    <t>Who is considered the father of modern physics and formulated the theory of general relativity?</t>
  </si>
  <si>
    <t>The national sport of Japan is sumo wrestling.</t>
  </si>
  <si>
    <t>Which country is famous for its tulips and windmills?</t>
  </si>
  <si>
    <t>What is the national fruit of India?</t>
  </si>
  <si>
    <t>The national fruit of India is the mango.</t>
  </si>
  <si>
    <t>Which famous scientist is known for his theory of evolution?</t>
  </si>
  <si>
    <t>The national sport of Canada is ice hockey.</t>
  </si>
  <si>
    <t>George Orwell</t>
  </si>
  <si>
    <t>Which famous scientist is known for his study of gravity and formulated the laws of motion?</t>
  </si>
  <si>
    <t>The tallest waterfall in the world is Angel Falls in Venezuela.</t>
  </si>
  <si>
    <t>Which continent is often referred to as the "cradle of civilization"?</t>
  </si>
  <si>
    <t>Africa.</t>
  </si>
  <si>
    <t>Which famous scientist is known for his theory of gravity and formulated the laws of motion?</t>
  </si>
  <si>
    <t>What is the largest waterfall in North America?</t>
  </si>
  <si>
    <t>The largest waterfall in North America is Niagara Falls.</t>
  </si>
  <si>
    <t>Which continent is known for its diverse wildlife, including elephants, lions, and giraffes?</t>
  </si>
  <si>
    <t>The capital city of Russia is Moscow.</t>
  </si>
  <si>
    <t>Which famous scientist is known for his study of genetics and formulated the laws of inheritance?</t>
  </si>
  <si>
    <t>Gregor Mendel.</t>
  </si>
  <si>
    <t>The national sport of Australia is Australian Rules Football.</t>
  </si>
  <si>
    <t>The Burj Khalifa is currently the tallest building in the world.</t>
  </si>
  <si>
    <t>Which continent is famous for its pyramids, including the Great Pyramid of Giza?</t>
  </si>
  <si>
    <t>Who is the author of the book "The Lord of the Rings"?</t>
  </si>
  <si>
    <t>Who painted the famous artwork "The Creation of Adam"?</t>
  </si>
  <si>
    <t>What is the national animal of Japan?</t>
  </si>
  <si>
    <t>The national animal of Japan is the Green Pheasant.</t>
  </si>
  <si>
    <t>The chemical symbol for copper is Cu.</t>
  </si>
  <si>
    <t>Which famous scientist is known for his theory of relativity and the equation E=mc²?</t>
  </si>
  <si>
    <t>What is the national sport of Germany?</t>
  </si>
  <si>
    <t>Football.</t>
  </si>
  <si>
    <t>What is the largest canyon in the world?</t>
  </si>
  <si>
    <t>The largest canyon in the world is the Grand Canyon.</t>
  </si>
  <si>
    <t>Which continent is known for its stunning beaches, including the Great Barrier Reef?</t>
  </si>
  <si>
    <t>Who is the author of the book "Brave New World"?</t>
  </si>
  <si>
    <t>Aldous Huxley</t>
  </si>
  <si>
    <t>Who painted the famous artwork "Water Lilies"?</t>
  </si>
  <si>
    <t>What is the chemical symbol for lead?</t>
  </si>
  <si>
    <t>The chemical symbol for lead is Pb.</t>
  </si>
  <si>
    <t>What is the national sport of France?</t>
  </si>
  <si>
    <t>The national sport of France is football (soccer).</t>
  </si>
  <si>
    <t>What is the tallest tree species in the world?</t>
  </si>
  <si>
    <t>The tallest tree species in the world is the coastal redwood (Sequoia sempervirens).</t>
  </si>
  <si>
    <t>Which continent is famous for its ancient ruins, including Machu Picchu?</t>
  </si>
  <si>
    <t>Who is the author of the book "The Odyssey"?</t>
  </si>
  <si>
    <t>The author of the book "The Odyssey" is Homer.</t>
  </si>
  <si>
    <t>How many continents are there on Earth?</t>
  </si>
  <si>
    <t>There are seven continents on Earth.</t>
  </si>
  <si>
    <t>What is the chemical symbol for water?</t>
  </si>
  <si>
    <t>The chemical symbol for water is H2O.</t>
  </si>
  <si>
    <t>Who painted the Sistine Chapel?</t>
  </si>
  <si>
    <t>What is the closest planet to the sun?</t>
  </si>
  <si>
    <t>Who wrote the book "To Kill a Mockingbird"?</t>
  </si>
  <si>
    <t>What is the largest ocean predator?</t>
  </si>
  <si>
    <t>The largest ocean predator is the sperm whale.</t>
  </si>
  <si>
    <t>How many players are there on a baseball team?</t>
  </si>
  <si>
    <t>9 players.</t>
  </si>
  <si>
    <t>Who was the Greek god of thunder?</t>
  </si>
  <si>
    <t>Zeus.</t>
  </si>
  <si>
    <t>What is the largest coral reef in the world?</t>
  </si>
  <si>
    <t>The Great Barrier Reef.</t>
  </si>
  <si>
    <t>How many legs does a spider have?</t>
  </si>
  <si>
    <t>A spider has eight legs.</t>
  </si>
  <si>
    <t>What is the highest-grossing film of all time?</t>
  </si>
  <si>
    <t>Avatar.</t>
  </si>
  <si>
    <t>George Washington</t>
  </si>
  <si>
    <t>The capital city of India is New Delhi.</t>
  </si>
  <si>
    <t>How many players are there on a basketball team?</t>
  </si>
  <si>
    <t>Who painted the artwork “The Persistence of Memory”?</t>
  </si>
  <si>
    <t>The blue whale is the largest animal on Earth.</t>
  </si>
  <si>
    <t>The computer was not invented by a single individual, but rather developed over time by a number of scientists and engineers.</t>
  </si>
  <si>
    <t>How many teeth does an adult human have, on average?</t>
  </si>
  <si>
    <t>An adult human has 32 teeth on average.</t>
  </si>
  <si>
    <t>Who painted the artwork "The Scream"?</t>
  </si>
  <si>
    <t>The largest lake in Africa is Lake Victoria.</t>
  </si>
  <si>
    <t>Who wrote the book "The Great Gatsby"?</t>
  </si>
  <si>
    <t>What is the deepest part of the ocean?</t>
  </si>
  <si>
    <t>An octagon has 8 sides.</t>
  </si>
  <si>
    <t>Who painted the artwork "Guernica"?</t>
  </si>
  <si>
    <t>How many bones are there in the human skull?</t>
  </si>
  <si>
    <t>Who was the first person to win the Nobel Prize in Literature?</t>
  </si>
  <si>
    <t>The first person to win the Nobel Prize in Literature was Sully Prudhomme.</t>
  </si>
  <si>
    <t>The currency of the United Kingdom is the British pound.</t>
  </si>
  <si>
    <t>Who designed the Eiffel Tower?</t>
  </si>
  <si>
    <t>Gustave Eiffel.</t>
  </si>
  <si>
    <t>Four.</t>
  </si>
  <si>
    <t>How many legs does a crab have?</t>
  </si>
  <si>
    <t>A crab typically has 10 legs.</t>
  </si>
  <si>
    <t>Who painted the artwork "The Girl with a Pearl Earring"?</t>
  </si>
  <si>
    <t>Giant panda.</t>
  </si>
  <si>
    <t>How many bones are there in a human hand?</t>
  </si>
  <si>
    <t>There are 27 bones in a human hand.</t>
  </si>
  <si>
    <t>Who painted the artwork "The Birth of Venus"?</t>
  </si>
  <si>
    <t>How many players are there on a soccer team?</t>
  </si>
  <si>
    <t>Who wrote the book "The Catcher in the Rye"?</t>
  </si>
  <si>
    <t>What is the largest city in the world?</t>
  </si>
  <si>
    <t>How many legs does a butterfly have?</t>
  </si>
  <si>
    <t>A butterfly has six legs.</t>
  </si>
  <si>
    <t>Who painted the artwork "The Creation of Adam"?</t>
  </si>
  <si>
    <t>How many strings does a violin typically have?</t>
  </si>
  <si>
    <t>A violin typically has four strings.</t>
  </si>
  <si>
    <t>Charles Darwin</t>
  </si>
  <si>
    <t>Who wrote the play "A Midsummer Night's Dream"?</t>
  </si>
  <si>
    <t>Which country is known as the Land of Fire and Ice?</t>
  </si>
  <si>
    <t>How many Oscars did the movie Titanic win?</t>
  </si>
  <si>
    <t>The movie Titanic won 11 Oscars.</t>
  </si>
  <si>
    <t>The largest ocean in the world is the Pacific Ocean.</t>
  </si>
  <si>
    <t>In what year did the United States declare independence from Great Britain?</t>
  </si>
  <si>
    <t>Who is the famous theoretical physicist who developed the theory of relativity?</t>
  </si>
  <si>
    <t>What is the symbol for the element oxygen on the periodic table?</t>
  </si>
  <si>
    <t>The symbol for the element oxygen on the periodic table is "O".</t>
  </si>
  <si>
    <t>A hexagon has 6 sides.</t>
  </si>
  <si>
    <t>The Sahara desert.</t>
  </si>
  <si>
    <t>There are 5 players in a basketball team.</t>
  </si>
  <si>
    <t>J.K. Rowling is the author of the Harry Potter book series.</t>
  </si>
  <si>
    <t>Who is the author of the novel To Kill a Mockingbird?</t>
  </si>
  <si>
    <t>Harper Lee</t>
  </si>
  <si>
    <t>How many teeth does an adult human usually have?</t>
  </si>
  <si>
    <t>An adult human usually has 32 teeth.</t>
  </si>
  <si>
    <t>In what year was the first iPhone released?</t>
  </si>
  <si>
    <t>The first iPhone was released in 2007.</t>
  </si>
  <si>
    <t>What is the longest river in South America?</t>
  </si>
  <si>
    <t>The longest river in South America is the Amazon River.</t>
  </si>
  <si>
    <t>Which country is home to the ancient ruins of Machu Picchu?</t>
  </si>
  <si>
    <t>Peru.</t>
  </si>
  <si>
    <t>Who is the author of the novel Pride and Prejudice?</t>
  </si>
  <si>
    <t>How many rings are there on the Olympic flag?</t>
  </si>
  <si>
    <t>There are five rings on the Olympic flag.</t>
  </si>
  <si>
    <t>Who is the author of the novel 1984?</t>
  </si>
  <si>
    <t>In what year did World War I start?</t>
  </si>
  <si>
    <t>Who is the author of the novel The Great Gatsby?</t>
  </si>
  <si>
    <t>F. Scott Fitzgerald is the author of The Great Gatsby.</t>
  </si>
  <si>
    <t>In what country would you find the Great Wall?</t>
  </si>
  <si>
    <t>How many stripes are there on the United States flag?</t>
  </si>
  <si>
    <t>There are 13 stripes on the United States flag.</t>
  </si>
  <si>
    <t>Who is the author of the novel The Catcher in the Rye?</t>
  </si>
  <si>
    <t>The author of The Catcher in the Rye is J.D. Salinger.</t>
  </si>
  <si>
    <t>Who is the author of the novel War and Peace?</t>
  </si>
  <si>
    <t>Leo Tolstoy.</t>
  </si>
  <si>
    <t>Who is considered the "Father of the Modern Computer"?</t>
  </si>
  <si>
    <t>Alan Turing.</t>
  </si>
  <si>
    <t>Who wrote the novel Frankenstein?</t>
  </si>
  <si>
    <t>Mary Shelley.</t>
  </si>
  <si>
    <t>Who is the author of the novel The Lord of the Rings?</t>
  </si>
  <si>
    <t>How many bones are in the human hand?</t>
  </si>
  <si>
    <t>There are 27 bones in the human hand.</t>
  </si>
  <si>
    <t>Who is the author of the novel Fahrenheit 451?</t>
  </si>
  <si>
    <t>Ray Bradbury.</t>
  </si>
  <si>
    <t>In what year was the Declaration of Independence signed?</t>
  </si>
  <si>
    <t>How many valves does the human heart have?</t>
  </si>
  <si>
    <t>The human heart has four valves.</t>
  </si>
  <si>
    <t>Tiger.</t>
  </si>
  <si>
    <t>Who wrote the novel The Odyssey?</t>
  </si>
  <si>
    <t>Homer.</t>
  </si>
  <si>
    <t>Which city hosted the 2016 Summer Olympics?</t>
  </si>
  <si>
    <t>Rio de Janeiro, Brazil.</t>
  </si>
  <si>
    <t>Who is the author of the novel Catch-22?</t>
  </si>
  <si>
    <t>Joseph Heller.</t>
  </si>
  <si>
    <t>How many legs does a spider usually have?</t>
  </si>
  <si>
    <t>A spider usually has eight legs.</t>
  </si>
  <si>
    <t>Who is the author of the novel Catcher in the Rye?</t>
  </si>
  <si>
    <t>In what year did the French Revolution begin?</t>
  </si>
  <si>
    <t>The French Revolution began in 1789.</t>
  </si>
  <si>
    <t>Who wrote the novel The Jungle Book?</t>
  </si>
  <si>
    <t>Rudyard Kipling.</t>
  </si>
  <si>
    <t>How many planets in our solar system have moons?</t>
  </si>
  <si>
    <t>There are eight planets in our solar system that have moons.</t>
  </si>
  <si>
    <t>Which city is known as the "City of Love"?</t>
  </si>
  <si>
    <t>What is the capital city of the United Kingdom?</t>
  </si>
  <si>
    <t>London</t>
  </si>
  <si>
    <t>Who painted the famous Mona Lisa?</t>
  </si>
  <si>
    <t>In which country did the Olympic Games originate?</t>
  </si>
  <si>
    <t>Which famous playwright wrote Romeo and Juliet?</t>
  </si>
  <si>
    <t>Which scientist proposed the theory of relativity?</t>
  </si>
  <si>
    <t>What is the formula for Einstein's theory of relativity?</t>
  </si>
  <si>
    <t>The formula for Einstein's theory of relativity is E = mc^2.</t>
  </si>
  <si>
    <t>The Statue of Liberty is located in New York City.</t>
  </si>
  <si>
    <t>Who painted the famous Starry Night?</t>
  </si>
  <si>
    <t>The largest desert in the world is the Antarctic desert.</t>
  </si>
  <si>
    <t>Who is often credited with inventing the telephone?</t>
  </si>
  <si>
    <t>Which country is known as "the Land of the Rising Sun"?</t>
  </si>
  <si>
    <t>What type of animal is the largest living species of lizard?</t>
  </si>
  <si>
    <t>The Komodo dragon.</t>
  </si>
  <si>
    <t>Who is known as the "Father of the American Constitution"?</t>
  </si>
  <si>
    <t>James Madison.</t>
  </si>
  <si>
    <t>What is the largest city in the United States by population?</t>
  </si>
  <si>
    <t>Which element has the atomic number 6?</t>
  </si>
  <si>
    <t>Carbon.</t>
  </si>
  <si>
    <t>Who was the ancient Greek philosopher known for his teachings on logic and ethics?</t>
  </si>
  <si>
    <t>Socrates</t>
  </si>
  <si>
    <t>What is the largest island in the Mediterranean Sea?</t>
  </si>
  <si>
    <t>Sicily.</t>
  </si>
  <si>
    <t>In which year did the United States declare its independence from Britain?</t>
  </si>
  <si>
    <t>The United States declared its independence from Britain in 1776.</t>
  </si>
  <si>
    <t>Kangaroo</t>
  </si>
  <si>
    <t>Who is considered the founder of modern psychology?</t>
  </si>
  <si>
    <t>Sigmund Freud.</t>
  </si>
  <si>
    <t>Who painted the famous painting The Last Supper?</t>
  </si>
  <si>
    <t>Who is the author of the novel Moby-Dick?</t>
  </si>
  <si>
    <t>Who composed the symphony known as Symphony No. 9, or "Beethoven's Ninth"?</t>
  </si>
  <si>
    <t>The author of the novel 1984 is George Orwell.</t>
  </si>
  <si>
    <t>Which mountain range stretches across seven countries in Europe?</t>
  </si>
  <si>
    <t>The Alps</t>
  </si>
  <si>
    <t>Who is known as the "Bard of Avon"?</t>
  </si>
  <si>
    <t>Who painted the famous painting The Scream?</t>
  </si>
  <si>
    <t>In which city is the Great Wall of China located?</t>
  </si>
  <si>
    <t>Who wrote the novel War and Peace?</t>
  </si>
  <si>
    <t>Leo Tolstoy</t>
  </si>
  <si>
    <t>The capital city of Egypt is Cairo.</t>
  </si>
  <si>
    <t>Who is known as the "Father of Geometry"?</t>
  </si>
  <si>
    <t>Euclid.</t>
  </si>
  <si>
    <t>What is the largest country by land area?</t>
  </si>
  <si>
    <t>Who composed the symphony known as Symphony No. 5?</t>
  </si>
  <si>
    <t>In which country is the city of Rio de Janeiro located?</t>
  </si>
  <si>
    <t>Who is considered the "father of modern economics"?</t>
  </si>
  <si>
    <t>Adam Smith.</t>
  </si>
  <si>
    <t>Who painted the famous painting The Persistence of Memory?</t>
  </si>
  <si>
    <t>In which year did World War I begin?</t>
  </si>
  <si>
    <t>What is the chemical formula for oxygen?</t>
  </si>
  <si>
    <t>The chemical formula for oxygen is O2.</t>
  </si>
  <si>
    <t>Aretha Franklin</t>
  </si>
  <si>
    <t>The national bird of India is the Indian Peacock.</t>
  </si>
  <si>
    <t>Who composed the symphony known as Symphony No. 6, or "Pastoral Symphony"?</t>
  </si>
  <si>
    <t>In which country is the city of Cape Town located?</t>
  </si>
  <si>
    <t>Who is considered the "father of modern psychology"?</t>
  </si>
  <si>
    <t>Who painted the famous painting The Girl with a Pearl Earring?</t>
  </si>
  <si>
    <t>Who wrote the plays Macbeth, Hamlet, and Othello?</t>
  </si>
  <si>
    <t>What is the largest lake in the United States by surface area?</t>
  </si>
  <si>
    <t>Lake Superior.</t>
  </si>
  <si>
    <t>Who composed the symphony known as Symphony No. 3, or "Eroica"?</t>
  </si>
  <si>
    <t>Who wrote the novel Les Misérables?</t>
  </si>
  <si>
    <t>Victor Hugo.</t>
  </si>
  <si>
    <t>There are 8 planets in our solar system.</t>
  </si>
  <si>
    <t>What is the largest mammal on Earth?</t>
  </si>
  <si>
    <t>What year did World War II start?</t>
  </si>
  <si>
    <t>World War II started in 1939.</t>
  </si>
  <si>
    <t>Which country is home to the Great Barrier Reef?</t>
  </si>
  <si>
    <t>What is the study of fossils called?</t>
  </si>
  <si>
    <t>The study of fossils is called paleontology.</t>
  </si>
  <si>
    <t>In which city is the Louvre Museum located?</t>
  </si>
  <si>
    <t>Who composed the musical piece "Für Elise"?</t>
  </si>
  <si>
    <t>Which famous singer is also known as "The King of Pop"?</t>
  </si>
  <si>
    <t>Boris Johnson is the current Prime Minister of the United Kingdom.</t>
  </si>
  <si>
    <t>Mars</t>
  </si>
  <si>
    <t>Australian Dollar</t>
  </si>
  <si>
    <t>Who is considered the father of modern physics?</t>
  </si>
  <si>
    <t>In mythology, who was the god of the sea?</t>
  </si>
  <si>
    <t>Who wrote the famous novel "To Kill a Mockingbird"?</t>
  </si>
  <si>
    <t>The official language of China is Mandarin.</t>
  </si>
  <si>
    <t>What is the national instrument of Japan?</t>
  </si>
  <si>
    <t>Koto.</t>
  </si>
  <si>
    <t>Which famous scientist developed the theory of evolution by natural selection?</t>
  </si>
  <si>
    <t>Who is the author of the novel "The Great Gatsby"?</t>
  </si>
  <si>
    <t>Asia</t>
  </si>
  <si>
    <t>In Greek mythology, who was the god of the underworld?</t>
  </si>
  <si>
    <t>Hades.</t>
  </si>
  <si>
    <t>Which famous scientist discovered the theory of gravity?</t>
  </si>
  <si>
    <t>Who is considered one of the greatest inventors of all time, with inventions such as the light bulb and phonograph?</t>
  </si>
  <si>
    <t>Who composed the musical piece "Symphony No. 5"?</t>
  </si>
  <si>
    <t>What is the hottest continent on Earth?</t>
  </si>
  <si>
    <t>Who is the Greek goddess of wisdom and warfare?</t>
  </si>
  <si>
    <t>The Greek goddess of wisdom and warfare is Athena.</t>
  </si>
  <si>
    <t>What is the national sport of India?</t>
  </si>
  <si>
    <t>Cricket.</t>
  </si>
  <si>
    <t>Who wrote the famous novel "Moby-Dick"?</t>
  </si>
  <si>
    <t>Cherry blossom.</t>
  </si>
  <si>
    <t>Which country is known for its fjords and vikings?</t>
  </si>
  <si>
    <t>Norway.</t>
  </si>
  <si>
    <t>C</t>
  </si>
  <si>
    <t>Who composed the musical piece "Moonlight Sonata"?</t>
  </si>
  <si>
    <t>Who painted the famous artwork "The Girl with the Pearl Earring"?</t>
  </si>
  <si>
    <t>Beijing</t>
  </si>
  <si>
    <t>Who is the Greek goddess of wisdom and strategy?</t>
  </si>
  <si>
    <t>Which planet in our solar system is known as the "Red Planet"?</t>
  </si>
  <si>
    <t>What is the tallest mountain on Earth?</t>
  </si>
  <si>
    <t>Which country is home to the Taj Mahal?</t>
  </si>
  <si>
    <t>Who wrote the plays "Romeo and Juliet" and "Hamlet"?</t>
  </si>
  <si>
    <t>Which country is known for the Great Wall?</t>
  </si>
  <si>
    <t>Which element is represented by the symbol Fe on the periodic table?</t>
  </si>
  <si>
    <t>Iron</t>
  </si>
  <si>
    <t>Who painted the artwork "The Starry Night"?</t>
  </si>
  <si>
    <t>What is the largest desert on Earth?</t>
  </si>
  <si>
    <t>The largest desert on Earth is the Antarctic Desert.</t>
  </si>
  <si>
    <t>Who is famous for the theory of relativity?</t>
  </si>
  <si>
    <t>In which year was the Declaration of Independence signed in the United States?</t>
  </si>
  <si>
    <t>The giraffe is the tallest animal in the world.</t>
  </si>
  <si>
    <t>Which country is known for the Tower of Pisa?</t>
  </si>
  <si>
    <t>Who painted the artwork "The Last Supper"?</t>
  </si>
  <si>
    <t>France</t>
  </si>
  <si>
    <t>In which country can you find the Great Sphinx?</t>
  </si>
  <si>
    <t>Who is known as the "Father of Evolution"?</t>
  </si>
  <si>
    <t>Who painted the artwork "Girl with a Pearl Earring"?</t>
  </si>
  <si>
    <t>Which country is known for the Colosseum?</t>
  </si>
  <si>
    <t>What is the smallest continent on Earth?</t>
  </si>
  <si>
    <t>Who painted the artwork "The Persistence of Memory"?</t>
  </si>
  <si>
    <t>Salvador Dali</t>
  </si>
  <si>
    <t>Which city is known as the "Big Apple"?</t>
  </si>
  <si>
    <t>How many players are there in a volleyball team?</t>
  </si>
  <si>
    <t>There are six players in a volleyball team.</t>
  </si>
  <si>
    <t>Who is famous for the theory of gravity?</t>
  </si>
  <si>
    <t>Blue whale.</t>
  </si>
  <si>
    <t>Which country is known for the Pyramids of Giza?</t>
  </si>
  <si>
    <t>Who is the Roman god of war?</t>
  </si>
  <si>
    <t>What is the largest city by population in the world?</t>
  </si>
  <si>
    <t>How many sides does a triangle have?</t>
  </si>
  <si>
    <t>A triangle has three sides.</t>
  </si>
  <si>
    <t>Who is the author of the Lord of the Rings book series?</t>
  </si>
  <si>
    <t>Which country is known for the Kremlin?</t>
  </si>
  <si>
    <t>Coastal redwoods are the tallest tree species in the world.</t>
  </si>
  <si>
    <t>Who is famous for the theory of evolution?</t>
  </si>
  <si>
    <t>The chemical symbol for potassium is "K".</t>
  </si>
  <si>
    <t>In which year did the Cold War end?</t>
  </si>
  <si>
    <t>Which country is known for the Serengeti National Park?</t>
  </si>
  <si>
    <t>Tanzania.</t>
  </si>
  <si>
    <t>The Greek goddess of wisdom is Athena.</t>
  </si>
  <si>
    <t>What is the largest city by area in the world?</t>
  </si>
  <si>
    <t>The largest city by area in the world is Hulunbuir, China.</t>
  </si>
  <si>
    <t>Who is the author of the Chronicles of Narnia book series?</t>
  </si>
  <si>
    <t>Which country is known for the Acropolis?</t>
  </si>
  <si>
    <t>In which country can you find the Amazon Rainforest?</t>
  </si>
  <si>
    <t>Who painted the artwork "The Guernica"?</t>
  </si>
  <si>
    <t>In which year was the Magna Carta signed in England?</t>
  </si>
  <si>
    <t>The Magna Carta was signed in England in the year 1215.</t>
  </si>
  <si>
    <t>Who wrote the novel "The Adventures of Huckleberry Finn"?</t>
  </si>
  <si>
    <t>Mark Twain.</t>
  </si>
  <si>
    <t>In which country would you find the Taj Mahal?</t>
  </si>
  <si>
    <t>How many inches are in a foot?</t>
  </si>
  <si>
    <t>There are 12 inches in a foot.</t>
  </si>
  <si>
    <t>The skin is the largest organ in the human body.</t>
  </si>
  <si>
    <t>What is the main ingredient in chocolate?</t>
  </si>
  <si>
    <t>The main ingredient in chocolate is cocoa beans.</t>
  </si>
  <si>
    <t>In what country is the Great Wall of China located?</t>
  </si>
  <si>
    <t>Who is the author of the book "To Kill a Mockingbird"?</t>
  </si>
  <si>
    <t>The beaver.</t>
  </si>
  <si>
    <t>When was the Declaration of Independence signed?</t>
  </si>
  <si>
    <t>July 4, 1776</t>
  </si>
  <si>
    <t>In what country would you find the pyramids of Giza?</t>
  </si>
  <si>
    <t>What is the main language spoken in Russia?</t>
  </si>
  <si>
    <t>The main language spoken in Russia is Russian.</t>
  </si>
  <si>
    <t>Who wrote the book "1984"?</t>
  </si>
  <si>
    <t>In which country would you find the ancient city of Machu Picchu?</t>
  </si>
  <si>
    <t>The national bird of the United States is the Bald Eagle.</t>
  </si>
  <si>
    <t>What is the main ingredient in gasoline?</t>
  </si>
  <si>
    <t>The main ingredient in gasoline is hydrocarbons.</t>
  </si>
  <si>
    <t>Who is the author of the book "Pride and Prejudice"?</t>
  </si>
  <si>
    <t>Who was the first person to win a Nobel Prize?</t>
  </si>
  <si>
    <t>The first person to win a Nobel Prize was Wilhelm Conrad Roentgen.</t>
  </si>
  <si>
    <t>In what year did the United States declare its independence from Great Britain?</t>
  </si>
  <si>
    <t>In which country would you find the Leaning Tower of Pisa?</t>
  </si>
  <si>
    <t>What is the national sport of the United States?</t>
  </si>
  <si>
    <t>The national sport of the United States is baseball.</t>
  </si>
  <si>
    <t>Who discovered the theory of gravity?</t>
  </si>
  <si>
    <t>The national animal of China is the Giant Panda.</t>
  </si>
  <si>
    <t>What is the main language spoken in Germany?</t>
  </si>
  <si>
    <t>The main language spoken in Germany is German.</t>
  </si>
  <si>
    <t>In which country would you find the city of Istanbul?</t>
  </si>
  <si>
    <t>Turkey.</t>
  </si>
  <si>
    <t>Who is the founder of Apple Inc.?</t>
  </si>
  <si>
    <t>The founder of Apple Inc. is Steve Jobs.</t>
  </si>
  <si>
    <t>The great white shark.</t>
  </si>
  <si>
    <t>In what country is the Statue of Liberty located?</t>
  </si>
  <si>
    <t>What is the smallest country in the world by land area?</t>
  </si>
  <si>
    <t>What is the main ingredient in beer?</t>
  </si>
  <si>
    <t>The main ingredient in beer is barley.</t>
  </si>
  <si>
    <t>Xi Jinping.</t>
  </si>
  <si>
    <t>In what year did the United States enter World War II?</t>
  </si>
  <si>
    <t>Who was the first woman to travel into space?</t>
  </si>
  <si>
    <t>Valentina Tereshkova</t>
  </si>
  <si>
    <t>What is the national animal of England?</t>
  </si>
  <si>
    <t>The national animal of England is the lion.</t>
  </si>
  <si>
    <t>Who wrote the book "The Hobbit"?</t>
  </si>
  <si>
    <t>In what year did the Industrial Revolution begin?</t>
  </si>
  <si>
    <t>The Industrial Revolution began in the 18th century.</t>
  </si>
  <si>
    <t>How many strings does a guitar have?</t>
  </si>
  <si>
    <t>A guitar typically has six strings.</t>
  </si>
  <si>
    <t>What is the main ingredient in paper?</t>
  </si>
  <si>
    <t>The main ingredient in paper is wood pulp.</t>
  </si>
  <si>
    <t>In which country did the Olympic Games originated?</t>
  </si>
  <si>
    <t>Greece</t>
  </si>
  <si>
    <t>Which famous scientist established the theory of relativity?</t>
  </si>
  <si>
    <t>The longest river in Africa is the Nile River.</t>
  </si>
  <si>
    <t>Which famous painter is known for cutting off part of their own ear?</t>
  </si>
  <si>
    <t>Which animal is the largest land mammal?</t>
  </si>
  <si>
    <t>The elephant.</t>
  </si>
  <si>
    <t>Who was the first female prime minister of the United Kingdom?</t>
  </si>
  <si>
    <t>Which country is famous for the Taj Mahal?</t>
  </si>
  <si>
    <t>Which animal is known for its stripes?</t>
  </si>
  <si>
    <t>Zebra.</t>
  </si>
  <si>
    <t>Who is known as the "father of modern physics"?</t>
  </si>
  <si>
    <t>Which US state is known as the "Golden State"?</t>
  </si>
  <si>
    <t>California.</t>
  </si>
  <si>
    <t>Who painted the famous work "Starry Night"?</t>
  </si>
  <si>
    <t>Which planet is known as the "Morning Star"?</t>
  </si>
  <si>
    <t>Venus.</t>
  </si>
  <si>
    <t>What is the highest grossing film of all time?</t>
  </si>
  <si>
    <t>Avengers: Endgame.</t>
  </si>
  <si>
    <t>What is the largest hot desert in the world?</t>
  </si>
  <si>
    <t>Who is the current prime minister of Canada?</t>
  </si>
  <si>
    <t>Which element is the lightest metal?</t>
  </si>
  <si>
    <t>Lithium.</t>
  </si>
  <si>
    <t>What is the capital of Argentina?</t>
  </si>
  <si>
    <t>Which country is home to the Great Pyramid of Giza?</t>
  </si>
  <si>
    <t>Who is the author of the famous play "Hamlet"?</t>
  </si>
  <si>
    <t>What is the official language of Italy?</t>
  </si>
  <si>
    <t>Which animal is known for its long neck?</t>
  </si>
  <si>
    <t>Which country is known for the Sydney Opera House?</t>
  </si>
  <si>
    <t>What is the highest mountain in North America?</t>
  </si>
  <si>
    <t>Mount Denali.</t>
  </si>
  <si>
    <t>Which natural disaster is measured on the Richter scale?</t>
  </si>
  <si>
    <t>Earthquakes.</t>
  </si>
  <si>
    <t>Who painted the famous work "Guernica"?</t>
  </si>
  <si>
    <t>Which country is known for the pyramids of Chichen Itza?</t>
  </si>
  <si>
    <t>Sir Isaac Newton.</t>
  </si>
  <si>
    <t>What is the largest city in Canada?</t>
  </si>
  <si>
    <t>Toronto.</t>
  </si>
  <si>
    <t>Which animal is known for its ability to change color?</t>
  </si>
  <si>
    <t>The chameleon.</t>
  </si>
  <si>
    <t>The currency of the United Kingdom is the British Pound (GBP).</t>
  </si>
  <si>
    <t>Who is known for his theory of general relativity?</t>
  </si>
  <si>
    <t>Which US state is known as the "Sunshine State"?</t>
  </si>
  <si>
    <t>Florida.</t>
  </si>
  <si>
    <t>Who painted the famous work "The Last Supper"?</t>
  </si>
  <si>
    <t>Which planet is known as the "evening star"?</t>
  </si>
  <si>
    <t>What is the highest grossing music album of all time?</t>
  </si>
  <si>
    <t>The highest grossing music album of all time is "Thriller" by Michael Jackson.</t>
  </si>
  <si>
    <t>What is the largest cold desert in the world?</t>
  </si>
  <si>
    <t>The largest cold desert in the world is Antarctica.</t>
  </si>
  <si>
    <t>Who is the current president of France?</t>
  </si>
  <si>
    <t>Which element has the atomic number 1?</t>
  </si>
  <si>
    <t>Ares</t>
  </si>
  <si>
    <t>Which country is home to the Acropolis?</t>
  </si>
  <si>
    <t>Who is the author of the famous play "Macbeth"?</t>
  </si>
  <si>
    <t>What is the largest city in the world by land area?</t>
  </si>
  <si>
    <t>The largest city in the world by land area is Moscow, Russia.</t>
  </si>
  <si>
    <t>Which planet is known for its big red spot?</t>
  </si>
  <si>
    <t>Benjamin Franklin</t>
  </si>
  <si>
    <t>Which animal is known for its long trunk?</t>
  </si>
  <si>
    <t>elephant</t>
  </si>
  <si>
    <t>The currency of China is the Chinese yuan (CNY).</t>
  </si>
  <si>
    <t>What is the chemical symbol for gold on the periodic table?</t>
  </si>
  <si>
    <t>Who painted the famous artwork "The Mona Lisa"?</t>
  </si>
  <si>
    <t>Benjamin Franklin is often credited with the discovery of electricity.</t>
  </si>
  <si>
    <t>Which country is the largest producer of coffee in the world?</t>
  </si>
  <si>
    <t>The currency of Japan is the yen.</t>
  </si>
  <si>
    <t>The process is called photosynthesis.</t>
  </si>
  <si>
    <t>What is the world's largest coral reef system?</t>
  </si>
  <si>
    <t>Bill Gates and Paul Allen founded Microsoft.</t>
  </si>
  <si>
    <t>The game of chess was invented in India.</t>
  </si>
  <si>
    <t>Which country gave the Statue of Liberty to the United States?</t>
  </si>
  <si>
    <t>What is the chemical symbol for iron on the periodic table?</t>
  </si>
  <si>
    <t>The chemical symbol for iron on the periodic table is Fe.</t>
  </si>
  <si>
    <t>In which country is the Eiffel Tower located?</t>
  </si>
  <si>
    <t>What is the chemical symbol for silver on the periodic table?</t>
  </si>
  <si>
    <t>What is the world's largest mammal?</t>
  </si>
  <si>
    <t>In which country did Renaissance art originate?</t>
  </si>
  <si>
    <t>In which year was the Declaration of Independence signed?</t>
  </si>
  <si>
    <t>What is the process by which plants produce oxygen called?</t>
  </si>
  <si>
    <t>What is the world's largest island?</t>
  </si>
  <si>
    <t>Who founded Apple Inc.?</t>
  </si>
  <si>
    <t>Steve Jobs, Steve Wozniak, and Ronald Wayne founded Apple Inc.</t>
  </si>
  <si>
    <t>What is the main language spoken in Mexico?</t>
  </si>
  <si>
    <t>In which country is the Acropolis located?</t>
  </si>
  <si>
    <t>Ostrich.</t>
  </si>
  <si>
    <t>In which country was the first modern Olympics held?</t>
  </si>
  <si>
    <t>What is the highest-grossing music album of all time?</t>
  </si>
  <si>
    <t>The highest-grossing music album of all time is "Thriller" by Michael Jackson.</t>
  </si>
  <si>
    <t>Which country is known as the "Land of the Long White Cloud"?</t>
  </si>
  <si>
    <t>New Zealand.</t>
  </si>
  <si>
    <t>What is the chemical symbol for oxygen on the periodic table?</t>
  </si>
  <si>
    <t>The chemical symbol for oxygen on the periodic table is O.</t>
  </si>
  <si>
    <t>What is the deepest ocean trench in the world called?</t>
  </si>
  <si>
    <t>The deepest ocean trench in the world is called the Mariana Trench.</t>
  </si>
  <si>
    <t>In which country is the Pyramids of Giza located?</t>
  </si>
  <si>
    <t>What is the largest lake in the world by surface area?</t>
  </si>
  <si>
    <t>The largest lake in the world by surface area is the Caspian Sea.</t>
  </si>
  <si>
    <t>In which year did the Berlin Wall fall?</t>
  </si>
  <si>
    <t>What is the process by which plants release water vapor called?</t>
  </si>
  <si>
    <t>The process is called transpiration.</t>
  </si>
  <si>
    <t>What is the national animal of Scotland?</t>
  </si>
  <si>
    <t>The national animal of Scotland is the unicorn.</t>
  </si>
  <si>
    <t>Who wrote the novel "Moby Dick"?</t>
  </si>
  <si>
    <t>What is the chemical symbol for hydrogen on the periodic table?</t>
  </si>
  <si>
    <t>The chemical symbol for hydrogen on the periodic table is H.</t>
  </si>
  <si>
    <t>Rio de Janeiro</t>
  </si>
  <si>
    <t>Name the four main characters in the TV show "Friends".</t>
  </si>
  <si>
    <t>The four main characters in the TV show "Friends" are Rachel, Ross, Monica, and Chandler.</t>
  </si>
  <si>
    <t>Which country is known for its famous landmarks such as the Great Wall and the Terracotta Warriors?</t>
  </si>
  <si>
    <t>In what year did the United States gain independence from Great Britain?</t>
  </si>
  <si>
    <t>Name the four Beatles.</t>
  </si>
  <si>
    <t>John Lennon, Paul McCartney, George Harrison, Ringo Starr.</t>
  </si>
  <si>
    <t>The official language of Japan is Japanese.</t>
  </si>
  <si>
    <t>The current President of France is Emmanuel Macron.</t>
  </si>
  <si>
    <t>Name the four main characters in the TV show "The Simpsons".</t>
  </si>
  <si>
    <t>Homer, Marge, Bart, Lisa.</t>
  </si>
  <si>
    <t>In what country did the Renaissance primarily take place?</t>
  </si>
  <si>
    <t>Who is the poet behind famous works such as "The Raven" and "Annabel Lee"?</t>
  </si>
  <si>
    <t>Who is the current Prime Minister of India?</t>
  </si>
  <si>
    <t>The current Prime Minister of India is Narendra Modi.</t>
  </si>
  <si>
    <t>Name the four main characters in the TV show "The Big Bang Theory".</t>
  </si>
  <si>
    <t>Sheldon, Leonard, Penny, and Howard.</t>
  </si>
  <si>
    <t>Name the four main characters in the TV show "Game of Thrones".</t>
  </si>
  <si>
    <t>Jon Snow, Daenerys Targaryen, Arya Stark, Tyrion Lannister.</t>
  </si>
  <si>
    <t>Angel Falls in Venezuela is the largest waterfall in the world.</t>
  </si>
  <si>
    <t>Which country is known for its famous landmarks such as the Eiffel Tower and the Louvre Museum?</t>
  </si>
  <si>
    <t>Name the four main characters in the TV show "Breaking Bad".</t>
  </si>
  <si>
    <t>Walter White, Jesse Pinkman, Skyler White, Hank Schrader</t>
  </si>
  <si>
    <t>What is the deepest ocean trench on Earth?</t>
  </si>
  <si>
    <t>The deepest ocean trench on Earth is the Mariana Trench.</t>
  </si>
  <si>
    <t>In what country did the Industrial Revolution begin?</t>
  </si>
  <si>
    <t>The Industrial Revolution began in England.</t>
  </si>
  <si>
    <t>What is the largest landlocked country in the world?</t>
  </si>
  <si>
    <t>Kazakhstan.</t>
  </si>
  <si>
    <t>Who is the poet behind famous works such as "The Waste Land" and "The Love Song of J. Alfred Prufrock"?</t>
  </si>
  <si>
    <t>In what year did the American Civil War end?</t>
  </si>
  <si>
    <t>The American Civil War ended in 1865.</t>
  </si>
  <si>
    <t>As of my knowledge, the current Prime Minister of the United Kingdom is Boris Johnson.</t>
  </si>
  <si>
    <t>Name the four main characters in the TV show "Stranger Things".</t>
  </si>
  <si>
    <t>The four main characters in "Stranger Things" are Eleven, Mike Wheeler, Lucas Sinclair, and Dustin Henderson.</t>
  </si>
  <si>
    <t>In what year did the Russian Revolution take place?</t>
  </si>
  <si>
    <t>The Russian Revolution took place in 1917.</t>
  </si>
  <si>
    <t>Scott Morrison</t>
  </si>
  <si>
    <t>Name the four main characters in the TV show "The Office".</t>
  </si>
  <si>
    <t>Michael Scott, Jim Halpert, Pam Beesly, Dwight Schrute.</t>
  </si>
  <si>
    <t>The Grand Canyon.</t>
  </si>
  <si>
    <t>Who is the author of "The Lord of the Rings" trilogy?</t>
  </si>
  <si>
    <t>In what country did the Olympic Games originate?</t>
  </si>
  <si>
    <t>Johannes Vermeer</t>
  </si>
  <si>
    <t>The four main characters in "Stranger Things" are Eleven, Mike, Dustin, and Lucas.</t>
  </si>
  <si>
    <t>The Pacific Ocean is the largest ocean in the world.</t>
  </si>
  <si>
    <t>Who wrote the Harry Potter series?</t>
  </si>
  <si>
    <t>In what country is the Great Wall located?</t>
  </si>
  <si>
    <t>Who is the author of the novel "To Kill a Mockingbird"?</t>
  </si>
  <si>
    <t>Who is the main protagonist in the Lord of the Rings trilogy?</t>
  </si>
  <si>
    <t>Frodo Baggins.</t>
  </si>
  <si>
    <t>Avatar</t>
  </si>
  <si>
    <t>Hockey</t>
  </si>
  <si>
    <t>Who is the author of the novel "1984"?</t>
  </si>
  <si>
    <t>The tallest tree species in the world is the California redwood (Sequoia sempervirens).</t>
  </si>
  <si>
    <t>Who composed the symphony "Ode to Joy"?</t>
  </si>
  <si>
    <t>Who is the author of the novel "Pride and Prejudice"?</t>
  </si>
  <si>
    <t>Boris Johnson</t>
  </si>
  <si>
    <t>The highest mountain in North America is Mount Denali.</t>
  </si>
  <si>
    <t>The national bird of Australia is the Emu.</t>
  </si>
  <si>
    <t>Who is the main antagonist in the Harry Potter series?</t>
  </si>
  <si>
    <t>Lord Voldemort.</t>
  </si>
  <si>
    <t>The national flower of France is the Lily (Fleur-de-lis).</t>
  </si>
  <si>
    <t>How many stars are there on the American flag?</t>
  </si>
  <si>
    <t>Who is the main protagonist in the Hunger Games trilogy?</t>
  </si>
  <si>
    <t>Katniss Everdeen.</t>
  </si>
  <si>
    <t>The national animal of Australia is the red kangaroo.</t>
  </si>
  <si>
    <t>Who composed the symphony "Symphony No. 5"?</t>
  </si>
  <si>
    <t>Who is the author of the novel "The Hobbit"?</t>
  </si>
  <si>
    <t>The national sport of India is field hockey.</t>
  </si>
  <si>
    <t>What is the largest bird species in the world?</t>
  </si>
  <si>
    <t>The largest bird species in the world is the ostrich.</t>
  </si>
  <si>
    <t>The Yangtze River.</t>
  </si>
  <si>
    <t>Who wrote the novel "The Lord of the Flies"?</t>
  </si>
  <si>
    <t>William Golding</t>
  </si>
  <si>
    <t>What is the national flower of Germany?</t>
  </si>
  <si>
    <t>The national flower of Germany is the cornflower.</t>
  </si>
  <si>
    <t>In which country is the Sydney Opera House located?</t>
  </si>
  <si>
    <t>Who is the main protagonist in the book series "A Song of Ice and Fire"?</t>
  </si>
  <si>
    <t>The main protagonist in the book series "A Song of Ice and Fire" is Jon Snow.</t>
  </si>
  <si>
    <t>What is the largest country in Europe by land area?</t>
  </si>
  <si>
    <t>The largest country in Europe by land area is Russia.</t>
  </si>
  <si>
    <t>Who was the first female astronaut to travel into space?</t>
  </si>
  <si>
    <t>What is the chemical symbol for the element gold?</t>
  </si>
  <si>
    <t>How many colors are in a rainbow?</t>
  </si>
  <si>
    <t>Which actor played the character Tony Stark in the Marvel Cinematic Universe?</t>
  </si>
  <si>
    <t>Robert Downey Jr.</t>
  </si>
  <si>
    <t>Who composed the Symphony No. 9 in D minor, also known as Beethoven's 9th Symphony?</t>
  </si>
  <si>
    <t>Who was the first American astronaut to walk on the Moon?</t>
  </si>
  <si>
    <t>Who painted the famous artwork called "Starry Night"?</t>
  </si>
  <si>
    <t>In Greek mythology, who is the king of the gods?</t>
  </si>
  <si>
    <t>Who played the character Captain Jack Sparrow in the Pirates of the Caribbean movies?</t>
  </si>
  <si>
    <t>Johnny Depp.</t>
  </si>
  <si>
    <t>What is the longest river in the United States?</t>
  </si>
  <si>
    <t>The longest river in the United States is the Missouri River.</t>
  </si>
  <si>
    <t>What is the chemical symbol for the element iron?</t>
  </si>
  <si>
    <t>The chemical symbol for the element iron is Fe.</t>
  </si>
  <si>
    <t>Who painted the artwork called "The Starry Night"?</t>
  </si>
  <si>
    <t>Mississippi River.</t>
  </si>
  <si>
    <t>Who painted the famous artwork called "The Last Supper"?</t>
  </si>
  <si>
    <t>What is the scientific name for the human species?</t>
  </si>
  <si>
    <t>Homo sapiens.</t>
  </si>
  <si>
    <t>The Vatican City.</t>
  </si>
  <si>
    <t>Rio de Janeiro, Brazil</t>
  </si>
  <si>
    <t>What is the capital city of South Korea?</t>
  </si>
  <si>
    <t>Seoul.</t>
  </si>
  <si>
    <t>What is the chemical symbol for the element silver?</t>
  </si>
  <si>
    <t>Who painted the famous artwork called "The Girl with a Pearl Earring"?</t>
  </si>
  <si>
    <t>What is the largest country in Africa by land area?</t>
  </si>
  <si>
    <t>Who composed the ballet The Nutcracker?</t>
  </si>
  <si>
    <t>Tchaikovsky.</t>
  </si>
  <si>
    <t>What is the name of the famous ship that sank in 1912?</t>
  </si>
  <si>
    <t>Titanic.</t>
  </si>
  <si>
    <t>Who painted the famous artwork called "The Birth of Venus"?</t>
  </si>
  <si>
    <t>What is the chemical symbol for the element carbon?</t>
  </si>
  <si>
    <t>In which country are the Galapagos Islands located?</t>
  </si>
  <si>
    <t>Ecuador.</t>
  </si>
  <si>
    <t>Which actor played the character Wolverine in the X-Men movies?</t>
  </si>
  <si>
    <t>Hugh Jackman.</t>
  </si>
  <si>
    <t>Who painted the famous artwork called "The Scream"?</t>
  </si>
  <si>
    <t>What is the official language of India?</t>
  </si>
  <si>
    <t>The official language of India is Hindi.</t>
  </si>
  <si>
    <t>Who composed the Symphony No. 5 in C minor, also known as Beethoven's 5th Symphony?</t>
  </si>
  <si>
    <t>Who is the longest-serving monarch in British history?</t>
  </si>
  <si>
    <t>Who painted the famous artwork called "The Last Judgment"?</t>
  </si>
  <si>
    <t>What is the chemical symbol for the element oxygen?</t>
  </si>
  <si>
    <t>The chemical symbol for the element oxygen is O.</t>
  </si>
  <si>
    <t>Name the three primary colors.</t>
  </si>
  <si>
    <t>The three primary colors are red, blue, and yellow.</t>
  </si>
  <si>
    <t>In which country would you find the Great Wall?</t>
  </si>
  <si>
    <t>Neil Armstrong</t>
  </si>
  <si>
    <t>How many players are on a football (soccer) team?</t>
  </si>
  <si>
    <t>There are 11 players on a football (soccer) team.</t>
  </si>
  <si>
    <t>In which city would you find the Eiffel Tower?</t>
  </si>
  <si>
    <t>How many seconds are in a minute?</t>
  </si>
  <si>
    <t>There are 60 seconds in a minute.</t>
  </si>
  <si>
    <t>Who wrote the famous play "Romeo and Juliet"?</t>
  </si>
  <si>
    <t>Which continent is the driest on Earth?</t>
  </si>
  <si>
    <t>Antarctica.</t>
  </si>
  <si>
    <t>The author of the book "1984" is George Orwell.</t>
  </si>
  <si>
    <t>Who was the commander of the Confederate Army during the US Civil War?</t>
  </si>
  <si>
    <t>Robert E. Lee.</t>
  </si>
  <si>
    <t>How many planets are considered rocky in our solar system?</t>
  </si>
  <si>
    <t>Four planets are considered rocky in our solar system.</t>
  </si>
  <si>
    <t>In which country would you find the Pyramids of Giza?</t>
  </si>
  <si>
    <t>Who was the first person to win a Nobel Prize in physics?</t>
  </si>
  <si>
    <t>Wilhelm Conrad Röntgen</t>
  </si>
  <si>
    <t>In which city would you find the Statue of Liberty?</t>
  </si>
  <si>
    <t>The current Prime Minister of Canada is Justin Trudeau.</t>
  </si>
  <si>
    <t>What is the common name for the Aurora Borealis?</t>
  </si>
  <si>
    <t>The Northern Lights.</t>
  </si>
  <si>
    <t>Who wrote the famous novel "Pride and Prejudice"?</t>
  </si>
  <si>
    <t>Mauna Loa</t>
  </si>
  <si>
    <t>How many stripes are on the flag of the United States?</t>
  </si>
  <si>
    <t>There are 13 stripes on the flag of the United States.</t>
  </si>
  <si>
    <t>In which country would you find the Colosseum?</t>
  </si>
  <si>
    <t>Benjamin Franklin is credited with discovering electricity.</t>
  </si>
  <si>
    <t>Who was the first woman to fly solo across the Atlantic Ocean?</t>
  </si>
  <si>
    <t>Amelia Earhart.</t>
  </si>
  <si>
    <t>Tokyo</t>
  </si>
  <si>
    <t>The national flower of France is the fleur-de-lis.</t>
  </si>
  <si>
    <t>How many chambers are in the human heart?</t>
  </si>
  <si>
    <t>Who directed the film "Titanic"?</t>
  </si>
  <si>
    <t>James Cameron.</t>
  </si>
  <si>
    <t>In which city would you find the Acropolis?</t>
  </si>
  <si>
    <t>What is the largest freshwater lake in the world by surface area?</t>
  </si>
  <si>
    <t>The largest freshwater lake in the world by surface area is Lake Superior.</t>
  </si>
  <si>
    <t>How many years are in a millennium?</t>
  </si>
  <si>
    <t>Who developed the theory of relativity?</t>
  </si>
  <si>
    <t>What is the largest city in Brazil?</t>
  </si>
  <si>
    <t>São Paulo.</t>
  </si>
  <si>
    <t>Who was the first woman to win a Nobel Prize in chemistry?</t>
  </si>
  <si>
    <t>A crab has 10 legs.</t>
  </si>
  <si>
    <t>Who wrote the plays Romeo and Juliet and Hamlet?</t>
  </si>
  <si>
    <t>The Sahara.</t>
  </si>
  <si>
    <t>In which city did the Olympic Games originate?</t>
  </si>
  <si>
    <t>The Olympic Games originated in Olympia, Greece.</t>
  </si>
  <si>
    <t>What is the biggest organ in the human body?</t>
  </si>
  <si>
    <t>The cherry blossom.</t>
  </si>
  <si>
    <t>Which continent is known as the "Dark Continent"?</t>
  </si>
  <si>
    <t>In which city is the famous landmark the Eiffel Tower located?</t>
  </si>
  <si>
    <t>How many years are in a century?</t>
  </si>
  <si>
    <t>There are 100 years in a century.</t>
  </si>
  <si>
    <t>What is the largest snake in the world?</t>
  </si>
  <si>
    <t>The largest snake in the world is the green anaconda.</t>
  </si>
  <si>
    <t>In which city is the famous statue of Christ the Redeemer located?</t>
  </si>
  <si>
    <t>Rio de Janeiro.</t>
  </si>
  <si>
    <t>Who was the Greek goddess of wisdom?</t>
  </si>
  <si>
    <t>In which city is the famous landmark the Colosseum located?</t>
  </si>
  <si>
    <t>What is the largest land mammal in the world?</t>
  </si>
  <si>
    <t>The largest land mammal in the world is the African elephant.</t>
  </si>
  <si>
    <t>As of my knowledge update in September 2021, the current Prime Minister of Canada is Justin Trudeau.</t>
  </si>
  <si>
    <t>In which city is the famous landmark the Statue of Liberty located?</t>
  </si>
  <si>
    <t>New York City</t>
  </si>
  <si>
    <t>J. D. Salinger</t>
  </si>
  <si>
    <t>Which country is known for producing the most chocolate in the world?</t>
  </si>
  <si>
    <t>Switzerland.</t>
  </si>
  <si>
    <t>What is the national animal of Brazil?</t>
  </si>
  <si>
    <t>The national animal of Brazil is the jaguar.</t>
  </si>
  <si>
    <t>In which city is the famous landmark the Taj Mahal located?</t>
  </si>
  <si>
    <t>Agra.</t>
  </si>
  <si>
    <t>Which continent is known as the "Land Down Under"?</t>
  </si>
  <si>
    <t>In which country is the Amazon Rainforest located?</t>
  </si>
  <si>
    <t>The national animal of Germany is the eagle.</t>
  </si>
  <si>
    <t>Madonna.</t>
  </si>
  <si>
    <t>The national flower of France is the Fleur-de-lis.</t>
  </si>
  <si>
    <t>Which continent is known for being the coldest and driest?</t>
  </si>
  <si>
    <t>In which city is the famous landmark the Sydney Opera House located?</t>
  </si>
  <si>
    <t>What is the national animal of Mexico?</t>
  </si>
  <si>
    <t>The national animal of Mexico is the golden eagle.</t>
  </si>
  <si>
    <t>A basketball team typically has five players.</t>
  </si>
  <si>
    <t>What is the national animal of Italy?</t>
  </si>
  <si>
    <t>The national animal of Italy is the Italian wolf.</t>
  </si>
  <si>
    <t>In which country is the Serengeti National Park located?</t>
  </si>
  <si>
    <t>What is the birthplace of Buddha?</t>
  </si>
  <si>
    <t>The birthplace of Buddha is Lumbini, Nepal.</t>
  </si>
  <si>
    <t>Who composed the symphony called "Ode to Joy"?</t>
  </si>
  <si>
    <t>The capital of South Africa is Pretoria.</t>
  </si>
  <si>
    <t>Which animal is known as the "King of the Jungle"?</t>
  </si>
  <si>
    <t>Lion.</t>
  </si>
  <si>
    <t>Who wrote the Harry Potter book series?</t>
  </si>
  <si>
    <t>What is the main language spoken in India?</t>
  </si>
  <si>
    <t>The main language spoken in India is Hindi.</t>
  </si>
  <si>
    <t>What is the deepest ocean in the world?</t>
  </si>
  <si>
    <t>Who invented the lightbulb?</t>
  </si>
  <si>
    <t>Who composed the symphony called "Symphony No. 5"?</t>
  </si>
  <si>
    <t>Sir Isaac Newton</t>
  </si>
  <si>
    <t>Who painted the Creation of Adam?</t>
  </si>
  <si>
    <t>Brazil's currency is the Brazilian Real.</t>
  </si>
  <si>
    <t>The world's longest river is the Nile River.</t>
  </si>
  <si>
    <t>Who is known as the father of modern physics?</t>
  </si>
  <si>
    <t>The national flower of France is the Lily.</t>
  </si>
  <si>
    <t>Which island is home to the Great Barrier Reef?</t>
  </si>
  <si>
    <t>The Great Barrier Reef is located off the coast of Australia.</t>
  </si>
  <si>
    <t>Who is known as the father of modern psychology?</t>
  </si>
  <si>
    <t>What is the highest mountain range in North America?</t>
  </si>
  <si>
    <t>The highest mountain range in North America is the Rocky Mountains.</t>
  </si>
  <si>
    <t>The primary language spoken in China is Mandarin.</t>
  </si>
  <si>
    <t>Which country is known as the Land Down Under?</t>
  </si>
  <si>
    <t>Who is known as the father of modern biology?</t>
  </si>
  <si>
    <t>Who composed the symphony known as Symphony No. 9?</t>
  </si>
  <si>
    <t>The Berlin Wall fell in 1989.</t>
  </si>
  <si>
    <t>Who painted The Persistence of Memory?</t>
  </si>
  <si>
    <t>What is the biggest island in the Mediterranean Sea?</t>
  </si>
  <si>
    <t>Who is known as the father of modern sociology?</t>
  </si>
  <si>
    <t>Émile Durkheim</t>
  </si>
  <si>
    <t>Who painted The Creation of Adam?</t>
  </si>
  <si>
    <t>The smallest ocean on Earth is the Arctic Ocean.</t>
  </si>
  <si>
    <t>Who is known as the father of modern medicine?</t>
  </si>
  <si>
    <t>Hippocrates.</t>
  </si>
  <si>
    <t>What is the main language spoken in Japan?</t>
  </si>
  <si>
    <t>Which country is known as the Land of Smiles?</t>
  </si>
  <si>
    <t>Who is known as the father of modern philosophy?</t>
  </si>
  <si>
    <t>René Descartes is known as the father of modern philosophy.</t>
  </si>
  <si>
    <t>What is the longest railway tunnel in the world?</t>
  </si>
  <si>
    <t>The longest railway tunnel in the world is the Gotthard Base Tunnel in Switzerland.</t>
  </si>
  <si>
    <t>Who painted The Girl with a Pearl Earring?</t>
  </si>
  <si>
    <t>Which country is known as the Land of a Thousand Lakes?</t>
  </si>
  <si>
    <t>Finland</t>
  </si>
  <si>
    <t>Who invented the calculus?</t>
  </si>
  <si>
    <t>Sir Isaac Newton and Gottfried Wilhelm Leibniz are both credited with independently inventing calculus.</t>
  </si>
  <si>
    <t>Who is known as the father of modern anthropology?</t>
  </si>
  <si>
    <t>Franz Boas</t>
  </si>
  <si>
    <t>Who painted The Birth of Venus?</t>
  </si>
  <si>
    <t>Which country is known as the Land of the Rising Dragon?</t>
  </si>
  <si>
    <t>Vietnam.</t>
  </si>
  <si>
    <t>Canberra</t>
  </si>
  <si>
    <t>Skin.</t>
  </si>
  <si>
    <t>Stapes</t>
  </si>
  <si>
    <t>Which river runs through the city of London?</t>
  </si>
  <si>
    <t>The River Thames.</t>
  </si>
  <si>
    <t>What is the 27th letter of the alphabet?</t>
  </si>
  <si>
    <t>There is no 27th letter in the alphabet.</t>
  </si>
  <si>
    <t>What is the square root of 144?</t>
  </si>
  <si>
    <t>In what year was the United Nations founded?</t>
  </si>
  <si>
    <t>Michelangelo Buonarroti.</t>
  </si>
  <si>
    <t>What is the square root of 100?</t>
  </si>
  <si>
    <t>The square root of 100 is 10.</t>
  </si>
  <si>
    <t>Benjamin Franklin is often credited with discovering electricity through his famous experiment with a key and a kite in 1752. However, electricity had been observed and studied by many scientists and inventors prior to Franklin's experiment.</t>
  </si>
  <si>
    <t>Which river runs through the Grand Canyon?</t>
  </si>
  <si>
    <t>The Colorado River.</t>
  </si>
  <si>
    <t>What is the 25th letter of the alphabet?</t>
  </si>
  <si>
    <t>Y.</t>
  </si>
  <si>
    <t>In which country is the Great Pyramid of Giza located?</t>
  </si>
  <si>
    <t>How many states are there in the United States?</t>
  </si>
  <si>
    <t>There are 50 states in the United States.</t>
  </si>
  <si>
    <t>Edgar Allan Poe</t>
  </si>
  <si>
    <t>In which country is the city of Prague located?</t>
  </si>
  <si>
    <t>Czech Republic.</t>
  </si>
  <si>
    <t>The capital of Brazil is Brasília.</t>
  </si>
  <si>
    <t>How many stripes are on the American flag?</t>
  </si>
  <si>
    <t>There are 13 stripes on the American flag.</t>
  </si>
  <si>
    <t>In which country is the city of Tokyo located?</t>
  </si>
  <si>
    <t>What is the largest waterfall in the United States?</t>
  </si>
  <si>
    <t>The largest waterfall in the United States is Niagara Falls.</t>
  </si>
  <si>
    <t>Who was the Roman god of love?</t>
  </si>
  <si>
    <t>The Roman god of love was Cupid.</t>
  </si>
  <si>
    <t>What is the 29th letter of the alphabet?</t>
  </si>
  <si>
    <t>Which country is known for the Statue of Liberty?</t>
  </si>
  <si>
    <t>The United States.</t>
  </si>
  <si>
    <t>Which ancient wonder of the world was located in Egypt?</t>
  </si>
  <si>
    <t>The Pyramids of Giza.</t>
  </si>
  <si>
    <t>Who is considered the father of modern psychology?</t>
  </si>
  <si>
    <t>Who won the FIFA World Cup in 2018?</t>
  </si>
  <si>
    <t>The square root of 144 is 12.</t>
  </si>
  <si>
    <t>In what year did Neil Armstrong walk on the moon?</t>
  </si>
  <si>
    <t>Neil Armstrong walked on the moon in 1969.</t>
  </si>
  <si>
    <t>What is the main ingredient in hummus?</t>
  </si>
  <si>
    <t>The main ingredient in hummus is chickpeas.</t>
  </si>
  <si>
    <t>In what year did the United States gain independence?</t>
  </si>
  <si>
    <t>Who is the lead singer of the band Coldplay?</t>
  </si>
  <si>
    <t>Chris Martin.</t>
  </si>
  <si>
    <t>Which city is known as the "Eternal City"?</t>
  </si>
  <si>
    <t>What is the scientific study of the Earth's atmosphere called?</t>
  </si>
  <si>
    <t>Meteorology</t>
  </si>
  <si>
    <t>Who won the Nobel Prize in Physics in 2020?</t>
  </si>
  <si>
    <t>Andrea Ghez, Reinhard Genzel, and Roger Penrose.</t>
  </si>
  <si>
    <t>Which river flows through the Grand Canyon?</t>
  </si>
  <si>
    <t>The national animal of Russia is the Russian brown bear.</t>
  </si>
  <si>
    <t>The current Queen of England is Queen Elizabeth II.</t>
  </si>
  <si>
    <t>What is the longest running Broadway musical?</t>
  </si>
  <si>
    <t>"The Phantom of the Opera"</t>
  </si>
  <si>
    <t>Who wrote the novel "Jane Eyre"?</t>
  </si>
  <si>
    <t>Charlotte Bronte.</t>
  </si>
  <si>
    <t>How many feet are in a mile?</t>
  </si>
  <si>
    <t>There are 5,280 feet in a mile.</t>
  </si>
  <si>
    <t>Which country is known for flamenco dancing?</t>
  </si>
  <si>
    <t>What is the longest poem ever written?</t>
  </si>
  <si>
    <t>The longest poem ever written is the Mahabharata.</t>
  </si>
  <si>
    <t>Which country is famous for the Great Barrier Reef?</t>
  </si>
  <si>
    <t>Which planet in our solar system is known for having a ring system?</t>
  </si>
  <si>
    <t>Neil Armstrong was the first person to walk on the moon.</t>
  </si>
  <si>
    <t>H.</t>
  </si>
  <si>
    <t>Who is known as the "Father of Physics"?</t>
  </si>
  <si>
    <t>The current Prime Minister of the United Kingdom is Boris Johnson.</t>
  </si>
  <si>
    <t>Which country is famous for its maple syrup?</t>
  </si>
  <si>
    <t>Who is known for his theory of evolution?</t>
  </si>
  <si>
    <t>How many players are there in a cricket team?</t>
  </si>
  <si>
    <t>There are 11 players in a cricket team.</t>
  </si>
  <si>
    <t>The currency of Russia is the Russian ruble.</t>
  </si>
  <si>
    <t>There are usually seven colors in a rainbow: red, orange, yellow, green, blue, indigo, and violet.</t>
  </si>
  <si>
    <t>Which country is famous for its kangaroos?</t>
  </si>
  <si>
    <t>There are 9 players in a baseball team.</t>
  </si>
  <si>
    <t>Who is known as the "Father of Medicine"?</t>
  </si>
  <si>
    <t>What is the largest moon in our solar system?</t>
  </si>
  <si>
    <t>Ganymede.</t>
  </si>
  <si>
    <t>Narendra Modi.</t>
  </si>
  <si>
    <t>Which country is known for its chocolate?</t>
  </si>
  <si>
    <t>What is the largest desert in North America?</t>
  </si>
  <si>
    <t>The largest desert in North America is the Chihuahuan Desert.</t>
  </si>
  <si>
    <t>Which country is famous for its pandas?</t>
  </si>
  <si>
    <t>What is the tallest waterfall in North America?</t>
  </si>
  <si>
    <t>The tallest waterfall in North America is Angel Falls.</t>
  </si>
  <si>
    <t>Which country is known as the Land of the Long White Cloud?</t>
  </si>
  <si>
    <t>What is the largest lake in North America?</t>
  </si>
  <si>
    <t>The largest lake in North America is Lake Superior.</t>
  </si>
  <si>
    <t>Who is known as the "Father of Modern Science"?</t>
  </si>
  <si>
    <t>Galileo Galilei.</t>
  </si>
  <si>
    <t>Which country is famous for its pyramids and pharaohs?</t>
  </si>
  <si>
    <t>Beaver.</t>
  </si>
  <si>
    <t>What country is known for the Taj Mahal?</t>
  </si>
  <si>
    <t>The chemical symbol for oxygen on the periodic table is O</t>
  </si>
  <si>
    <t>Who is the creator of the television show "The Simpsons"?</t>
  </si>
  <si>
    <t>Matt Groening.</t>
  </si>
  <si>
    <t>What is the chemical symbol for carbon on the periodic table?</t>
  </si>
  <si>
    <t>The chemical symbol for carbon on the periodic table is C.</t>
  </si>
  <si>
    <t>What is the chemical symbol for nitrogen on the periodic table?</t>
  </si>
  <si>
    <t>The chemical symbol for nitrogen on the periodic table is N.</t>
  </si>
  <si>
    <t>Who is the creator of the Facebook social media platform?</t>
  </si>
  <si>
    <t>What country is known for the Great Barrier Reef?</t>
  </si>
  <si>
    <t>Who developed the theory of gravity?</t>
  </si>
  <si>
    <t>Who is the creator of the Microsoft software company?</t>
  </si>
  <si>
    <t>What is the largest continent by population?</t>
  </si>
  <si>
    <t>The national animal of South Africa is the Springbok.</t>
  </si>
  <si>
    <t>What country is known for the Pyramids of Giza?</t>
  </si>
  <si>
    <t>In what year was the first computer invented?</t>
  </si>
  <si>
    <t>The first computer was invented in 1943.</t>
  </si>
  <si>
    <t>What is the chemical symbol for sodium on the periodic table?</t>
  </si>
  <si>
    <t>The chemical symbol for sodium on the periodic table is Na.</t>
  </si>
  <si>
    <t>The national animal of Japan is the tanuki (raccoon dog).</t>
  </si>
  <si>
    <t>Who discovered the laws of motion?</t>
  </si>
  <si>
    <t>Isaac Newton discovered the laws of motion.</t>
  </si>
  <si>
    <t>What country is known for the Colosseum?</t>
  </si>
  <si>
    <t>The national animal of Russia is the Russian bear.</t>
  </si>
  <si>
    <t>Benjamin Franklin.</t>
  </si>
  <si>
    <t>What country is known for the Great Wall?</t>
  </si>
  <si>
    <t>The current Prime Minister of Australia is Scott Morrison.</t>
  </si>
  <si>
    <t>In what year did the Black Death occur in Europe?</t>
  </si>
  <si>
    <t>The Black Death occurred in Europe in the year 1347.</t>
  </si>
  <si>
    <t>What country is known for the Eiffel Tower?</t>
  </si>
  <si>
    <t>The world's longest river is the Nile.</t>
  </si>
  <si>
    <t>Which famous artist is known for his painting of "The Last Supper"?</t>
  </si>
  <si>
    <t>What is the world's third-largest ocean?</t>
  </si>
  <si>
    <t>The Indian Ocean.</t>
  </si>
  <si>
    <t>The largest country in Africa by land area is Algeria.</t>
  </si>
  <si>
    <t>Which organ in the human body produces insulin?</t>
  </si>
  <si>
    <t>The pancreas.</t>
  </si>
  <si>
    <t>Which country is known for the pyramids of Giza?</t>
  </si>
  <si>
    <t>What is the deepest point in the Earth's oceans?</t>
  </si>
  <si>
    <t>The deepest point in the Earth's oceans is the Mariana Trench.</t>
  </si>
  <si>
    <t>Who is the painter of the famous artwork "The Persistence of Memory"?</t>
  </si>
  <si>
    <t>The current Chancellor of Germany is Angela Merkel.</t>
  </si>
  <si>
    <t>What is the deadliest snake in the world?</t>
  </si>
  <si>
    <t>The inland taipan.</t>
  </si>
  <si>
    <t>Who is the famous architect behind the design of the Sydney Opera House?</t>
  </si>
  <si>
    <t>Jørn Utzon</t>
  </si>
  <si>
    <t>Who is considered the "Father of Physics"?</t>
  </si>
  <si>
    <t>Who is the author of the classic novel "1984"?</t>
  </si>
  <si>
    <t>What is the world's largest ocean by area?</t>
  </si>
  <si>
    <t>What is the approximate circumference of the Earth in kilometers?</t>
  </si>
  <si>
    <t>The approximate circumference of the Earth is 40,075 kilometers.</t>
  </si>
  <si>
    <t>What is the capital of Egypt?</t>
  </si>
  <si>
    <t>Who is the actress who played Hermione Granger in the Harry Potter movies?</t>
  </si>
  <si>
    <t>Emma Watson.</t>
  </si>
  <si>
    <t>Who is the author of the novel "The Catcher in the Rye"?</t>
  </si>
  <si>
    <t>Which country is known for hosting the annual Tour de France cycling race?</t>
  </si>
  <si>
    <t>Which country is known for the Amazon rainforest?</t>
  </si>
  <si>
    <t>What is the world's highest mountain above sea level?</t>
  </si>
  <si>
    <t>Who is the Prime Minister of the United Kingdom?</t>
  </si>
  <si>
    <t>Which planet is known as the "Giant of the Solar System"?</t>
  </si>
  <si>
    <t>Who is the Greek god of the underworld?</t>
  </si>
  <si>
    <t>Who is considered the "Father of Modern Computer Science"?</t>
  </si>
  <si>
    <t>Alan Turing</t>
  </si>
  <si>
    <t>What is the world's deepest lake by volume?</t>
  </si>
  <si>
    <t>Lake Baikal.</t>
  </si>
  <si>
    <t>Which country is known for its maple syrup?</t>
  </si>
  <si>
    <t>Who is the author of the novel "The Lord of the Rings"?</t>
  </si>
  <si>
    <t>Who is the author of the novel "Moby-Dick"?</t>
  </si>
  <si>
    <t>Who is known as the "Father of Western Philosophy"?</t>
  </si>
  <si>
    <t>Socrates.</t>
  </si>
  <si>
    <t>What is the world's largest river by volume?</t>
  </si>
  <si>
    <t>The world's largest river by volume is the Amazon River.</t>
  </si>
  <si>
    <t>What is the largest city in Australia by population?</t>
  </si>
  <si>
    <t>Who is the Greek god of the sky?</t>
  </si>
  <si>
    <t>Paris, France</t>
  </si>
  <si>
    <t>Which animal is the largest living mammal?</t>
  </si>
  <si>
    <t>The blue whale is the largest living mammal.</t>
  </si>
  <si>
    <t>The longest river in the world is the Nile.</t>
  </si>
  <si>
    <t>How many stars are on the flag of the United States?</t>
  </si>
  <si>
    <t>There are 50 stars on the flag of the United States.</t>
  </si>
  <si>
    <t>What is the national flower of Canada?</t>
  </si>
  <si>
    <t>The national flower of Canada is the maple leaf.</t>
  </si>
  <si>
    <t>What is the primary language spoken in Mexico?</t>
  </si>
  <si>
    <t>Cocoa.</t>
  </si>
  <si>
    <t>Which actress played the role of Hermione Granger in the Harry Potter films?</t>
  </si>
  <si>
    <t>Tanzania</t>
  </si>
  <si>
    <t>Which city hosts the annual Carnival festival?</t>
  </si>
  <si>
    <t>The national sport of India is hockey.</t>
  </si>
  <si>
    <t>Margaret Thatcher.</t>
  </si>
  <si>
    <t>Who wrote the famous novel "1984"?</t>
  </si>
  <si>
    <t>Which country has the largest population in the world?</t>
  </si>
  <si>
    <t>The national bird of India is the Indian peacock.</t>
  </si>
  <si>
    <t>Which country is famous for the pyramids?</t>
  </si>
  <si>
    <t>What is the national animal of the United States?</t>
  </si>
  <si>
    <t>The national animal of the United States is the bald eagle.</t>
  </si>
  <si>
    <t>Charles Babbage is considered the "father of the computer" for his invention of the Analytical Engine in the 19th century.</t>
  </si>
  <si>
    <t>The largest volcano in the world is Mauna Loa, located in Hawaii.</t>
  </si>
  <si>
    <t>In which country is the Samba music and dance popular?</t>
  </si>
  <si>
    <t>Chameleon.</t>
  </si>
  <si>
    <t>What is the national bird of the United Kingdom?</t>
  </si>
  <si>
    <t>The national bird of the United Kingdom is the robin.</t>
  </si>
  <si>
    <t>In which country is the Angkor Wat temple complex located?</t>
  </si>
  <si>
    <t>Cambodia.</t>
  </si>
  <si>
    <t>Which city is famous for its canals and gondolas?</t>
  </si>
  <si>
    <t>Venice</t>
  </si>
  <si>
    <t>What is the national fruit of China?</t>
  </si>
  <si>
    <t>The national fruit of China is the kiwifruit.</t>
  </si>
  <si>
    <t>In which year did the United States declare independence from Great Britain?</t>
  </si>
  <si>
    <t>The national sport of Japan is sumo.</t>
  </si>
  <si>
    <t>Who was the inventor of the telephone?</t>
  </si>
  <si>
    <t>In which city is the Sydney Opera House located?</t>
  </si>
  <si>
    <t>Who wrote the novel "The Lord of the Rings"?</t>
  </si>
  <si>
    <t>Which country is known for its famous landmarks such as the Great Wall and the Terracotta Army?</t>
  </si>
  <si>
    <t>Which famous artist cut off part of his own ear?</t>
  </si>
  <si>
    <t>Which country invented paper?</t>
  </si>
  <si>
    <t>Who is the author of the "Harry Potter" book series?</t>
  </si>
  <si>
    <t>Which scientist is known for his theory of relativity?</t>
  </si>
  <si>
    <t>Which actor played the character James Bond in the film "Casino Royale"?</t>
  </si>
  <si>
    <t>Daniel Craig.</t>
  </si>
  <si>
    <t>Who wrote the plays "Romeo and Juliet" and "Macbeth"?</t>
  </si>
  <si>
    <t>Which desert is the largest in the world?</t>
  </si>
  <si>
    <t>Who is the Queen of England?</t>
  </si>
  <si>
    <t>Which famous artist painted "The Starry Night"?</t>
  </si>
  <si>
    <t>Which scientist developed the theory of evolution?</t>
  </si>
  <si>
    <t>What is the main religion in India?</t>
  </si>
  <si>
    <t>Hinduism.</t>
  </si>
  <si>
    <t>Who is the actress known for her role as Hermione Granger in the "Harry Potter" films?</t>
  </si>
  <si>
    <t>Who is the author of the "Lord of the Rings" book series?</t>
  </si>
  <si>
    <t>What is the currency of Egypt?</t>
  </si>
  <si>
    <t>What is the main language spoken in Italy?</t>
  </si>
  <si>
    <t>Who is the director of the "Star Wars" film series?</t>
  </si>
  <si>
    <t>George Lucas.</t>
  </si>
  <si>
    <t>The author of "The Great Gatsby" is F. Scott Fitzgerald.</t>
  </si>
  <si>
    <t>Cambodia</t>
  </si>
  <si>
    <t>Who is the actress known for her role as Katniss Everdeen in "The Hunger Games" films?</t>
  </si>
  <si>
    <t>Jennifer Lawrence.</t>
  </si>
  <si>
    <t>The chemical symbol for helium is "He".</t>
  </si>
  <si>
    <t>Which scientist discovered the law of gravity?</t>
  </si>
  <si>
    <t>Who is the actor known for his role as Tony Stark/Iron Man in the Marvel Cinematic Universe?</t>
  </si>
  <si>
    <t>Who is the founder of Apple Inc?</t>
  </si>
  <si>
    <t>The founder of Apple Inc is Steve Jobs.</t>
  </si>
  <si>
    <t>Which famous artist painted "The Night Watch"?</t>
  </si>
  <si>
    <t>Who is the author of "The Chronicles of Narnia" book series?</t>
  </si>
  <si>
    <t>In which country is the Sahara Desert located?</t>
  </si>
  <si>
    <t>The Sahara Desert is located in Africa.</t>
  </si>
  <si>
    <t>Who directed the film "The Shawshank Redemption"?</t>
  </si>
  <si>
    <t>Frank Darabont.</t>
  </si>
  <si>
    <t>Which city is known as the "City of Lights"?</t>
  </si>
  <si>
    <t>Who is the actress known for her role as Princess Leia in the "Star Wars" films?</t>
  </si>
  <si>
    <t>Which country is known for its pyramids and pharaohs?</t>
  </si>
  <si>
    <t>Who is the director of the "Harry Potter" film series?</t>
  </si>
  <si>
    <t>The director of the "Harry Potter" film series is Chris Columbus.</t>
  </si>
  <si>
    <t>Name the largest ocean in the world.</t>
  </si>
  <si>
    <t>Who painted the famous work "The Starry Night"?</t>
  </si>
  <si>
    <t>Name the largest desert in the world.</t>
  </si>
  <si>
    <t>The main language spoken in China is Mandarin.</t>
  </si>
  <si>
    <t>Name the largest island in the world.</t>
  </si>
  <si>
    <t>Italy</t>
  </si>
  <si>
    <t>Name the largest lake in Africa.</t>
  </si>
  <si>
    <t>Who painted the famous work "The Persistence of Memory"?</t>
  </si>
  <si>
    <t>Name the largest waterfall in the world.</t>
  </si>
  <si>
    <t>In which country would you find the Statue of Liberty?</t>
  </si>
  <si>
    <t>Who is the Norse god of thunder?</t>
  </si>
  <si>
    <t>The Norse god of thunder is Thor.</t>
  </si>
  <si>
    <t>What is the largest city in Africa by population?</t>
  </si>
  <si>
    <t>The largest city in Africa by population is Lagos, Nigeria.</t>
  </si>
  <si>
    <t>Which famous scientist discovered gravity?</t>
  </si>
  <si>
    <t>Name the largest river in Europe.</t>
  </si>
  <si>
    <t>The Volga River.</t>
  </si>
  <si>
    <t>Who painted the famous work "The Girl with a Pearl Earring"?</t>
  </si>
  <si>
    <t>Who is the author of "1984"?</t>
  </si>
  <si>
    <t>Name the largest island in the Mediterranean Sea.</t>
  </si>
  <si>
    <t>In which country would you find Petra, the ancient city carved into rock?</t>
  </si>
  <si>
    <t>Jordan</t>
  </si>
  <si>
    <t>Who is credited with discovering the theory of evolution?</t>
  </si>
  <si>
    <t>Which famous scientist invented the theory of relativity?</t>
  </si>
  <si>
    <t>Name the largest mountain range in the world.</t>
  </si>
  <si>
    <t>The largest mountain range in the world is the Himalayas.</t>
  </si>
  <si>
    <t>Who painted the famous work "The Birth of Venus"?</t>
  </si>
  <si>
    <t>Name the largest lake in North America.</t>
  </si>
  <si>
    <t>Who is credited with discovering the theory of gravity?</t>
  </si>
  <si>
    <t>Who wrote the novel "Frankenstein"?</t>
  </si>
  <si>
    <t>Mary Shelley</t>
  </si>
  <si>
    <t>Name the largest river in Asia.</t>
  </si>
  <si>
    <t>The largest river in Asia is the Yangtze River.</t>
  </si>
  <si>
    <t>Who painted the famous work "The Last Judgment"?</t>
  </si>
  <si>
    <t>What is the main language spoken in Canada?</t>
  </si>
  <si>
    <t>Name the largest island in the Caribbean Sea.</t>
  </si>
  <si>
    <t>Cuba.</t>
  </si>
  <si>
    <t>Mount Everest</t>
  </si>
  <si>
    <t>Which continent is the least populous?</t>
  </si>
  <si>
    <t>Which country won the first FIFA World Cup in 1930?</t>
  </si>
  <si>
    <t>Uruguay</t>
  </si>
  <si>
    <t>What is the primary ingredient in chocolate?</t>
  </si>
  <si>
    <t>Cocoa beans.</t>
  </si>
  <si>
    <t>How many symphonies did Ludwig van Beethoven compose?</t>
  </si>
  <si>
    <t>Beethoven composed 9 symphonies.</t>
  </si>
  <si>
    <t>Who is the famous scientist credited with discovering the theory of relativity?</t>
  </si>
  <si>
    <t>Bald Eagle.</t>
  </si>
  <si>
    <t>Which country is known for the Great Wall of China?</t>
  </si>
  <si>
    <t>Who was the first women's rights advocate in the United States?</t>
  </si>
  <si>
    <t>Elizabeth Cady Stanton.</t>
  </si>
  <si>
    <t>Who is the Greek god of lightning?</t>
  </si>
  <si>
    <t>Who played the character of Iron Man in the Marvel Cinematic Universe?</t>
  </si>
  <si>
    <t>What is the highest grossing film franchise of all time?</t>
  </si>
  <si>
    <t>Marvel Cinematic Universe.</t>
  </si>
  <si>
    <t>The 2016 Summer Olympics were hosted by Rio de Janeiro, Brazil.</t>
  </si>
  <si>
    <t>Who is the famous artist known for cutting off his own ear?</t>
  </si>
  <si>
    <t>What is the largest active volcano in the world?</t>
  </si>
  <si>
    <t>Which country is famous for the Loch Ness Monster?</t>
  </si>
  <si>
    <t>Scotland.</t>
  </si>
  <si>
    <t>Who is the legendary King of Rock and Roll?</t>
  </si>
  <si>
    <t>Japanese</t>
  </si>
  <si>
    <t>Brasília</t>
  </si>
  <si>
    <t>Which city hosted the 2014 FIFA World Cup?</t>
  </si>
  <si>
    <t>The 2014 FIFA World Cup was hosted by Brazil.</t>
  </si>
  <si>
    <t>Who was the first black President of the United States?</t>
  </si>
  <si>
    <t>What is the highest grossing animated film of all time?</t>
  </si>
  <si>
    <t>The highest grossing animated film of all time is "Frozen II."</t>
  </si>
  <si>
    <t>What is the largest city in China?</t>
  </si>
  <si>
    <t>Shanghai.</t>
  </si>
  <si>
    <t>Who is the author of "The Chronicles of Narnia" series?</t>
  </si>
  <si>
    <t>What is the primary language spoken in France?</t>
  </si>
  <si>
    <t>Who played the character of Captain Jack Sparrow in the "Pirates of the Caribbean" franchise?</t>
  </si>
  <si>
    <t>What is the world's largest ocean?</t>
  </si>
  <si>
    <t>Which sport is played at Wimbledon?</t>
  </si>
  <si>
    <t>Tennis.</t>
  </si>
  <si>
    <t>In what year was the iPhone first released?</t>
  </si>
  <si>
    <t>The iPhone was first released in 2007.</t>
  </si>
  <si>
    <t>Which country is the largest producer of coffee?</t>
  </si>
  <si>
    <t>Which planet is known for its beautiful rings?</t>
  </si>
  <si>
    <t>Who composed the classical symphony "Symphony No. 5"?</t>
  </si>
  <si>
    <t>What is the chemical element with the symbol Fe?</t>
  </si>
  <si>
    <t>There are nine players on a baseball team.</t>
  </si>
  <si>
    <t>Pablo Picasso</t>
  </si>
  <si>
    <t>Which city is home to the Eiffel Tower?</t>
  </si>
  <si>
    <t>The national animal of Russia is the Siberian tiger.</t>
  </si>
  <si>
    <t>Which country is known for its kiwi fruit?</t>
  </si>
  <si>
    <t>What is the national animal of Argentina?</t>
  </si>
  <si>
    <t>Jaguar.</t>
  </si>
  <si>
    <t>What is the national animal of France?</t>
  </si>
  <si>
    <t>The national animal of France is the Gallic rooster.</t>
  </si>
  <si>
    <t>Which country is known for its cheese?</t>
  </si>
  <si>
    <t>Which city is known as the "Windy City"?</t>
  </si>
  <si>
    <t>Chicago.</t>
  </si>
  <si>
    <t>The national animal of Italy is the Italian Wolf.</t>
  </si>
  <si>
    <t>What is the national animal of Spain?</t>
  </si>
  <si>
    <t>The national animal of Spain is the bull.</t>
  </si>
  <si>
    <t>Which city is known as the "City of Brotherly Love"?</t>
  </si>
  <si>
    <t>Philadelphia</t>
  </si>
  <si>
    <t>Who painted the famous artwork "The Last Judgment"?</t>
  </si>
  <si>
    <t>In what year did the Spanish Civil War end?</t>
  </si>
  <si>
    <t>The Spanish Civil War ended in 1939.</t>
  </si>
  <si>
    <t>Which city is known as the "City of Angels"?</t>
  </si>
  <si>
    <t>Los Angeles.</t>
  </si>
  <si>
    <t>In what year did the Renaissance period begin?</t>
  </si>
  <si>
    <t>The Renaissance period began in the 14th century.</t>
  </si>
  <si>
    <t>Who wrote the famous play, Romeo and Juliet?</t>
  </si>
  <si>
    <t>Who painted the famous artwork, The Starry Night?</t>
  </si>
  <si>
    <t>Which ocean is the largest in the world?</t>
  </si>
  <si>
    <t>Which country is considered the birthplace of democracy?</t>
  </si>
  <si>
    <t>Who was the 16th President of the United States?</t>
  </si>
  <si>
    <t>Abraham Lincoln.</t>
  </si>
  <si>
    <t>World War II ended in the year 1945.</t>
  </si>
  <si>
    <t>Which animal can be seen on the Ferrari logo?</t>
  </si>
  <si>
    <t>A horse.</t>
  </si>
  <si>
    <t>Who wrote the famous novel, To Kill a Mockingbird?</t>
  </si>
  <si>
    <t>A piano.</t>
  </si>
  <si>
    <t>In what city would you find the Eiffel Tower?</t>
  </si>
  <si>
    <t>The Nile River is the longest river in the world.</t>
  </si>
  <si>
    <t>Who was the 42nd President of the United States?</t>
  </si>
  <si>
    <t>Bill Clinton.</t>
  </si>
  <si>
    <t>Who wrote the novel, Pride and Prejudice?</t>
  </si>
  <si>
    <t>Who is the protagonist in the Lord of the Rings series?</t>
  </si>
  <si>
    <t>The protagonist in the Lord of the Rings series is Frodo Baggins.</t>
  </si>
  <si>
    <t>Netherlands</t>
  </si>
  <si>
    <t>Who painted the famous artwork, The Scream?</t>
  </si>
  <si>
    <t>Coast redwood.</t>
  </si>
  <si>
    <t>Ice hockey</t>
  </si>
  <si>
    <t>Who wrote the poem, The Raven?</t>
  </si>
  <si>
    <t>The current president of France is Emmanuel Macron.</t>
  </si>
  <si>
    <t>Who painted the famous artwork, Guernica?</t>
  </si>
  <si>
    <t>Who wrote the famous novel, Moby-Dick?</t>
  </si>
  <si>
    <t>Which planet is known as the "giant of our solar system"?</t>
  </si>
  <si>
    <t>Aphrodite</t>
  </si>
  <si>
    <t>Who was the first African American President of the United States?</t>
  </si>
  <si>
    <t>Who wrote the play, Hamlet?</t>
  </si>
  <si>
    <t>Who painted the famous artwork, The Persistence of Memory?</t>
  </si>
  <si>
    <t>Who is the author of the Chronicles of Narnia series?</t>
  </si>
  <si>
    <t>What is the national dish of Italy?</t>
  </si>
  <si>
    <t>The national dish of Italy is pasta.</t>
  </si>
  <si>
    <t>Who wrote the novel, The Great Gatsby?</t>
  </si>
  <si>
    <t>In what city would you find the Statue of Liberty?</t>
  </si>
  <si>
    <t>What is the largest organ in a shark's body?</t>
  </si>
  <si>
    <t>The largest organ in a shark's body is its liver.</t>
  </si>
  <si>
    <t>Which country is home to the ancient city of Machu Picchu?</t>
  </si>
  <si>
    <t>Who wrote the poem, Ode to a Nightingale?</t>
  </si>
  <si>
    <t>John Keats.</t>
  </si>
  <si>
    <t>Who painted the famous artwork, The Birth of Venus?</t>
  </si>
  <si>
    <t>Who wrote the play, Macbeth?</t>
  </si>
  <si>
    <t>Who painted the famous artwork, The Creation of Adam?</t>
  </si>
  <si>
    <t>What is the largest river in South America?</t>
  </si>
  <si>
    <t>The Amazon River.</t>
  </si>
  <si>
    <t>Which country is known for its flamenco dancing and bullfighting?</t>
  </si>
  <si>
    <t>Who wrote the novel, 1984?</t>
  </si>
  <si>
    <t>Which two colors are typically associated with the United Nations?</t>
  </si>
  <si>
    <t>Blue and white</t>
  </si>
  <si>
    <t>In which country was the magnifying glass invented?</t>
  </si>
  <si>
    <t>The magnifying glass was invented in Italy.</t>
  </si>
  <si>
    <t>Mango.</t>
  </si>
  <si>
    <t>Who is credited with discovering electricity?</t>
  </si>
  <si>
    <t>Which war was fought in the United States from 1861 to 1865?</t>
  </si>
  <si>
    <t>In which country would you find the Nile River?</t>
  </si>
  <si>
    <t>What is the sum of angles in a triangle?</t>
  </si>
  <si>
    <t>The sum of angles in a triangle is 180 degrees.</t>
  </si>
  <si>
    <t>Who was the first American president?</t>
  </si>
  <si>
    <t>Which element is commonly used in light bulbs?</t>
  </si>
  <si>
    <t>Tungsten.</t>
  </si>
  <si>
    <t>The name of the famous ship that sank in 1912 is the Titanic.</t>
  </si>
  <si>
    <t>Which country is known for its famous Oktoberfest celebration?</t>
  </si>
  <si>
    <t>In which country would you find the pyramids of Giza?</t>
  </si>
  <si>
    <t>Who is credited with discovering the theory of relativity?</t>
  </si>
  <si>
    <t>In which country was the telescope invented?</t>
  </si>
  <si>
    <t>The telescope was invented in the Netherlands.</t>
  </si>
  <si>
    <t>Which country is famous for its chocolate?</t>
  </si>
  <si>
    <t>Belgium.</t>
  </si>
  <si>
    <t>Thomas Edison is credited with inventing the light bulb.</t>
  </si>
  <si>
    <t>What is the national fruit of France?</t>
  </si>
  <si>
    <t>The national fruit of France is the apple.</t>
  </si>
  <si>
    <t>Which two colors make up the flag of France?</t>
  </si>
  <si>
    <t>Blue and red.</t>
  </si>
  <si>
    <t>Bald eagle.</t>
  </si>
  <si>
    <t>Which country is known for its windmills?</t>
  </si>
  <si>
    <t>Who is credited with discovering penicillin?</t>
  </si>
  <si>
    <t>What is the smallest state in the United States?</t>
  </si>
  <si>
    <t>Rhode Island.</t>
  </si>
  <si>
    <t>Which two colors make up the flag of the United Kingdom?</t>
  </si>
  <si>
    <t>The flag of the United Kingdom is made up of two colors: red and white.</t>
  </si>
  <si>
    <t>Who is known as the "Father of Algebra"?</t>
  </si>
  <si>
    <t>Muhammad ibn Musa al-Khwarizmi.</t>
  </si>
  <si>
    <t>Which country is famous for its cheese?</t>
  </si>
  <si>
    <t>What is the official currency of Japan?</t>
  </si>
  <si>
    <t>The official currency of Japan is the Japanese yen.</t>
  </si>
  <si>
    <t>Poseidon</t>
  </si>
  <si>
    <t>What is the highest waterfall in the world?</t>
  </si>
  <si>
    <t>In which year did the American Civil War begin?</t>
  </si>
  <si>
    <t>The American Civil War began in 1861.</t>
  </si>
  <si>
    <t>What is the capital of Russia?</t>
  </si>
  <si>
    <t>Who was the Prime Minister of the United Kingdom during World War II?</t>
  </si>
  <si>
    <t>Winston Churchill.</t>
  </si>
  <si>
    <t>What is the official currency of France?</t>
  </si>
  <si>
    <t>The official currency of France is the Euro.</t>
  </si>
  <si>
    <t>Greenland is the largest island in the world.</t>
  </si>
  <si>
    <t>The official language of Italy is Italian.</t>
  </si>
  <si>
    <t>Mount Denali (previously known as Mount McKinley)</t>
  </si>
  <si>
    <t>Who was the first person to discover America?</t>
  </si>
  <si>
    <t>What is the official currency of Canada?</t>
  </si>
  <si>
    <t>The official currency of Canada is the Canadian Dollar.</t>
  </si>
  <si>
    <t>What is the largest continent in terms of population?</t>
  </si>
  <si>
    <t>Spanish</t>
  </si>
  <si>
    <t>What is the highest mountain in Europe?</t>
  </si>
  <si>
    <t>Mount Elbrus.</t>
  </si>
  <si>
    <t>What is the official currency of Australia?</t>
  </si>
  <si>
    <t>The official currency of Australia is the Australian dollar (AUD).</t>
  </si>
  <si>
    <t>World War I began in the year 1914.</t>
  </si>
  <si>
    <t>Lake Victoria</t>
  </si>
  <si>
    <t>What is the official language of Argentina?</t>
  </si>
  <si>
    <t>What is the highest mountain in South America?</t>
  </si>
  <si>
    <t>The highest mountain in South America is Mount Aconcagua.</t>
  </si>
  <si>
    <t>Who was the first person to sail around the world?</t>
  </si>
  <si>
    <t>Ferdinand Magellan.</t>
  </si>
  <si>
    <t>What is the official currency of China?</t>
  </si>
  <si>
    <t>The official currency of China is the Chinese yuan (CNY).</t>
  </si>
  <si>
    <t>In which year did the French Revolution begin?</t>
  </si>
  <si>
    <t>The largest desert in Africa is the Sahara Desert.</t>
  </si>
  <si>
    <t>What is the highest mountain in Asia?</t>
  </si>
  <si>
    <t>Who was the first person to climb Mount Everest?</t>
  </si>
  <si>
    <t>Sir Edmund Hillary.</t>
  </si>
  <si>
    <t>What is the official currency of India?</t>
  </si>
  <si>
    <t>The official currency of India is the Indian rupee.</t>
  </si>
  <si>
    <t>What is the largest lake in the United States?</t>
  </si>
  <si>
    <t>The largest lake in the United States is Lake Superior.</t>
  </si>
  <si>
    <t>What is the highest mountain in Australia?</t>
  </si>
  <si>
    <t>Mount Kosciuszko.</t>
  </si>
  <si>
    <t>What is the official currency of Germany?</t>
  </si>
  <si>
    <t>The official currency of Germany is the Euro.</t>
  </si>
  <si>
    <t>In which year did the American Revolution begin?</t>
  </si>
  <si>
    <t>The American Revolution began in 1775.</t>
  </si>
  <si>
    <t>Who painted the "Scream"?</t>
  </si>
  <si>
    <t>What is the official language of the United States?</t>
  </si>
  <si>
    <t>What is the highest mountain in the United States?</t>
  </si>
  <si>
    <t>What is the capital city of the United States?</t>
  </si>
  <si>
    <t>What is the main gas that makes up Earth's atmosphere?</t>
  </si>
  <si>
    <t>The main gas that makes up Earth's atmosphere is nitrogen.</t>
  </si>
  <si>
    <t>What is the formula for calculating the area of a circle?</t>
  </si>
  <si>
    <t>The formula for calculating the area of a circle is A = πr².</t>
  </si>
  <si>
    <t>Who is the creator of the Marvel Comics superhero characters?</t>
  </si>
  <si>
    <t>Stan Lee is the creator of the Marvel Comics superhero characters.</t>
  </si>
  <si>
    <t>Where is the Great Barrier Reef located?</t>
  </si>
  <si>
    <t>The Great Barrier Reef is located off the coast of Queensland, Australia.</t>
  </si>
  <si>
    <t>Who was the Roman god of war?</t>
  </si>
  <si>
    <t>The Roman god of war was Mars.</t>
  </si>
  <si>
    <t>Who painted the creation of Adam on the Sistine Chapel ceiling?</t>
  </si>
  <si>
    <t>The creation of Adam on the Sistine Chapel ceiling was painted by Michelangelo.</t>
  </si>
  <si>
    <t>In which country is the Great Wall of China located?</t>
  </si>
  <si>
    <t>What is the main gas that plants use for photosynthesis?</t>
  </si>
  <si>
    <t>The main gas that plants use for photosynthesis is carbon dioxide.</t>
  </si>
  <si>
    <t>Who wrote the novel Moby Dick?</t>
  </si>
  <si>
    <t>How many legs does an insect typically have?</t>
  </si>
  <si>
    <t>An insect typically has six legs.</t>
  </si>
  <si>
    <t>Who was the Norse god of thunder?</t>
  </si>
  <si>
    <t>The Norse god of thunder was Thor.</t>
  </si>
  <si>
    <t>In which country was the sport of soccer invented?</t>
  </si>
  <si>
    <t>The sport of soccer was invented in England.</t>
  </si>
  <si>
    <t>The main ingredient in chocolate is cocoa.</t>
  </si>
  <si>
    <t>What is the main religion in Japan?</t>
  </si>
  <si>
    <t>Shintoism and Buddhism.</t>
  </si>
  <si>
    <t>How many stars are there in the Milky Way galaxy?</t>
  </si>
  <si>
    <t>There are estimated to be around 100 billion stars in the Milky Way galaxy.</t>
  </si>
  <si>
    <t>Who was the Egyptian god of the sun?</t>
  </si>
  <si>
    <t>The Egyptian god of the sun was Ra.</t>
  </si>
  <si>
    <t>How many degrees are in a circle?</t>
  </si>
  <si>
    <t>There are 360 degrees in a circle.</t>
  </si>
  <si>
    <t>What is the main ingredient in bread?</t>
  </si>
  <si>
    <t>Flour.</t>
  </si>
  <si>
    <t>Who is the author of the novel The Hunger Games?</t>
  </si>
  <si>
    <t>What is the main gas that makes up the sun?</t>
  </si>
  <si>
    <t>The main gas that makes up the sun is hydrogen.</t>
  </si>
  <si>
    <t>How many continents are there in the northern hemisphere?</t>
  </si>
  <si>
    <t>There are six continents in the northern hemisphere.</t>
  </si>
  <si>
    <t>Who was the Greek god of love and desire?</t>
  </si>
  <si>
    <t>The Greek god of love and desire was Eros.</t>
  </si>
  <si>
    <t>A standard guitar has 6 strings.</t>
  </si>
  <si>
    <t>Who wrote the novel The Hobbit?</t>
  </si>
  <si>
    <t>In which country is the ancient city of Rome located?</t>
  </si>
  <si>
    <t>In which country would you find the Great Pyramid of Giza?</t>
  </si>
  <si>
    <t>Which animal can live the longest?</t>
  </si>
  <si>
    <t>The longest-lived animal is the bowhead whale, which can live for over 200 years.</t>
  </si>
  <si>
    <t>Michelangelo painted the ceiling of the Sistine Chapel.</t>
  </si>
  <si>
    <t>What year did the United States declare independence from Great Britain?</t>
  </si>
  <si>
    <t>Which animal is known for its ability to camouflage itself?</t>
  </si>
  <si>
    <t>How many countries are there in Africa?</t>
  </si>
  <si>
    <t>Which city is known as the Big Apple?</t>
  </si>
  <si>
    <t>In which country would you find the Eiffel Tower?</t>
  </si>
  <si>
    <t>The world's largest desert is the Antarctic Desert.</t>
  </si>
  <si>
    <t>Brazil</t>
  </si>
  <si>
    <t>Who was the Greek god of war?</t>
  </si>
  <si>
    <t>Which element has the symbol Hg on the periodic table?</t>
  </si>
  <si>
    <t>In what year did the United States achieve women's suffrage?</t>
  </si>
  <si>
    <t>The United States achieved women's suffrage in 1920.</t>
  </si>
  <si>
    <t>As of September 2021, the current President of France is Emmanuel Macron.</t>
  </si>
  <si>
    <t>How many stripes are there on the American flag?</t>
  </si>
  <si>
    <t>In what year did the United States land on the moon?</t>
  </si>
  <si>
    <t>In what year did the American Revolution begin?</t>
  </si>
  <si>
    <t>How many squares are there on a chessboard?</t>
  </si>
  <si>
    <t>There are 64 squares on a chessboard.</t>
  </si>
  <si>
    <t>Who wrote the novel "The Hobbit"?</t>
  </si>
  <si>
    <t>What is the largest city in South America?</t>
  </si>
  <si>
    <t>Sao Paulo.</t>
  </si>
  <si>
    <t>Who wrote the play Oedipus Rex?</t>
  </si>
  <si>
    <t>Sophocles.</t>
  </si>
  <si>
    <t>Which animal is known for its long neck and spots?</t>
  </si>
  <si>
    <t>A giraffe.</t>
  </si>
  <si>
    <t>Sahara desert.</t>
  </si>
  <si>
    <t>Who is the most famous playwright in ancient Greece?</t>
  </si>
  <si>
    <t>The most famous playwright in ancient Greece is Sophocles.</t>
  </si>
  <si>
    <t>Which animals are only found in Australia and are known for their pouches?</t>
  </si>
  <si>
    <t>Kangaroos, koalas and wombats.</t>
  </si>
  <si>
    <t>Who is the author of The Great Gatsby?</t>
  </si>
  <si>
    <t>Which planet is known as the "Gas Giant"?</t>
  </si>
  <si>
    <t>Which country is known for the Leaning Tower of Pisa?</t>
  </si>
  <si>
    <t>What is the largest river in North America?</t>
  </si>
  <si>
    <t>The Mississippi River.</t>
  </si>
  <si>
    <t>Who painted Guernica?</t>
  </si>
  <si>
    <t>Who is the author of The Catcher in the Rye?</t>
  </si>
  <si>
    <t>Which planet is known as the "Giant Ball of Ice"?</t>
  </si>
  <si>
    <t>Neptune.</t>
  </si>
  <si>
    <t>The currency of China is the Chinese yuan or renminbi.</t>
  </si>
  <si>
    <t>What is the largest lake in South America?</t>
  </si>
  <si>
    <t>The largest lake in South America is Lake Titicaca.</t>
  </si>
  <si>
    <t>Which animals are known for their black and white stripes?</t>
  </si>
  <si>
    <t>Zebras.</t>
  </si>
  <si>
    <t>Who painted The Scream?</t>
  </si>
  <si>
    <t>What is the largest waterfall in Europe?</t>
  </si>
  <si>
    <t>The largest waterfall in Europe is the Rhine Falls in Switzerland.</t>
  </si>
  <si>
    <t>Who is the author of The Chronicles of Narnia?</t>
  </si>
  <si>
    <t>Which planet is known as the "Ringed Planet"?</t>
  </si>
  <si>
    <t>What is the largest desert in Europe?</t>
  </si>
  <si>
    <t>The largest desert in Europe is the Pannonian Basin.</t>
  </si>
  <si>
    <t>Which country is known for the Hagia Sophia?</t>
  </si>
  <si>
    <t>The largest river in South America is the Amazon River.</t>
  </si>
  <si>
    <t>Which animal is the national symbol of the United States?</t>
  </si>
  <si>
    <t>The eagle.</t>
  </si>
  <si>
    <t>Which country is known for the Petra archaeological site?</t>
  </si>
  <si>
    <t>Jordan.</t>
  </si>
  <si>
    <t>Who is the current Chancellor of the United Kingdom?</t>
  </si>
  <si>
    <t>Rishi Sunak.</t>
  </si>
  <si>
    <t>What is the currency of Spain?</t>
  </si>
  <si>
    <t>Who is the author of Moby-Dick?</t>
  </si>
  <si>
    <t>What is the largest lake in Europe?</t>
  </si>
  <si>
    <t>Lake Ladoga.</t>
  </si>
  <si>
    <t>Which animals are known for their long trunks and tusks?</t>
  </si>
  <si>
    <t>Elephants.</t>
  </si>
  <si>
    <t>What is the largest waterfall in Asia?</t>
  </si>
  <si>
    <t>The largest waterfall in Asia is Angel Falls.</t>
  </si>
  <si>
    <t>The capital of Russia is Moscow.</t>
  </si>
  <si>
    <t>Which country is known as the "Land of the Vikings"?</t>
  </si>
  <si>
    <t>What is the name of the tower in Paris known for its stunning views?</t>
  </si>
  <si>
    <t>What is the name of the famous detective created by Arthur Conan Doyle?</t>
  </si>
  <si>
    <t>Sherlock Holmes.</t>
  </si>
  <si>
    <t>Great Barrier Reef</t>
  </si>
  <si>
    <t>In which city is the Leaning Tower of Pisa located?</t>
  </si>
  <si>
    <t>Pisa.</t>
  </si>
  <si>
    <t>Who is the main character in the novel Moby-Dick?</t>
  </si>
  <si>
    <t>The main character in the novel Moby-Dick is Captain Ahab.</t>
  </si>
  <si>
    <t>Vatican City</t>
  </si>
  <si>
    <t>Which country is known for its delicious pizza and pasta?</t>
  </si>
  <si>
    <t>Denali (or Mount McKinley)</t>
  </si>
  <si>
    <t>Which country is known for its kangaroos and koalas?</t>
  </si>
  <si>
    <t>The primary language spoken in Japan is Japanese.</t>
  </si>
  <si>
    <t>Which country is known for its delicious chocolate and waffles?</t>
  </si>
  <si>
    <t>Belgium</t>
  </si>
  <si>
    <t>Who is the main character in the novel The Catcher in the Rye?</t>
  </si>
  <si>
    <t>The main character in the novel The Catcher in the Rye is Holden Caulfield.</t>
  </si>
  <si>
    <t>Which country is known for its beautiful beaches and tango?</t>
  </si>
  <si>
    <t>Argentina</t>
  </si>
  <si>
    <t>Which country is known for the Amazon Rainforest?</t>
  </si>
  <si>
    <t>Which country is known for its beautiful fjords and Vikings?</t>
  </si>
  <si>
    <t>The primary language spoken in Russia is Russian.</t>
  </si>
  <si>
    <t>Which country is known for its beautiful canals and bicycles?</t>
  </si>
  <si>
    <t>Who is the main character in the novel 1984?</t>
  </si>
  <si>
    <t>The main character in the novel 1984 is Winston Smith.</t>
  </si>
  <si>
    <t>The national animal of France is the Gallic Rooster.</t>
  </si>
  <si>
    <t>Which country is known for its ancient pyramids and pharaohs?</t>
  </si>
  <si>
    <t>The national animal of Japan is the green pheasant.</t>
  </si>
  <si>
    <t>Which city is known as the fashion capital of the world?</t>
  </si>
  <si>
    <t>Milan.</t>
  </si>
  <si>
    <t>In what country is the Taj Mahal located?</t>
  </si>
  <si>
    <t>What is the formula for water?</t>
  </si>
  <si>
    <t>The formula for water is H2O.</t>
  </si>
  <si>
    <t>Which artist painted the Sistine Chapel ceiling?</t>
  </si>
  <si>
    <t>Which country has the longest coastline in the world?</t>
  </si>
  <si>
    <t>In what city is the Eiffel Tower located?</t>
  </si>
  <si>
    <t>Which planet is known as the "Giant of our solar system"?</t>
  </si>
  <si>
    <t>Who was the first person to discover gravity?</t>
  </si>
  <si>
    <t>Yoshihide Suga</t>
  </si>
  <si>
    <t>Which composer wrote the Symphony No. 9?</t>
  </si>
  <si>
    <t>What is the national tree of Canada?</t>
  </si>
  <si>
    <t>The national tree of Canada is the maple tree.</t>
  </si>
  <si>
    <t>Who is the artist behind the famous painting "The Scream"?</t>
  </si>
  <si>
    <t>The national sport of Canada is lacrosse.</t>
  </si>
  <si>
    <t>Who was the first person to circumnavigate the globe?</t>
  </si>
  <si>
    <t>Who painted the Creation of Adam on the Sistine Chapel ceiling?</t>
  </si>
  <si>
    <t>Who is the current Chancellor of France?</t>
  </si>
  <si>
    <t>The current Chancellor of France is Angela Merkel.</t>
  </si>
  <si>
    <t>The national sport of Brazil is football (soccer).</t>
  </si>
  <si>
    <t>There are 7 colors in a rainbow.</t>
  </si>
  <si>
    <t>Thailand</t>
  </si>
  <si>
    <t>Who is the current President of Mexico?</t>
  </si>
  <si>
    <t>The current President of Mexico is Andrés Manuel López Obrador.</t>
  </si>
  <si>
    <t>The tallest tree in the world is the coast redwood (Sequoia sempervirens).</t>
  </si>
  <si>
    <t>What is the national flower of the United Kingdom?</t>
  </si>
  <si>
    <t>The national flower of the United Kingdom is the rose.</t>
  </si>
  <si>
    <t>The currency of China is the Chinese Yuan or Renminbi (CNY/RMB).</t>
  </si>
  <si>
    <t>Rachel, Monica, Phoebe, Chandler, Joey, and Ross</t>
  </si>
  <si>
    <t>There are typically five players on a basketball team.</t>
  </si>
  <si>
    <t>What is the chemical element represented by the symbol Fe?</t>
  </si>
  <si>
    <t>Iron.</t>
  </si>
  <si>
    <t>Name three primary colors.</t>
  </si>
  <si>
    <t>In what country was the game of chess invented?</t>
  </si>
  <si>
    <t>Which two gases make up the majority of Earth's atmosphere?</t>
  </si>
  <si>
    <t>Nitrogen and oxygen.</t>
  </si>
  <si>
    <t>What is the chemical element represented by the symbol Ag?</t>
  </si>
  <si>
    <t>Silver</t>
  </si>
  <si>
    <t>Wilhelm Conrad Röntgen.</t>
  </si>
  <si>
    <t>Who is the architect of the Eiffel Tower?</t>
  </si>
  <si>
    <t>Which planet is known as the "Morning Star" or "Evening Star"?</t>
  </si>
  <si>
    <t>Venus</t>
  </si>
  <si>
    <t>Herman Melville</t>
  </si>
  <si>
    <t>Which country is famous for the pyramids of Giza?</t>
  </si>
  <si>
    <t>Buenos Aires</t>
  </si>
  <si>
    <t>Red, blue, and yellow.</t>
  </si>
  <si>
    <t>Who painted "Girl with a Pearl Earring"?</t>
  </si>
  <si>
    <t>In what country was the game of basketball invented?</t>
  </si>
  <si>
    <t>The game of basketball was invented in the United States.</t>
  </si>
  <si>
    <t>Who is the Greek god of love?</t>
  </si>
  <si>
    <t>The Greek god of love is Eros.</t>
  </si>
  <si>
    <t>What is the main ingredient in coffee?</t>
  </si>
  <si>
    <t>The main ingredient in coffee is caffeine.</t>
  </si>
  <si>
    <t>A crab has eight legs.</t>
  </si>
  <si>
    <t>What is the chemical element represented by the symbol Pb?</t>
  </si>
  <si>
    <t>Lead</t>
  </si>
  <si>
    <t>How many moons does Earth have?</t>
  </si>
  <si>
    <t>Earth has one moon.</t>
  </si>
  <si>
    <t>How many bones are there in the adult human body?</t>
  </si>
  <si>
    <t>There are 206 bones in the adult human body.</t>
  </si>
  <si>
    <t>In which country would you find Machu Picchu?</t>
  </si>
  <si>
    <t>Justin Trudeau is the current Prime Minister of Canada.</t>
  </si>
  <si>
    <t>The formula for calculating the area of a circle is A = πr^2.</t>
  </si>
  <si>
    <t>Roger Penrose, Reinhard Genzel, and Andrea Ghez won the Nobel Prize in Physics in 2020.</t>
  </si>
  <si>
    <t>Who was the first human to walk on the moon?</t>
  </si>
  <si>
    <t>Sahara Desert</t>
  </si>
  <si>
    <t>The Greek god of thunder was Zeus.</t>
  </si>
  <si>
    <t>Who won the Super Bowl in 2020?</t>
  </si>
  <si>
    <t>The Kansas City Chiefs won the Super Bowl in 2020.</t>
  </si>
  <si>
    <t>What is the formula for calculating the volume of a sphere?</t>
  </si>
  <si>
    <t>The formula for calculating the volume of a sphere is V = (4/3)πr^3.</t>
  </si>
  <si>
    <t>How many elements are in the periodic table?</t>
  </si>
  <si>
    <t>What is the largest mountain in the world?</t>
  </si>
  <si>
    <t>Who came up with the theory of relativity?</t>
  </si>
  <si>
    <t>Alber Einstein.</t>
  </si>
  <si>
    <t>Who won the Nobel Prize in Literature in 2020?</t>
  </si>
  <si>
    <t>Louise Glück</t>
  </si>
  <si>
    <t>The capital city of China is Beijing.</t>
  </si>
  <si>
    <t>Victoria Falls.</t>
  </si>
  <si>
    <t>Who is known as the "Father of the Computer"?</t>
  </si>
  <si>
    <t>Charles Babbage.</t>
  </si>
  <si>
    <t>He.</t>
  </si>
  <si>
    <t>Who won the Nobel Peace Prize in 2020?</t>
  </si>
  <si>
    <t>The World Food Programme (WFP) won the Nobel Peace Prize in 2020.</t>
  </si>
  <si>
    <t>How many bones are there in the adult human skull?</t>
  </si>
  <si>
    <t>There are 22 bones in the adult human skull.</t>
  </si>
  <si>
    <t>Who won the Academy Award for Best Actor in 2020?</t>
  </si>
  <si>
    <t>Joaquin Phoenix.</t>
  </si>
  <si>
    <t>The largest canyon in the world is the Grand Canyon in the United States.</t>
  </si>
  <si>
    <t>What is the main component of air?</t>
  </si>
  <si>
    <t>The main component of air is nitrogen.</t>
  </si>
  <si>
    <t>Benjamin Franklin is credited with discovering electricity through his famous experiment with a kite and a key in 1752.</t>
  </si>
  <si>
    <t>Who is the first person to walk on the moon?</t>
  </si>
  <si>
    <t>Portuguese</t>
  </si>
  <si>
    <t>Who is the famous Greek philosopher known for his philosophy on ethics?</t>
  </si>
  <si>
    <t>The famous Greek philosopher known for his philosophy on ethics is Aristotle.</t>
  </si>
  <si>
    <t>Angela Merkel</t>
  </si>
  <si>
    <t>Who is the famous scientist known for his theory of relativity?</t>
  </si>
  <si>
    <t>Which country is known for the Angkor Wat temple complex?</t>
  </si>
  <si>
    <t>K</t>
  </si>
  <si>
    <t>Who is the author of "The Odyssey"?</t>
  </si>
  <si>
    <t>In which city is the Christ the Redeemer statue located?</t>
  </si>
  <si>
    <t>N</t>
  </si>
  <si>
    <t>In which city is the Taj Mahal located?</t>
  </si>
  <si>
    <t>Who painted the famous artwork "The Thinker"?</t>
  </si>
  <si>
    <t>Auguste Rodin.</t>
  </si>
  <si>
    <t>Eleven.</t>
  </si>
  <si>
    <t>Which country is known for the Grand Canyon?</t>
  </si>
  <si>
    <t>What is the coldest continent on Earth?</t>
  </si>
  <si>
    <t>The highest mountain in Africa is Mount Kilimanjaro.</t>
  </si>
  <si>
    <t>What type of animal is a Komodo dragon?</t>
  </si>
  <si>
    <t>A lizard.</t>
  </si>
  <si>
    <t>Which planet in our solar system is known for its rings?</t>
  </si>
  <si>
    <t>What is the chemical element with the symbol Hg?</t>
  </si>
  <si>
    <t>Which city is the capital of Canada?</t>
  </si>
  <si>
    <t>What year was the Declaration of Independence signed?</t>
  </si>
  <si>
    <t>Who is the lead singer of the band Queen?</t>
  </si>
  <si>
    <t>Freddie Mercury.</t>
  </si>
  <si>
    <t>Who is the author of the "Lord of the Rings" trilogy?</t>
  </si>
  <si>
    <t>What is the symbol for the chemical element iron?</t>
  </si>
  <si>
    <t>The symbol for the chemical element iron is Fe.</t>
  </si>
  <si>
    <t>Who is the Roman equivalent of the Greek god Zeus?</t>
  </si>
  <si>
    <t>The Roman equivalent of the Greek god Zeus is Jupiter.</t>
  </si>
  <si>
    <t>Thor.</t>
  </si>
  <si>
    <t>Who painted the "Last Supper"?</t>
  </si>
  <si>
    <t>Who is the Hindu god of destruction?</t>
  </si>
  <si>
    <t>The Hindu god of destruction is Lord Shiva.</t>
  </si>
  <si>
    <t>Who painted the "Birth of Venus"?</t>
  </si>
  <si>
    <t>Who is the Egyptian god of the sun?</t>
  </si>
  <si>
    <t>Ra</t>
  </si>
  <si>
    <t>The currency of Canada is the Canadian Dollar.</t>
  </si>
  <si>
    <t>What is the chemical element with the symbol Au?</t>
  </si>
  <si>
    <t>Gold.</t>
  </si>
  <si>
    <t>What is the official language of Australia?</t>
  </si>
  <si>
    <t>The official language of Australia is English.</t>
  </si>
  <si>
    <t>In what year did the American Civil Rights Movement begin?</t>
  </si>
  <si>
    <t>The American Civil Rights Movement began in 1955.</t>
  </si>
  <si>
    <t>Who wrote the novel "Brave New World"?</t>
  </si>
  <si>
    <t>Who painted the "Night Watch"?</t>
  </si>
  <si>
    <t>Rembrandt van Rijn.</t>
  </si>
  <si>
    <t>Who is the author of "The Canterbury Tales"?</t>
  </si>
  <si>
    <t>Geoffrey Chaucer.</t>
  </si>
  <si>
    <t>Who is the Roman equivalent of the Greek goddess Aphrodite?</t>
  </si>
  <si>
    <t>The Roman equivalent of the Greek goddess Aphrodite is Venus.</t>
  </si>
  <si>
    <t>What is the chemical element with the symbol Pb?</t>
  </si>
  <si>
    <t>The chemical element with the symbol Pb is lead.</t>
  </si>
  <si>
    <t>Which country is known for the Parthenon?</t>
  </si>
  <si>
    <t>The currency of Japan is the Japanese yen (JPY).</t>
  </si>
  <si>
    <t>The Eiffel Tower is located in Paris.</t>
  </si>
  <si>
    <t>The capital of Italy is Rome.</t>
  </si>
  <si>
    <t>Who wrote the plays "Macbeth" and "Hamlet"?</t>
  </si>
  <si>
    <t>Which planet is known as the "Giant Red Spot"?</t>
  </si>
  <si>
    <t>The capital of Spain is Madrid.</t>
  </si>
  <si>
    <t>The currency of Australia is the Australian Dollar.</t>
  </si>
  <si>
    <t>What is the national bird of Brazil?</t>
  </si>
  <si>
    <t>The national bird of Brazil is the Rufous-bellied Thrush.</t>
  </si>
  <si>
    <t>Who wrote the plays "Macbeth" and "Romeo and Juliet"?</t>
  </si>
  <si>
    <t>What is the largest island in the Caribbean?</t>
  </si>
  <si>
    <t>Cuba</t>
  </si>
  <si>
    <t>What is the national flower of China?</t>
  </si>
  <si>
    <t>The national flower of China is the peony.</t>
  </si>
  <si>
    <t>What year did World War II begin?</t>
  </si>
  <si>
    <t>In what country was the sport of hockey invented?</t>
  </si>
  <si>
    <t>Hockey was invented in Canada.</t>
  </si>
  <si>
    <t>In which city would you find the Taj Mahal?</t>
  </si>
  <si>
    <t>Agra, India.</t>
  </si>
  <si>
    <t>Which scientist proposed the theory of general relativity?</t>
  </si>
  <si>
    <t>Who is the current British Prime Minister?</t>
  </si>
  <si>
    <t>Mandarin Chinese</t>
  </si>
  <si>
    <t>Who is the singer of the song "Shape of You"?</t>
  </si>
  <si>
    <t>Ed Sheeran.</t>
  </si>
  <si>
    <t>What is the largest city in Africa?</t>
  </si>
  <si>
    <t>Cairo</t>
  </si>
  <si>
    <t>Which element has the chemical symbol H?</t>
  </si>
  <si>
    <t>Hydrogen</t>
  </si>
  <si>
    <t>Who was the legendary King of Camelot in Arthurian folklore?</t>
  </si>
  <si>
    <t>King Arthur.</t>
  </si>
  <si>
    <t>What is the world's largest landlocked country?</t>
  </si>
  <si>
    <t>What is the longest river in Europe?</t>
  </si>
  <si>
    <t>The longest river in Europe is the Volga River.</t>
  </si>
  <si>
    <t>In which country is the city of Moscow located?</t>
  </si>
  <si>
    <t>In which country is the city of Rome located?</t>
  </si>
  <si>
    <t>What is the largest waterfall in the world by volume of water?</t>
  </si>
  <si>
    <t>Who is the artist behind the famous painting "Guernica"?</t>
  </si>
  <si>
    <t>In which city would you find the Sydney Opera House?</t>
  </si>
  <si>
    <t>São Paulo, Brazil.</t>
  </si>
  <si>
    <t>Who is the current Emperor of Japan?</t>
  </si>
  <si>
    <t>The current Emperor of Japan is Emperor Naruhito.</t>
  </si>
  <si>
    <t>In which country was the game of basketball invented?</t>
  </si>
  <si>
    <t>Which element has the atomic number 79?</t>
  </si>
  <si>
    <t>Who was the legendary ruler of Ancient Egypt?</t>
  </si>
  <si>
    <t>Cleopatra.</t>
  </si>
  <si>
    <t>What is the world's highest waterfall?</t>
  </si>
  <si>
    <t>In which city would you find the Vatican City?</t>
  </si>
  <si>
    <t>In which country is the city of Paris located?</t>
  </si>
  <si>
    <t>Who is the artist behind the famous painting "The Persistence of Memory"?</t>
  </si>
  <si>
    <t>In which city would you find the Pyramids of Teotihuacan?</t>
  </si>
  <si>
    <t>Which continent is home to the Amazon rainforest?</t>
  </si>
  <si>
    <t>South America.</t>
  </si>
  <si>
    <t>The symbol for the element oxygen is O.</t>
  </si>
  <si>
    <t>Athena</t>
  </si>
  <si>
    <t>Who sculpted the statue of David?</t>
  </si>
  <si>
    <t>Joseph R. Biden Jr.</t>
  </si>
  <si>
    <t>What is the top selling video game of all time?</t>
  </si>
  <si>
    <t>Minecraft.</t>
  </si>
  <si>
    <t>Denali (Mount McKinley) is the tallest mountain in North America.</t>
  </si>
  <si>
    <t>What is the most populous country in the world?</t>
  </si>
  <si>
    <t>Who is the main character in Shakespeare's play "Hamlet"?</t>
  </si>
  <si>
    <t>The main character in Shakespeare's play "Hamlet" is Hamlet.</t>
  </si>
  <si>
    <t>In which city can you find the Eiffel Tower?</t>
  </si>
  <si>
    <t>Who composed the symphony "Beethoven's Fifth"?</t>
  </si>
  <si>
    <t>Who is the Greek god of the sun?</t>
  </si>
  <si>
    <t>The Greek god of the sun is Apollo.</t>
  </si>
  <si>
    <t>The Mariana Trench is the deepest ocean trench in the world.</t>
  </si>
  <si>
    <t>Who composed the symphony "Symphony No. 9"?</t>
  </si>
  <si>
    <t>Who was the leader of the Soviet Union during World War II?</t>
  </si>
  <si>
    <t>In which city can you find the Statue of Liberty?</t>
  </si>
  <si>
    <t>Who painted the "Sistine Chapel Ceiling"?</t>
  </si>
  <si>
    <t>Who was the first African-American President of the United States?</t>
  </si>
  <si>
    <t>Which country is known for the invention of sushi?</t>
  </si>
  <si>
    <t>Who wrote the play "The Merchant of Venice"?</t>
  </si>
  <si>
    <t>Who composed the symphony "Eine kleine Nachtmusik"?</t>
  </si>
  <si>
    <t>Wolfgang Amadeus Mozart.</t>
  </si>
  <si>
    <t>In what country can you find the Great Barrier Reef?</t>
  </si>
  <si>
    <t>What year was the first moon landing?</t>
  </si>
  <si>
    <t>There are 7 continents in the world.</t>
  </si>
  <si>
    <t>Who composed the music for the ballet "The Nutcracker"?</t>
  </si>
  <si>
    <t>Pyotr Ilyich Tchaikovsky.</t>
  </si>
  <si>
    <t>In what country was the first Olympics held?</t>
  </si>
  <si>
    <t>What year did the Berlin Wall fall?</t>
  </si>
  <si>
    <t>What is the highest-grossing book of all time?</t>
  </si>
  <si>
    <t>The Bible.</t>
  </si>
  <si>
    <t>In what country is the Eiffel Tower located?</t>
  </si>
  <si>
    <t>In what country was the first written constitution adopted?</t>
  </si>
  <si>
    <t>The first written constitution was adopted in the United States.</t>
  </si>
  <si>
    <t>In what country can you find the Colosseum?</t>
  </si>
  <si>
    <t>What year did the United States declare independence?</t>
  </si>
  <si>
    <t>What is the highest-grossing video game of all time?</t>
  </si>
  <si>
    <t>The highest-grossing video game of all time is Minecraft.</t>
  </si>
  <si>
    <t>Who wrote the famous novel "The Great Gatsby"?</t>
  </si>
  <si>
    <t>In what country was the first modern Olympic Games held?</t>
  </si>
  <si>
    <t>How many sides does a decagon have?</t>
  </si>
  <si>
    <t>A decagon has 10 sides.</t>
  </si>
  <si>
    <t>In which country did the famous music band ABBA originate?</t>
  </si>
  <si>
    <t>Who painted the famous masterpiece "The Last Supper"?</t>
  </si>
  <si>
    <t>The largest species of penguin is the Emperor penguin.</t>
  </si>
  <si>
    <t>The national flower of France is the lily (Fleur-de-lis).</t>
  </si>
  <si>
    <t>Who is the author of the book series "The Chronicles of Narnia"?</t>
  </si>
  <si>
    <t>The author of "The Chronicles of Narnia" is C.S. Lewis.</t>
  </si>
  <si>
    <t>Which famous scientist discovered the law of gravity?</t>
  </si>
  <si>
    <t>In which country is Stonehenge located?</t>
  </si>
  <si>
    <t>Stonehenge is located in England.</t>
  </si>
  <si>
    <t>Sully Prudhomme.</t>
  </si>
  <si>
    <t>The main ingredient in gasoline is petroleum.</t>
  </si>
  <si>
    <t>The national flower of Japan is the chrysanthemum.</t>
  </si>
  <si>
    <t>Who is known as the "Father of the American Revolution"?</t>
  </si>
  <si>
    <t>Samuel Adams.</t>
  </si>
  <si>
    <t>The main ingredient in beer is water.</t>
  </si>
  <si>
    <t>In which country would you find the city of Petra?</t>
  </si>
  <si>
    <t>Who was the first person to win the Nobel Peace Prize?</t>
  </si>
  <si>
    <t>The first person to win the Nobel Peace Prize was Jean Henry Dunant.</t>
  </si>
  <si>
    <t>What is the main ingredient in sunscreen?</t>
  </si>
  <si>
    <t>The main ingredient in sunscreen is called a UV filter.</t>
  </si>
  <si>
    <t>What is the world's largest and deepest ocean trench?</t>
  </si>
  <si>
    <t>The world's largest and deepest ocean trench is the Mariana Trench.</t>
  </si>
  <si>
    <t>Hippocrates is known as the "Father of Medicine".</t>
  </si>
  <si>
    <t>What is the main ingredient in vinegar?</t>
  </si>
  <si>
    <t>Acetic acid.</t>
  </si>
  <si>
    <t>Charlotte Brontë.</t>
  </si>
  <si>
    <t>In which country would you find the ancient city of Angkor Wat?</t>
  </si>
  <si>
    <t>Who was the first person to win the Nobel Prize in Chemistry?</t>
  </si>
  <si>
    <t>The first person to win the Nobel Prize in Chemistry was Jacobus Henricus van 't Hoff.</t>
  </si>
  <si>
    <t>What is the main ingredient in aspirin?</t>
  </si>
  <si>
    <t>The main ingredient in aspirin is acetylsalicylic acid.</t>
  </si>
  <si>
    <t>Who is the author of the book "The Hobbit"?</t>
  </si>
  <si>
    <t>In what year did World War II officially end?</t>
  </si>
  <si>
    <t>World War II officially ended in 1945.</t>
  </si>
  <si>
    <t>Which iconic landmark is located in Paris, France?</t>
  </si>
  <si>
    <t>Which sport is Cristiano Ronaldo famous for?</t>
  </si>
  <si>
    <t>Football / Soccer</t>
  </si>
  <si>
    <t>What year did the United States gain independence from Great Britain?</t>
  </si>
  <si>
    <t>Which country is known as the land of the rising sun?</t>
  </si>
  <si>
    <t>Which country is known for the invention of the printing press?</t>
  </si>
  <si>
    <t>What is the largest waterfall in the world by volume?</t>
  </si>
  <si>
    <t>The largest waterfall in the world by volume is Angel Falls in Venezuela.</t>
  </si>
  <si>
    <t>How many Oscars did the movie "Titanic" win?</t>
  </si>
  <si>
    <t>"Titanic" won 11 Oscars.</t>
  </si>
  <si>
    <t>The blue whale is the largest fish in the world.</t>
  </si>
  <si>
    <t>How many elements are there on the periodic table?</t>
  </si>
  <si>
    <t>There are 118 elements on the periodic table.</t>
  </si>
  <si>
    <t>The national flower of France is the lily.</t>
  </si>
  <si>
    <t>How many eyes does a bee have?</t>
  </si>
  <si>
    <t>A bee has five eyes.</t>
  </si>
  <si>
    <t>Who is the author of the book "Moby-Dick"?</t>
  </si>
  <si>
    <t>What is the deepest part of the ocean called?</t>
  </si>
  <si>
    <t>The deepest part of the ocean is called the Mariana Trench.</t>
  </si>
  <si>
    <t>Ludwig van Beethoven</t>
  </si>
  <si>
    <t>Who is the Greek goddess of the hunt?</t>
  </si>
  <si>
    <t>Artemis.</t>
  </si>
  <si>
    <t>Which African country was formerly known as Rhodesia?</t>
  </si>
  <si>
    <t>Zimbabwe.</t>
  </si>
  <si>
    <t>The national animal of Japan is the Green Pheasant (Phasianus versicolor).</t>
  </si>
  <si>
    <t>Who won the Nobel Prize for Physics in 2020?</t>
  </si>
  <si>
    <t>Roger Penrose, Reinhard Genzel, and Andrea Ghez.</t>
  </si>
  <si>
    <t>Which country is famous for the Great Wall?</t>
  </si>
  <si>
    <t>The Titanic sank in the year 1912.</t>
  </si>
  <si>
    <t>The official language of China is Standard Mandarin.</t>
  </si>
  <si>
    <t>Who is the current Queen of the United Kingdom?</t>
  </si>
  <si>
    <t>Which animal can be found on the logo of the WWF (World Wildlife Fund)?</t>
  </si>
  <si>
    <t>Panda.</t>
  </si>
  <si>
    <t>The author of "Alice's Adventures in Wonderland" is Lewis Carroll.</t>
  </si>
  <si>
    <t>Which country is known for its cheese and wine?</t>
  </si>
  <si>
    <t>The discovery of electricity is attributed to many scientists, including Benjamin Franklin and Alessandro Volta.</t>
  </si>
  <si>
    <t>Which country is famous for its pyramids?</t>
  </si>
  <si>
    <t>Peacock.</t>
  </si>
  <si>
    <t>In which country was the first Olympics held?</t>
  </si>
  <si>
    <t>How many players are in a soccer team?</t>
  </si>
  <si>
    <t>Lions.</t>
  </si>
  <si>
    <t>Who is the author of the famous novel "To Kill a Mockingbird"?</t>
  </si>
  <si>
    <t>What is the current population of India?</t>
  </si>
  <si>
    <t>The current population of India is approximately 1.38 billion.</t>
  </si>
  <si>
    <t>In which country was the Great Wall of China built?</t>
  </si>
  <si>
    <t>Who is the author of the famous novel "The Great Gatsby"?</t>
  </si>
  <si>
    <t>What is the official language of Nigeria?</t>
  </si>
  <si>
    <t>In which country was Shakespeare born?</t>
  </si>
  <si>
    <t>Shakespeare was born in England.</t>
  </si>
  <si>
    <t>What is the highest court in the United States?</t>
  </si>
  <si>
    <t>The Supreme Court.</t>
  </si>
  <si>
    <t>Shinto is the main religion in Japan.</t>
  </si>
  <si>
    <t>There are currently 118 elements in the periodic table.</t>
  </si>
  <si>
    <t>What is the largest glacier in the world?</t>
  </si>
  <si>
    <t>The largest glacier in the world is the Lambert Glacier in Antarctica.</t>
  </si>
  <si>
    <t>What is the main language spoken in France?</t>
  </si>
  <si>
    <t>What is the main religion in Brazil?</t>
  </si>
  <si>
    <t>The main religion in Brazil is Christianity.</t>
  </si>
  <si>
    <t>Who is the author of the famous novel "The Hobbit"?</t>
  </si>
  <si>
    <t>What is the national sport of Spain?</t>
  </si>
  <si>
    <t>The national sport of Spain is bullfighting.</t>
  </si>
  <si>
    <t>In which city would you find the Great Sphinx?</t>
  </si>
  <si>
    <t>Cairo, Egypt.</t>
  </si>
  <si>
    <t>Emmanuel Macron</t>
  </si>
  <si>
    <t>Alexander Graham Bell</t>
  </si>
  <si>
    <t>Which famous artist is known for painting "Starry Night"?</t>
  </si>
  <si>
    <t>What is the tallest mammal on Earth?</t>
  </si>
  <si>
    <t>The tallest mammal on Earth is the giraffe.</t>
  </si>
  <si>
    <t>Who is the author of the "Lord of the Rings" series?</t>
  </si>
  <si>
    <t>The highest mountain in Europe is Mount Elbrus.</t>
  </si>
  <si>
    <t>How many players are there in a football (soccer) team?</t>
  </si>
  <si>
    <t>There are eleven players in a football (soccer) team.</t>
  </si>
  <si>
    <t>Who invented the radio?</t>
  </si>
  <si>
    <t>Guglielmo Marconi.</t>
  </si>
  <si>
    <t>What is the highest-grossing music artist of all time?</t>
  </si>
  <si>
    <t>The Beatles.</t>
  </si>
  <si>
    <t>The capital city of Argentina is Buenos Aires.</t>
  </si>
  <si>
    <t>Who invented the airplane?</t>
  </si>
  <si>
    <t>The Wright brothers.</t>
  </si>
  <si>
    <t>What is the chemical symbol for mercury?</t>
  </si>
  <si>
    <t>The chemical symbol for mercury is Hg.</t>
  </si>
  <si>
    <t>How many bones are there in the human hand?</t>
  </si>
  <si>
    <t>How many rings make up the Olympic symbol?</t>
  </si>
  <si>
    <t>Five</t>
  </si>
  <si>
    <t>Who painted the Ceiling of the Sistine Chapel?</t>
  </si>
  <si>
    <t>What is the symbol for the element hydrogen on the periodic table?</t>
  </si>
  <si>
    <t>The symbol for the element hydrogen on the periodic table is H.</t>
  </si>
  <si>
    <t>Which country is known for its famous Great Wall?</t>
  </si>
  <si>
    <t>Which two colors are found on the flag of France?</t>
  </si>
  <si>
    <t>Blue and white.</t>
  </si>
  <si>
    <t>Who was the founder of Apple Inc.?</t>
  </si>
  <si>
    <t>Steve Jobs</t>
  </si>
  <si>
    <t>How many moons does planet Earth have?</t>
  </si>
  <si>
    <t>Planet Earth has one moon.</t>
  </si>
  <si>
    <t>Who painted the artwork Guernica?</t>
  </si>
  <si>
    <t>Who painted the artwork The Last Supper?</t>
  </si>
  <si>
    <t>Which country is known for the Great Sphinx of Giza?</t>
  </si>
  <si>
    <t>What is the chemical formula for sodium chloride?</t>
  </si>
  <si>
    <t>The chemical formula for sodium chloride is NaCl.</t>
  </si>
  <si>
    <t>Who was the ancient Roman god of war?</t>
  </si>
  <si>
    <t>The ancient Roman god of war was Mars.</t>
  </si>
  <si>
    <t>How many bones are there in an adult human skull?</t>
  </si>
  <si>
    <t>There are 22 bones in an adult human skull.</t>
  </si>
  <si>
    <t>Who painted the artwork The Girl with a Pearl Earring?</t>
  </si>
  <si>
    <t>Who was the ancient Egyptian god of the sun?</t>
  </si>
  <si>
    <t>The ancient Egyptian god of the sun was Ra.</t>
  </si>
  <si>
    <t>Who is the author of the book The Great Gatsby?</t>
  </si>
  <si>
    <t>Thor</t>
  </si>
  <si>
    <t>A spider typically has eight legs.</t>
  </si>
  <si>
    <t>Who was the ancient Greek goddess of wisdom?</t>
  </si>
  <si>
    <t>What is the largest mountain range in the world?</t>
  </si>
  <si>
    <t>The largest mountain range in the world is the Andes.</t>
  </si>
  <si>
    <t>The capital city of Japan is Tokyo.</t>
  </si>
  <si>
    <t>Who is the author of the book 1984?</t>
  </si>
  <si>
    <t>What is the main ingredient in guacamole?</t>
  </si>
  <si>
    <t>The main ingredient in guacamole is avocado.</t>
  </si>
  <si>
    <t>Which animal is known to be the fastest on land?</t>
  </si>
  <si>
    <t>Cheetah</t>
  </si>
  <si>
    <t>Which gas makes up the majority of the Earth's atmosphere?</t>
  </si>
  <si>
    <t>Nitrogen.</t>
  </si>
  <si>
    <t>Who is the famous Greek philosopher credited with the quote "Know thyself"?</t>
  </si>
  <si>
    <t>What is the longest running TV show in history?</t>
  </si>
  <si>
    <t>The longest running TV show in history is "The Simpsons."</t>
  </si>
  <si>
    <t>J.D. Salinger wrote "The Catcher in the Rye".</t>
  </si>
  <si>
    <t>What is the main ingredient in pasta?</t>
  </si>
  <si>
    <t>The main ingredient in pasta is wheat flour.</t>
  </si>
  <si>
    <t>The computer was not invented by one person but rather by multiple individuals and teams over several decades.</t>
  </si>
  <si>
    <t>What is the country code for the United Kingdom?</t>
  </si>
  <si>
    <t>The country code for the United Kingdom is +44.</t>
  </si>
  <si>
    <t>The capital of Egypt is Cairo.</t>
  </si>
  <si>
    <t>What is the main ingredient in sushi?</t>
  </si>
  <si>
    <t>The main ingredient in sushi is rice.</t>
  </si>
  <si>
    <t>Which city hosted the 2020 Summer Olympics?</t>
  </si>
  <si>
    <t>Who is the famous scientist known for his theory of gravity?</t>
  </si>
  <si>
    <t>Yosemite Falls</t>
  </si>
  <si>
    <t>Benjamin Franklin discovered electricity.</t>
  </si>
  <si>
    <t>Hockey.</t>
  </si>
  <si>
    <t>How many months have 31 days?</t>
  </si>
  <si>
    <t>There are seven months that have 31 days.</t>
  </si>
  <si>
    <t>In what country is the Great Barrier Reef located?</t>
  </si>
  <si>
    <t>What is the largest state in the United States?</t>
  </si>
  <si>
    <t>Alaska</t>
  </si>
  <si>
    <t>Algeria</t>
  </si>
  <si>
    <t>Who is the current chancellor of Germany?</t>
  </si>
  <si>
    <t>What is the world's largest volcano?</t>
  </si>
  <si>
    <t>Mauna Loa in Hawaii.</t>
  </si>
  <si>
    <t>Who is the current president of Russia?</t>
  </si>
  <si>
    <t>How many wings does a butterfly have?</t>
  </si>
  <si>
    <t>A butterfly has four wings.</t>
  </si>
  <si>
    <t>The national sport of Brazil is soccer (futebol).</t>
  </si>
  <si>
    <t>In what country is the Colosseum located?</t>
  </si>
  <si>
    <t>In Greek mythology, who is the god of thunder?</t>
  </si>
  <si>
    <t>The god of thunder in Greek mythology is Zeus.</t>
  </si>
  <si>
    <t>Which country is the Great Wall of China located in?</t>
  </si>
  <si>
    <t>Which planet is known for its ring system?</t>
  </si>
  <si>
    <t>In which city is the White House located?</t>
  </si>
  <si>
    <t>The current President of Russia is Vladimir Putin.</t>
  </si>
  <si>
    <t>Sumo.</t>
  </si>
  <si>
    <t>The largest lake in Europe is Lake Ladoga.</t>
  </si>
  <si>
    <t>Who is the author of "The Grapes of Wrath"?</t>
  </si>
  <si>
    <t>John Steinbeck.</t>
  </si>
  <si>
    <t>In which city is the Kremlin located?</t>
  </si>
  <si>
    <t>The Himalayas.</t>
  </si>
  <si>
    <t>Which country is known for its chocolate and waffles?</t>
  </si>
  <si>
    <t>Who is the author of "The Picture of Dorian Gray"?</t>
  </si>
  <si>
    <t>Oscar Wilde.</t>
  </si>
  <si>
    <t>What country is known as the "Land of the Rising Sun"?</t>
  </si>
  <si>
    <t>What is the largest religion in the world?</t>
  </si>
  <si>
    <t>What is the largest religion in India?</t>
  </si>
  <si>
    <t>What is the second largest religion in the world?</t>
  </si>
  <si>
    <t>Islam.</t>
  </si>
  <si>
    <t>Narendra Modi</t>
  </si>
  <si>
    <t>What is the tallest mountain in South America?</t>
  </si>
  <si>
    <t>The tallest mountain in South America is Mount Aconcagua.</t>
  </si>
  <si>
    <t>What is the capital of the United Kingdom?</t>
  </si>
  <si>
    <t>Adult humans have 32 teeth.</t>
  </si>
  <si>
    <t>What is the largest religion in China?</t>
  </si>
  <si>
    <t>The largest religion in China is Buddhism.</t>
  </si>
  <si>
    <t>What is the official language of Canada?</t>
  </si>
  <si>
    <t>The official languages of Canada are English and French.</t>
  </si>
  <si>
    <t>What is the smallest ocean in Africa?</t>
  </si>
  <si>
    <t>There is no ocean in Africa.</t>
  </si>
  <si>
    <t>Who is the current President of Germany?</t>
  </si>
  <si>
    <t>Frank-Walter Steinmeier.</t>
  </si>
  <si>
    <t>Lake Titicaca.</t>
  </si>
  <si>
    <t>Who is the current Prime Minister of Brazil?</t>
  </si>
  <si>
    <t>What is the tallest mountain in Europe?</t>
  </si>
  <si>
    <t>Who is the author of Pride and Prejudice?</t>
  </si>
  <si>
    <t>The author of Pride and Prejudice is Jane Austen.</t>
  </si>
  <si>
    <t>Who composed Symphony No. 9, also known as "Ode to Joy"?</t>
  </si>
  <si>
    <t>Who wrote To Kill a Mockingbird?</t>
  </si>
  <si>
    <t>Who composed the symphony called "Fate"?</t>
  </si>
  <si>
    <t>Who led the civil rights movement in the United States?</t>
  </si>
  <si>
    <t>Martin Luther King Jr.</t>
  </si>
  <si>
    <t>Who wrote 1984?</t>
  </si>
  <si>
    <t>Who founded Facebook?</t>
  </si>
  <si>
    <t>Who composed the Symphony No. 5, also known as "Fate"?</t>
  </si>
  <si>
    <t>Australian rules football.</t>
  </si>
  <si>
    <t>What is the chemical symbol for magnesium?</t>
  </si>
  <si>
    <t>The chemical symbol for magnesium is Mg.</t>
  </si>
  <si>
    <t>The currency of Spain is the euro.</t>
  </si>
  <si>
    <t>The national bird of Brazil is the Rufous-bellied thrush.</t>
  </si>
  <si>
    <t>Mount Denali (formerly known as Mount McKinley)</t>
  </si>
  <si>
    <t>The computer was not invented by one person. It was developed through the efforts of many inventors and scientists over time.</t>
  </si>
  <si>
    <t>Pb</t>
  </si>
  <si>
    <t>Who composed Symphony No. 5, also known as "Fate"?</t>
  </si>
  <si>
    <t>What is the tallest building in the world currently?</t>
  </si>
  <si>
    <t>The Burj Khalifa in Dubai is currently the tallest building in the world.</t>
  </si>
  <si>
    <t>What is the chemical symbol for tin?</t>
  </si>
  <si>
    <t>Sn</t>
  </si>
  <si>
    <t>What is the largest ocean?</t>
  </si>
  <si>
    <t>Who is the artist behind the painting "Starry Night"?</t>
  </si>
  <si>
    <t>Which country is home to the tallest mountain in the world, Mount Everest?</t>
  </si>
  <si>
    <t>What is the standard unit of measurement for distance?</t>
  </si>
  <si>
    <t>The standard unit of measurement for distance is meters.</t>
  </si>
  <si>
    <t>Who was the legendary King of Camelot in Arthurian legends?</t>
  </si>
  <si>
    <t>Who painted the mural "The Last Supper"?</t>
  </si>
  <si>
    <t>What is the largest moon in the solar system?</t>
  </si>
  <si>
    <t>Ganymede</t>
  </si>
  <si>
    <t>What is the standard unit of measurement for time?</t>
  </si>
  <si>
    <t>The standard unit of measurement for time is the second.</t>
  </si>
  <si>
    <t>Who was the famous pirate who sailed the Caribbean in the 17th century?</t>
  </si>
  <si>
    <t>Blackbeard.</t>
  </si>
  <si>
    <t>Who wrote the novel "Great Expectations"?</t>
  </si>
  <si>
    <t>Charles Dickens.</t>
  </si>
  <si>
    <t>Isaac Newton is credited with discovering gravity.</t>
  </si>
  <si>
    <t>In which country would you find the Great Wall of China?</t>
  </si>
  <si>
    <t>Who is credited with discovering the polio vaccine?</t>
  </si>
  <si>
    <t>Dr. Jonas Salk</t>
  </si>
  <si>
    <t>What is the largest moon of Saturn?</t>
  </si>
  <si>
    <t>Titan.</t>
  </si>
  <si>
    <t>What is the standard unit of measurement for temperature?</t>
  </si>
  <si>
    <t>The standard unit of measurement for temperature is degrees Celsius.</t>
  </si>
  <si>
    <t>Who was the Greek philosopher who taught Alexander the Great?</t>
  </si>
  <si>
    <t>The Greek philosopher who taught Alexander the Great was Aristotle.</t>
  </si>
  <si>
    <t>Who painted the "Guernica"?</t>
  </si>
  <si>
    <t>Who painted the "Garden of Earthly Delights"?</t>
  </si>
  <si>
    <t>Hieronymus Bosch.</t>
  </si>
  <si>
    <t>In which country would you find the Sydney Opera House?</t>
  </si>
  <si>
    <t>What is the largest moon of Jupiter?</t>
  </si>
  <si>
    <t>What is the standard unit of measurement for mass?</t>
  </si>
  <si>
    <t>The standard unit of measurement for mass is the kilogram.</t>
  </si>
  <si>
    <t>Who was the Roman general and statesman who played a critical role in the events that led to the demise of the Roman Republic?</t>
  </si>
  <si>
    <t>Julius Caesar.</t>
  </si>
  <si>
    <t>In which country would you find the Acropolis?</t>
  </si>
  <si>
    <t>What is the largest moon of Neptune?</t>
  </si>
  <si>
    <t>The largest moon of Neptune is Triton.</t>
  </si>
  <si>
    <t>What is the largest planet in the solar system?</t>
  </si>
  <si>
    <t>What is the process by which plants convert sunlight into food?</t>
  </si>
  <si>
    <t>Which organ filters toxins from the blood?</t>
  </si>
  <si>
    <t>The liver.</t>
  </si>
  <si>
    <t>Which country is known for inventing pizza?</t>
  </si>
  <si>
    <t>Which novel by Mark Twain features the characters Tom Sawyer and Huckleberry Finn?</t>
  </si>
  <si>
    <t>The Adventures of Tom Sawyer.</t>
  </si>
  <si>
    <t>Who painted "Starry Night"?</t>
  </si>
  <si>
    <t>What is the process by which plants release water vapor through their leaves?</t>
  </si>
  <si>
    <t>Transpiration.</t>
  </si>
  <si>
    <t>What is the symbol for the element carbon on the periodic table?</t>
  </si>
  <si>
    <t>Which country is known for inventing the telephone?</t>
  </si>
  <si>
    <t>The country known for inventing the telephone is the United States.</t>
  </si>
  <si>
    <t>Which organ pumps blood throughout the body?</t>
  </si>
  <si>
    <t>The heart.</t>
  </si>
  <si>
    <t>Which country is known for inventing sushi?</t>
  </si>
  <si>
    <t>Which novel by J.R.R. Tolkien features the characters Frodo Baggins and Gandalf?</t>
  </si>
  <si>
    <t>The novel is "The Lord of the Rings."</t>
  </si>
  <si>
    <t>In what city would you find the Great Wall of China?</t>
  </si>
  <si>
    <t>Who is the author of the "To Kill a Mockingbird"?</t>
  </si>
  <si>
    <t>Who painted the "The Starry Night"?</t>
  </si>
  <si>
    <t>What is the process by which plants take in carbon dioxide and release oxygen?</t>
  </si>
  <si>
    <t>which country is known for inventing the internet ?</t>
  </si>
  <si>
    <t>How many sides does a square have?</t>
  </si>
  <si>
    <t>A square has four sides.</t>
  </si>
  <si>
    <t>Who was the dictator of Germany during World War II?</t>
  </si>
  <si>
    <t>What is the process by which plants reproduce using seeds?</t>
  </si>
  <si>
    <t>The process by which plants reproduce using seeds is called seed reproduction.</t>
  </si>
  <si>
    <t>What is the symbol for the element sodium on the periodic table?</t>
  </si>
  <si>
    <t>The symbol for the element sodium on the periodic table is Na.</t>
  </si>
  <si>
    <t>Which country is known for inventing the gramophone ?</t>
  </si>
  <si>
    <t>The gramophone was invented in Germany.</t>
  </si>
  <si>
    <t>How many sides does a decagon have ?</t>
  </si>
  <si>
    <t>The tallest waterfall in the world is Angel Falls.</t>
  </si>
  <si>
    <t>What is the process by which water vapor turns into liquid water?</t>
  </si>
  <si>
    <t>The process by which water vapor turns into liquid water is condensation.</t>
  </si>
  <si>
    <t>What is the symbol for the element helium on the periodic table?</t>
  </si>
  <si>
    <t>Which country is known for inventing the radio ?</t>
  </si>
  <si>
    <t>Who is the author of the "The Catcher in the Rye"?</t>
  </si>
  <si>
    <t>What is the process by which plants reproduce without seeds?</t>
  </si>
  <si>
    <t>The process by which plants reproduce without seeds is called asexual reproduction.</t>
  </si>
  <si>
    <t>What is the symbol for the element nitrogen on the periodic table?</t>
  </si>
  <si>
    <t>The symbol for the element nitrogen on the periodic table is N.</t>
  </si>
  <si>
    <t>Which country is known for inventing the television ?</t>
  </si>
  <si>
    <t>The United States is known for inventing the television.</t>
  </si>
  <si>
    <t>How many sides does a dodecagon have?</t>
  </si>
  <si>
    <t>A dodecagon has 12 sides.</t>
  </si>
  <si>
    <t>What is the process by which liquid water turns into water vapor?</t>
  </si>
  <si>
    <t>The process is called evaporation.</t>
  </si>
  <si>
    <t>What is the symbol for the element uranium on the periodic table?</t>
  </si>
  <si>
    <t>The symbol for the element uranium on the periodic table is U.</t>
  </si>
  <si>
    <t>Which country is known for inventing the printing press ?</t>
  </si>
  <si>
    <t>Germany is known for inventing the printing press. Specifically, Johannes Gutenberg is credited with inventing the printing press in the 15th century in Mainz, Germany.</t>
  </si>
  <si>
    <t>How many sides does a heptagon have?</t>
  </si>
  <si>
    <t>A heptagon has 7 sides.</t>
  </si>
  <si>
    <t>Who is the author of the "To the Lighthouse"?</t>
  </si>
  <si>
    <t>The author of "To the Lighthouse" is Virginia Woolf.</t>
  </si>
  <si>
    <t>What is the process by which water vapor turns into ice without becoming a liquid first?</t>
  </si>
  <si>
    <t>The process is called deposition.</t>
  </si>
  <si>
    <t>What is the symbol for the element silver on the periodic table?</t>
  </si>
  <si>
    <t>The symbol for the element silver on the periodic table is Ag.</t>
  </si>
  <si>
    <t>Which country is known for inventing the airplane ?</t>
  </si>
  <si>
    <t>The country known for inventing the airplane is the United States.</t>
  </si>
  <si>
    <t>How many sides does a nonagon have?</t>
  </si>
  <si>
    <t>A nonagon has 9 sides.</t>
  </si>
  <si>
    <t>Who painted the "The Night Watch"?</t>
  </si>
  <si>
    <t>What is the process by which liquid water turns into ice?</t>
  </si>
  <si>
    <t>The process is called freezing.</t>
  </si>
  <si>
    <t>Which country is known for inventing the smartphone ?</t>
  </si>
  <si>
    <t>The country known for inventing the smartphone is the United States.</t>
  </si>
  <si>
    <t>How many sides does a hendecagon have?</t>
  </si>
  <si>
    <t>A hendecagon has 11 sides.</t>
  </si>
  <si>
    <t>Who is the author of the "The Chronicles of Narnia"?</t>
  </si>
  <si>
    <t>Who painted the "The Persistence of Memory"?</t>
  </si>
  <si>
    <t>What is the process by which ice turns directly into water vapor without becoming a liquid first?</t>
  </si>
  <si>
    <t>Sublimation.</t>
  </si>
  <si>
    <t>What is the symbol for the element cobalt on the periodic table?</t>
  </si>
  <si>
    <t>The symbol for cobalt on the periodic table is Co.</t>
  </si>
  <si>
    <t>Which country is known for inventing the computer ?</t>
  </si>
  <si>
    <t>Who wrote the novel "Animal Farm"?</t>
  </si>
  <si>
    <t>The process is called condensation.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</si>
</sst>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right" vertical="bottom"/>
    </xf>
    <xf borderId="0" fillId="0" fontId="2" numFmtId="164" xfId="0" applyAlignment="1" applyFont="1" applyNumberFormat="1">
      <alignment horizontal="right" vertical="bottom"/>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50.63"/>
    <col customWidth="1" min="3" max="3" width="30.25"/>
    <col customWidth="1" min="4" max="5" width="38.38"/>
  </cols>
  <sheetData>
    <row r="1">
      <c r="A1" s="1" t="s">
        <v>0</v>
      </c>
      <c r="B1" s="2" t="s">
        <v>1</v>
      </c>
      <c r="C1" s="2" t="s">
        <v>2</v>
      </c>
      <c r="D1" s="2" t="s">
        <v>3</v>
      </c>
    </row>
    <row r="2">
      <c r="A2" s="1" t="s">
        <v>4</v>
      </c>
      <c r="B2" s="2" t="s">
        <v>5</v>
      </c>
      <c r="C2" s="3" t="str">
        <f>IFERROR(__xludf.DUMMYFUNCTION("GOOGLETRANSLATE(A2,""en"",""hy"")"),"ինչ է Ջասթին Բիբեր եղբոր անունը:")</f>
        <v>ինչ է Ջասթին Բիբեր եղբոր անունը:</v>
      </c>
      <c r="D2" s="3" t="str">
        <f>IFERROR(__xludf.DUMMYFUNCTION("GOOGLETRANSLATE(B2,""en"",""hy"")"),"Ջասթին Բիբերի եղբոր անունը Ջեքսոն Բիբեր է։")</f>
        <v>Ջասթին Բիբերի եղբոր անունը Ջեքսոն Բիբեր է։</v>
      </c>
    </row>
    <row r="3">
      <c r="A3" s="1" t="s">
        <v>6</v>
      </c>
      <c r="B3" s="2" t="s">
        <v>7</v>
      </c>
      <c r="C3" s="3" t="str">
        <f>IFERROR(__xludf.DUMMYFUNCTION("GOOGLETRANSLATE(A3,""en"",""hy"")"),"Ի՞նչ կերպար է խաղացել Նատալի Պորտմանը աստղային պատերազմներում:")</f>
        <v>Ի՞նչ կերպար է խաղացել Նատալի Պորտմանը աստղային պատերազմներում:</v>
      </c>
      <c r="D3" s="3" t="str">
        <f>IFERROR(__xludf.DUMMYFUNCTION("GOOGLETRANSLATE(B3,""en"",""hy"")"),"Նատալի Պորտմանը «Աստղային պատերազմներ» ֆիլմում մարմնավորել է Պադմե Ամիդալային։")</f>
        <v>Նատալի Պորտմանը «Աստղային պատերազմներ» ֆիլմում մարմնավորել է Պադմե Ամիդալային։</v>
      </c>
    </row>
    <row r="4">
      <c r="A4" s="1" t="s">
        <v>8</v>
      </c>
      <c r="B4" s="2" t="s">
        <v>9</v>
      </c>
      <c r="C4" s="3" t="str">
        <f>IFERROR(__xludf.DUMMYFUNCTION("GOOGLETRANSLATE(A4,""en"",""hy"")"),"Ո՞ր նահանգից է Սելենա Գոմեսը")</f>
        <v>Ո՞ր նահանգից է Սելենա Գոմեսը</v>
      </c>
      <c r="D4" s="3" t="str">
        <f>IFERROR(__xludf.DUMMYFUNCTION("GOOGLETRANSLATE(B4,""en"",""hy"")"),"Տեխաս.")</f>
        <v>Տեխաս.</v>
      </c>
    </row>
    <row r="5">
      <c r="A5" s="1" t="s">
        <v>10</v>
      </c>
      <c r="B5" s="2" t="s">
        <v>11</v>
      </c>
      <c r="C5" s="3" t="str">
        <f>IFERROR(__xludf.DUMMYFUNCTION("GOOGLETRANSLATE(A5,""en"",""hy"")"),"Ո՞ր երկրում է գտնվում Մեծ Բահամա կղզին:")</f>
        <v>Ո՞ր երկրում է գտնվում Մեծ Բահամա կղզին:</v>
      </c>
      <c r="D5" s="3" t="str">
        <f>IFERROR(__xludf.DUMMYFUNCTION("GOOGLETRANSLATE(B5,""en"",""hy"")"),"Մեծ Բահամա կղզին Բահամյան կղզիներում է:")</f>
        <v>Մեծ Բահամա կղզին Բահամյան կղզիներում է:</v>
      </c>
    </row>
    <row r="6">
      <c r="A6" s="1" t="s">
        <v>12</v>
      </c>
      <c r="B6" s="2" t="s">
        <v>13</v>
      </c>
      <c r="C6" s="3" t="str">
        <f>IFERROR(__xludf.DUMMYFUNCTION("GOOGLETRANSLATE(A6,""en"",""hy"")"),"ինչ փող տանել Բահամյան կղզիներ.")</f>
        <v>ինչ փող տանել Բահամյան կղզիներ.</v>
      </c>
      <c r="D6" s="3" t="str">
        <f>IFERROR(__xludf.DUMMYFUNCTION("GOOGLETRANSLATE(B6,""en"",""hy"")"),"Բահամյան դոլար.")</f>
        <v>Բահամյան դոլար.</v>
      </c>
    </row>
    <row r="7">
      <c r="A7" s="1" t="s">
        <v>14</v>
      </c>
      <c r="B7" s="2" t="s">
        <v>15</v>
      </c>
      <c r="C7" s="3" t="str">
        <f>IFERROR(__xludf.DUMMYFUNCTION("GOOGLETRANSLATE(A7,""en"",""hy"")"),"Ո՞ւմ հետ է հանդիպում Քիմ Քարդաշյանը.")</f>
        <v>Ո՞ւմ հետ է հանդիպում Քիմ Քարդաշյանը.</v>
      </c>
      <c r="D7" s="3" t="str">
        <f>IFERROR(__xludf.DUMMYFUNCTION("GOOGLETRANSLATE(B7,""en"",""hy"")"),"Որպես AI լեզվի մոդել՝ ես հասանելի չեմ իրական ժամանակի տեղեկատվությանը: Հետևաբար, ես չեմ կարող տրամադրել Քիմ Քարդաշյանի ծանոթության ներկայիս կարգավիճակը։")</f>
        <v>Որպես AI լեզվի մոդել՝ ես հասանելի չեմ իրական ժամանակի տեղեկատվությանը: Հետևաբար, ես չեմ կարող տրամադրել Քիմ Քարդաշյանի ծանոթության ներկայիս կարգավիճակը։</v>
      </c>
    </row>
    <row r="8">
      <c r="A8" s="1" t="s">
        <v>16</v>
      </c>
      <c r="B8" s="2" t="s">
        <v>17</v>
      </c>
      <c r="C8" s="3" t="str">
        <f>IFERROR(__xludf.DUMMYFUNCTION("GOOGLETRANSLATE(A8,""en"",""hy"")"),"ի՞նչ կերպար է խաղացել Ջոն Նոբլը օղակների տիրակալում:")</f>
        <v>ի՞նչ կերպար է խաղացել Ջոն Նոբլը օղակների տիրակալում:</v>
      </c>
      <c r="D8" s="3" t="str">
        <f>IFERROR(__xludf.DUMMYFUNCTION("GOOGLETRANSLATE(B8,""en"",""hy"")"),"Ջոն Նոբլը մարմնավորել է Դենեթորի կերպարը Մատանիների տիրակալում։")</f>
        <v>Ջոն Նոբլը մարմնավորել է Դենեթորի կերպարը Մատանիների տիրակալում։</v>
      </c>
    </row>
    <row r="9">
      <c r="A9" s="1" t="s">
        <v>18</v>
      </c>
      <c r="B9" s="2" t="s">
        <v>19</v>
      </c>
      <c r="C9" s="3" t="str">
        <f>IFERROR(__xludf.DUMMYFUNCTION("GOOGLETRANSLATE(A9,""en"",""hy"")"),"որտեղից են nfl կարմրավունները:")</f>
        <v>որտեղից են nfl կարմրավունները:</v>
      </c>
      <c r="D9" s="3" t="str">
        <f>IFERROR(__xludf.DUMMYFUNCTION("GOOGLETRANSLATE(B9,""en"",""hy"")"),"NFL Redskins-ը Վաշինգտոնից է, D.C.")</f>
        <v>NFL Redskins-ը Վաշինգտոնից է, D.C.</v>
      </c>
    </row>
    <row r="10">
      <c r="A10" s="1" t="s">
        <v>20</v>
      </c>
      <c r="B10" s="2" t="s">
        <v>21</v>
      </c>
      <c r="C10" s="3" t="str">
        <f>IFERROR(__xludf.DUMMYFUNCTION("GOOGLETRANSLATE(A10,""en"",""hy"")"),"որտեղ էր ապրում Սաքին")</f>
        <v>որտեղ էր ապրում Սաքին</v>
      </c>
      <c r="D10" s="3" t="str">
        <f>IFERROR(__xludf.DUMMYFUNCTION("GOOGLETRANSLATE(B10,""en"",""hy"")"),"Սաքին ապրում էր Անգլիայում։")</f>
        <v>Սաքին ապրում էր Անգլիայում։</v>
      </c>
    </row>
    <row r="11">
      <c r="A11" s="1" t="s">
        <v>22</v>
      </c>
      <c r="B11" s="2" t="s">
        <v>23</v>
      </c>
      <c r="C11" s="3" t="str">
        <f>IFERROR(__xludf.DUMMYFUNCTION("GOOGLETRANSLATE(A11,""en"",""hy"")"),"քանի տարեկան է Սաշա բարոն Կոենը:")</f>
        <v>քանի տարեկան է Սաշա բարոն Կոենը:</v>
      </c>
      <c r="D11" s="3" t="str">
        <f>IFERROR(__xludf.DUMMYFUNCTION("GOOGLETRANSLATE(B11,""en"",""hy"")"),"Սաշա Բարոն Քոհենը 49 տարեկան է։")</f>
        <v>Սաշա Բարոն Քոհենը 49 տարեկան է։</v>
      </c>
    </row>
    <row r="12">
      <c r="A12" s="1" t="s">
        <v>24</v>
      </c>
      <c r="B12" s="2" t="s">
        <v>25</v>
      </c>
      <c r="C12" s="3" t="str">
        <f>IFERROR(__xludf.DUMMYFUNCTION("GOOGLETRANSLATE(A12,""en"",""hy"")"),"Ո՞ր երկու երկրներն են ներխուժել Լեհաստան WW2-ի սկզբին:")</f>
        <v>Ո՞ր երկու երկրներն են ներխուժել Լեհաստան WW2-ի սկզբին:</v>
      </c>
      <c r="D12" s="3" t="str">
        <f>IFERROR(__xludf.DUMMYFUNCTION("GOOGLETRANSLATE(B12,""en"",""hy"")"),"Գերմանիան և Խորհրդային Միությունը.")</f>
        <v>Գերմանիան և Խորհրդային Միությունը.</v>
      </c>
    </row>
    <row r="13">
      <c r="A13" s="1" t="s">
        <v>26</v>
      </c>
      <c r="B13" s="2" t="s">
        <v>27</v>
      </c>
      <c r="C13" s="3" t="str">
        <f>IFERROR(__xludf.DUMMYFUNCTION("GOOGLETRANSLATE(A13,""en"",""hy"")"),"ժամը ո՞ր ժամային գոտին է Քլիվլենդ Օհիոյում:")</f>
        <v>ժամը ո՞ր ժամային գոտին է Քլիվլենդ Օհիոյում:</v>
      </c>
      <c r="D13" s="3" t="str">
        <f>IFERROR(__xludf.DUMMYFUNCTION("GOOGLETRANSLATE(B13,""en"",""hy"")"),"Քլիվլենդ, Օհայո գտնվում է Արևելյան ժամային գոտում:")</f>
        <v>Քլիվլենդ, Օհայո գտնվում է Արևելյան ժամային գոտում:</v>
      </c>
    </row>
    <row r="14">
      <c r="A14" s="1" t="s">
        <v>28</v>
      </c>
      <c r="B14" s="2" t="s">
        <v>29</v>
      </c>
      <c r="C14" s="3" t="str">
        <f>IFERROR(__xludf.DUMMYFUNCTION("GOOGLETRANSLATE(A14,""en"",""hy"")"),"ո՞ւմ հետ ամուսնացավ Դրակո Մալլոյը:")</f>
        <v>ո՞ւմ հետ ամուսնացավ Դրակո Մալլոյը:</v>
      </c>
      <c r="D14" s="3" t="str">
        <f>IFERROR(__xludf.DUMMYFUNCTION("GOOGLETRANSLATE(B14,""en"",""hy"")"),"Դրակո Մալֆոյն ամուսնացավ Աստորիա Գրինգրասի հետ։")</f>
        <v>Դրակո Մալֆոյն ամուսնացավ Աստորիա Գրինգրասի հետ։</v>
      </c>
    </row>
    <row r="15">
      <c r="A15" s="1" t="s">
        <v>30</v>
      </c>
      <c r="B15" s="2" t="s">
        <v>31</v>
      </c>
      <c r="C15" s="3" t="str">
        <f>IFERROR(__xludf.DUMMYFUNCTION("GOOGLETRANSLATE(A15,""en"",""hy"")"),"ո՞ր երկրները սահմանակից են մեզ")</f>
        <v>ո՞ր երկրները սահմանակից են մեզ</v>
      </c>
      <c r="D15" s="3" t="str">
        <f>IFERROR(__xludf.DUMMYFUNCTION("GOOGLETRANSLATE(B15,""en"",""hy"")"),"Կանադան և Մեքսիկան սահմանակից են ԱՄՆ-ին:")</f>
        <v>Կանադան և Մեքսիկան սահմանակից են ԱՄՆ-ին:</v>
      </c>
    </row>
    <row r="16">
      <c r="A16" s="1" t="s">
        <v>32</v>
      </c>
      <c r="B16" s="2" t="s">
        <v>33</v>
      </c>
      <c r="C16" s="3" t="str">
        <f>IFERROR(__xludf.DUMMYFUNCTION("GOOGLETRANSLATE(A16,""en"",""hy"")"),"որտեղ է գտնվում Հռոմ Իտալիան քարտեզի վրա:")</f>
        <v>որտեղ է գտնվում Հռոմ Իտալիան քարտեզի վրա:</v>
      </c>
      <c r="D16" s="3" t="str">
        <f>IFERROR(__xludf.DUMMYFUNCTION("GOOGLETRANSLATE(B16,""en"",""hy"")"),"Հռոմ, Իտալիա գտնվում է կենտրոնական Իտալիայում, երկրի արևմտյան ափին:")</f>
        <v>Հռոմ, Իտալիա գտնվում է կենտրոնական Իտալիայում, երկրի արևմտյան ափին:</v>
      </c>
    </row>
    <row r="17">
      <c r="A17" s="1" t="s">
        <v>34</v>
      </c>
      <c r="B17" s="2" t="s">
        <v>35</v>
      </c>
      <c r="C17" s="3" t="str">
        <f>IFERROR(__xludf.DUMMYFUNCTION("GOOGLETRANSLATE(A17,""en"",""hy"")"),"ինչ է Նինա Դոբրևի ազգությունը:")</f>
        <v>ինչ է Նինա Դոբրևի ազգությունը:</v>
      </c>
      <c r="D17" s="3" t="str">
        <f>IFERROR(__xludf.DUMMYFUNCTION("GOOGLETRANSLATE(B17,""en"",""hy"")"),"կանադական.")</f>
        <v>կանադական.</v>
      </c>
    </row>
    <row r="18">
      <c r="A18" s="1" t="s">
        <v>36</v>
      </c>
      <c r="B18" s="2" t="s">
        <v>37</v>
      </c>
      <c r="C18" s="3" t="str">
        <f>IFERROR(__xludf.DUMMYFUNCTION("GOOGLETRANSLATE(A18,""en"",""hy"")"),"ո՞ր երկրին է պատկանում Իսլանդիան")</f>
        <v>ո՞ր երկրին է պատկանում Իսլանդիան</v>
      </c>
      <c r="D18" s="3" t="str">
        <f>IFERROR(__xludf.DUMMYFUNCTION("GOOGLETRANSLATE(B18,""en"",""hy"")"),"Իսլանդիան պատկանում է Իսլանդիայի երկրին։")</f>
        <v>Իսլանդիան պատկանում է Իսլանդիայի երկրին։</v>
      </c>
    </row>
    <row r="19">
      <c r="A19" s="1" t="s">
        <v>38</v>
      </c>
      <c r="B19" s="2" t="s">
        <v>39</v>
      </c>
      <c r="C19" s="3" t="str">
        <f>IFERROR(__xludf.DUMMYFUNCTION("GOOGLETRANSLATE(A19,""en"",""hy"")"),"ո՞ր Քենեդին առաջինը մահացավ")</f>
        <v>ո՞ր Քենեդին առաջինը մահացավ</v>
      </c>
      <c r="D19" s="3" t="str">
        <f>IFERROR(__xludf.DUMMYFUNCTION("GOOGLETRANSLATE(B19,""en"",""hy"")"),"Ջոն Քենեդի.")</f>
        <v>Ջոն Քենեդի.</v>
      </c>
    </row>
    <row r="20">
      <c r="A20" s="1" t="s">
        <v>40</v>
      </c>
      <c r="B20" s="2" t="s">
        <v>41</v>
      </c>
      <c r="C20" s="3" t="str">
        <f>IFERROR(__xludf.DUMMYFUNCTION("GOOGLETRANSLATE(A20,""en"",""hy"")"),"Բևերլիի ո՞ր գրքերն էին ճիշտ:")</f>
        <v>Բևերլիի ո՞ր գրքերն էին ճիշտ:</v>
      </c>
      <c r="D20" s="3" t="str">
        <f>IFERROR(__xludf.DUMMYFUNCTION("GOOGLETRANSLATE(B20,""en"",""hy"")"),"Բևերլի Քլիրին գրել է բազմաթիվ գրքեր, այդ թվում՝ «Ռամոնա» շարքը, «Բիզուս և Ռամոնա», «Հենրի Հագինս» և «Հարգելի պարոն Հենշոու» ​​շարքերը։")</f>
        <v>Բևերլի Քլիրին գրել է բազմաթիվ գրքեր, այդ թվում՝ «Ռամոնա» շարքը, «Բիզուս և Ռամոնա», «Հենրի Հագինս» և «Հարգելի պարոն Հենշոու» ​​շարքերը։</v>
      </c>
    </row>
    <row r="21">
      <c r="A21" s="1" t="s">
        <v>42</v>
      </c>
      <c r="B21" s="2" t="s">
        <v>43</v>
      </c>
      <c r="C21" s="3" t="str">
        <f>IFERROR(__xludf.DUMMYFUNCTION("GOOGLETRANSLATE(A21,""en"",""hy"")"),"ումի՞ց անկախություն ձեռք բերեցին Ֆիլիպինները:")</f>
        <v>ումի՞ց անկախություն ձեռք բերեցին Ֆիլիպինները:</v>
      </c>
      <c r="D21" s="3" t="str">
        <f>IFERROR(__xludf.DUMMYFUNCTION("GOOGLETRANSLATE(B21,""en"",""hy"")"),"Ֆիլիպինները անկախություն ձեռք բերեցին ԱՄՆ-ից։")</f>
        <v>Ֆիլիպինները անկախություն ձեռք բերեցին ԱՄՆ-ից։</v>
      </c>
    </row>
    <row r="22">
      <c r="A22" s="1" t="s">
        <v>44</v>
      </c>
      <c r="B22" s="2" t="s">
        <v>45</v>
      </c>
      <c r="C22" s="3" t="str">
        <f>IFERROR(__xludf.DUMMYFUNCTION("GOOGLETRANSLATE(A22,""en"",""hy"")"),"որտեղ թռչել Բալի.")</f>
        <v>որտեղ թռչել Բալի.</v>
      </c>
      <c r="D22" s="3" t="str">
        <f>IFERROR(__xludf.DUMMYFUNCTION("GOOGLETRANSLATE(B22,""en"",""hy"")"),"Նգուրա Ռայի միջազգային օդանավակայան Դենպասարում, Բալի:")</f>
        <v>Նգուրա Ռայի միջազգային օդանավակայան Դենպասարում, Բալի:</v>
      </c>
    </row>
    <row r="23">
      <c r="A23" s="1" t="s">
        <v>46</v>
      </c>
      <c r="B23" s="2" t="s">
        <v>47</v>
      </c>
      <c r="C23" s="3" t="str">
        <f>IFERROR(__xludf.DUMMYFUNCTION("GOOGLETRANSLATE(A23,""en"",""hy"")"),"ով է Եթովպիայի վարչապետը.")</f>
        <v>ով է Եթովպիայի վարչապետը.</v>
      </c>
      <c r="D23" s="3" t="str">
        <f>IFERROR(__xludf.DUMMYFUNCTION("GOOGLETRANSLATE(B23,""en"",""hy"")"),"2021 թվականի սեպտեմբերի դրությամբ Եթովպիայի վարչապետը Աբի Ահմեդն է։")</f>
        <v>2021 թվականի սեպտեմբերի դրությամբ Եթովպիայի վարչապետը Աբի Ահմեդն է։</v>
      </c>
    </row>
    <row r="24">
      <c r="A24" s="1" t="s">
        <v>48</v>
      </c>
      <c r="B24" s="2" t="s">
        <v>49</v>
      </c>
      <c r="C24" s="3" t="str">
        <f>IFERROR(__xludf.DUMMYFUNCTION("GOOGLETRANSLATE(A24,""en"",""hy"")"),"ի՞նչ տեսնել Սեդոնա Արիզոնայի մոտ:")</f>
        <v>ի՞նչ տեսնել Սեդոնա Արիզոնայի մոտ:</v>
      </c>
      <c r="D24" s="3" t="str">
        <f>IFERROR(__xludf.DUMMYFUNCTION("GOOGLETRANSLATE(B24,""en"",""hy"")"),"Արիզոնայի Սեդոնայի մերձակայքում գտնվող որոշ հայտնի տեսարժան վայրերը ներառում են Red Rock State Park-ը, Cathedral Rock-ը, Slide Rock State Park-ը և Սուրբ Խաչի մատուռը:")</f>
        <v>Արիզոնայի Սեդոնայի մերձակայքում գտնվող որոշ հայտնի տեսարժան վայրերը ներառում են Red Rock State Park-ը, Cathedral Rock-ը, Slide Rock State Park-ը և Սուրբ Խաչի մատուռը:</v>
      </c>
    </row>
    <row r="25">
      <c r="A25" s="1" t="s">
        <v>50</v>
      </c>
      <c r="B25" s="2" t="s">
        <v>51</v>
      </c>
      <c r="C25" s="3" t="str">
        <f>IFERROR(__xludf.DUMMYFUNCTION("GOOGLETRANSLATE(A25,""en"",""hy"")"),"ո՞ր ավագ դպրոց է հաճախել նախագահ Բիլ Քլինթոնը:")</f>
        <v>ո՞ր ավագ դպրոց է հաճախել նախագահ Բիլ Քլինթոնը:</v>
      </c>
      <c r="D25" s="3" t="str">
        <f>IFERROR(__xludf.DUMMYFUNCTION("GOOGLETRANSLATE(B25,""en"",""hy"")"),"Նախագահ Բիլ Քլինթոնը հաճախել է Արկանզասի Hot Springs ավագ դպրոցը:")</f>
        <v>Նախագահ Բիլ Քլինթոնը հաճախել է Արկանզասի Hot Springs ավագ դպրոցը:</v>
      </c>
    </row>
    <row r="26">
      <c r="A26" s="1" t="s">
        <v>52</v>
      </c>
      <c r="B26" s="2" t="s">
        <v>53</v>
      </c>
      <c r="C26" s="3" t="str">
        <f>IFERROR(__xludf.DUMMYFUNCTION("GOOGLETRANSLATE(A26,""en"",""hy"")"),"ինչպիսի՞ կառավարման ձև ունի Ռուսաստանն այսօր.")</f>
        <v>ինչպիսի՞ կառավարման ձև ունի Ռուսաստանն այսօր.</v>
      </c>
      <c r="D26" s="3" t="str">
        <f>IFERROR(__xludf.DUMMYFUNCTION("GOOGLETRANSLATE(B26,""en"",""hy"")"),"Ռուսաստանն ունի կիսանախագահական դաշնային հանրապետության կառավարման ձև։")</f>
        <v>Ռուսաստանն ունի կիսանախագահական դաշնային հանրապետության կառավարման ձև։</v>
      </c>
    </row>
    <row r="27">
      <c r="A27" s="1" t="s">
        <v>54</v>
      </c>
      <c r="B27" s="2" t="s">
        <v>55</v>
      </c>
      <c r="C27" s="3" t="str">
        <f>IFERROR(__xludf.DUMMYFUNCTION("GOOGLETRANSLATE(A27,""en"",""hy"")"),"Ո՞ր ֆիլմերում է խաղում Թեյլոր Լոթները")</f>
        <v>Ո՞ր ֆիլմերում է խաղում Թեյլոր Լոթները</v>
      </c>
      <c r="D27" s="3" t="str">
        <f>IFERROR(__xludf.DUMMYFUNCTION("GOOGLETRANSLATE(B27,""en"",""hy"")"),"Թեյլոր Լոթները նկարահանվել է այնպիսի ֆիլմերում, ինչպիսիք են «Մթնշաղ» սերիալը, «Առևանգումը» և «Վալենտինի օրը»:")</f>
        <v>Թեյլոր Լոթները նկարահանվել է այնպիսի ֆիլմերում, ինչպիսիք են «Մթնշաղ» սերիալը, «Առևանգումը» և «Վալենտինի օրը»:</v>
      </c>
    </row>
    <row r="28">
      <c r="A28" s="1" t="s">
        <v>56</v>
      </c>
      <c r="B28" s="2" t="s">
        <v>57</v>
      </c>
      <c r="C28" s="3" t="str">
        <f>IFERROR(__xludf.DUMMYFUNCTION("GOOGLETRANSLATE(A28,""en"",""hy"")"),"Ո՞ր տարում Լեբրոն Ջեյմսը եկավ ՆԲԱ:")</f>
        <v>Ո՞ր տարում Լեբրոն Ջեյմսը եկավ ՆԲԱ:</v>
      </c>
      <c r="D28" s="3" t="str">
        <f>IFERROR(__xludf.DUMMYFUNCTION("GOOGLETRANSLATE(B28,""en"",""hy"")"),"Լեբրոն Ջեյմսը NBA է եկել 2003 թվականին։")</f>
        <v>Լեբրոն Ջեյմսը NBA է եկել 2003 թվականին։</v>
      </c>
    </row>
    <row r="29">
      <c r="A29" s="1" t="s">
        <v>58</v>
      </c>
      <c r="B29" s="2" t="s">
        <v>59</v>
      </c>
      <c r="C29" s="3" t="str">
        <f>IFERROR(__xludf.DUMMYFUNCTION("GOOGLETRANSLATE(A29,""en"",""hy"")"),"ինչի՞ հանգեցրեց գերմանական հեղափոխությունը.")</f>
        <v>ինչի՞ հանգեցրեց գերմանական հեղափոխությունը.</v>
      </c>
      <c r="D29" s="3" t="str">
        <f>IFERROR(__xludf.DUMMYFUNCTION("GOOGLETRANSLATE(B29,""en"",""hy"")"),"Գերմանական հեղափոխությունը հանգեցրեց Կայզեր Վիլհելմ II-ի գահից հրաժարվելուն և գերմանական միապետության ավարտին։ Այն նաև հանգեցրեց Վայմարի Հանրապետության՝ որպես ժողովրդավարական կառավարության ստեղծմանը Գերմանիայում:")</f>
        <v>Գերմանական հեղափոխությունը հանգեցրեց Կայզեր Վիլհելմ II-ի գահից հրաժարվելուն և գերմանական միապետության ավարտին։ Այն նաև հանգեցրեց Վայմարի Հանրապետության՝ որպես ժողովրդավարական կառավարության ստեղծմանը Գերմանիայում:</v>
      </c>
    </row>
    <row r="30">
      <c r="A30" s="1" t="s">
        <v>60</v>
      </c>
      <c r="B30" s="2" t="s">
        <v>61</v>
      </c>
      <c r="C30" s="3" t="str">
        <f>IFERROR(__xludf.DUMMYFUNCTION("GOOGLETRANSLATE(A30,""en"",""hy"")"),"Որքա՞ն է ավելացել Ադրիանա Լիման հղիության ընթացքում:")</f>
        <v>Որքա՞ն է ավելացել Ադրիանա Լիման հղիության ընթացքում:</v>
      </c>
      <c r="D30" s="3" t="str">
        <f>IFERROR(__xludf.DUMMYFUNCTION("GOOGLETRANSLATE(B30,""en"",""hy"")"),"Ցավում եմ, բայց ես մուտք չունեմ անհատների մասին անձնական տեղեկություններ, քանի դեռ դրանք չեն կիսվել ինձ հետ մեր զրույցի ընթացքում:")</f>
        <v>Ցավում եմ, բայց ես մուտք չունեմ անհատների մասին անձնական տեղեկություններ, քանի դեռ դրանք չեն կիսվել ինձ հետ մեր զրույցի ընթացքում:</v>
      </c>
    </row>
    <row r="31">
      <c r="A31" s="1" t="s">
        <v>62</v>
      </c>
      <c r="B31" s="2" t="s">
        <v>63</v>
      </c>
      <c r="C31" s="3" t="str">
        <f>IFERROR(__xludf.DUMMYFUNCTION("GOOGLETRANSLATE(A31,""en"",""hy"")"),"ինչ է նշանակում thai")</f>
        <v>ինչ է նշանակում thai</v>
      </c>
      <c r="D31" s="3" t="str">
        <f>IFERROR(__xludf.DUMMYFUNCTION("GOOGLETRANSLATE(B31,""en"",""hy"")"),"Թայերենը վերաբերում է Թաիլանդի ժողովրդին, լեզվին և մշակույթին:")</f>
        <v>Թայերենը վերաբերում է Թաիլանդի ժողովրդին, լեզվին և մշակույթին:</v>
      </c>
    </row>
    <row r="32">
      <c r="A32" s="1" t="s">
        <v>64</v>
      </c>
      <c r="B32" s="2" t="s">
        <v>65</v>
      </c>
      <c r="C32" s="3" t="str">
        <f>IFERROR(__xludf.DUMMYFUNCTION("GOOGLETRANSLATE(A32,""en"",""hy"")"),"Ո՞ր կնոջն է գլխատել Հենրի թագավորը:")</f>
        <v>Ո՞ր կնոջն է գլխատել Հենրի թագավորը:</v>
      </c>
      <c r="D32" s="3" t="str">
        <f>IFERROR(__xludf.DUMMYFUNCTION("GOOGLETRANSLATE(B32,""en"",""hy"")"),"Անն Բոլեյն.")</f>
        <v>Անն Բոլեյն.</v>
      </c>
    </row>
    <row r="33">
      <c r="A33" s="1" t="s">
        <v>66</v>
      </c>
      <c r="B33" s="2" t="s">
        <v>67</v>
      </c>
      <c r="C33" s="3" t="str">
        <f>IFERROR(__xludf.DUMMYFUNCTION("GOOGLETRANSLATE(A33,""en"",""hy"")"),"ով էր Իսմայիլի մայրը")</f>
        <v>ով էր Իսմայիլի մայրը</v>
      </c>
      <c r="D33" s="3" t="str">
        <f>IFERROR(__xludf.DUMMYFUNCTION("GOOGLETRANSLATE(B33,""en"",""hy"")"),"Իսմայելի մայրը Հագարն էր։")</f>
        <v>Իսմայելի մայրը Հագարն էր։</v>
      </c>
    </row>
    <row r="34">
      <c r="A34" s="1" t="s">
        <v>68</v>
      </c>
      <c r="B34" s="2" t="s">
        <v>69</v>
      </c>
      <c r="C34" s="3" t="str">
        <f>IFERROR(__xludf.DUMMYFUNCTION("GOOGLETRANSLATE(A34,""en"",""hy"")"),"ի՞նչ էր փորձում հասնել Մալքոլմ x-ը:")</f>
        <v>ի՞նչ էր փորձում հասնել Մալքոլմ x-ը:</v>
      </c>
      <c r="D34" s="3" t="str">
        <f>IFERROR(__xludf.DUMMYFUNCTION("GOOGLETRANSLATE(B34,""en"",""hy"")"),"Մալքոլմ X-ը փորձում էր հասնել աֆրոամերիկացիների հզորացման, պայքարել ռասայական խտրականության դեմ և ձեռք բերել աֆրոամերիկացիների քաղաքացիական իրավունքներ և հավասարություն:")</f>
        <v>Մալքոլմ X-ը փորձում էր հասնել աֆրոամերիկացիների հզորացման, պայքարել ռասայական խտրականության դեմ և ձեռք բերել աֆրոամերիկացիների քաղաքացիական իրավունքներ և հավասարություն:</v>
      </c>
    </row>
    <row r="35">
      <c r="A35" s="1" t="s">
        <v>70</v>
      </c>
      <c r="B35" s="2" t="s">
        <v>71</v>
      </c>
      <c r="C35" s="3" t="str">
        <f>IFERROR(__xludf.DUMMYFUNCTION("GOOGLETRANSLATE(A35,""en"",""hy"")"),"որտեղ են Նիդեռլանդները աշխարհի քարտեզի վրա:")</f>
        <v>որտեղ են Նիդեռլանդները աշխարհի քարտեզի վրա:</v>
      </c>
      <c r="D35" s="3" t="str">
        <f>IFERROR(__xludf.DUMMYFUNCTION("GOOGLETRANSLATE(B35,""en"",""hy"")"),"Նիդեռլանդները գտնվում է Հյուսիսարևմտյան Եվրոպայում։")</f>
        <v>Նիդեռլանդները գտնվում է Հյուսիսարևմտյան Եվրոպայում։</v>
      </c>
    </row>
    <row r="36">
      <c r="A36" s="1" t="s">
        <v>72</v>
      </c>
      <c r="B36" s="2" t="s">
        <v>73</v>
      </c>
      <c r="C36" s="3" t="str">
        <f>IFERROR(__xludf.DUMMYFUNCTION("GOOGLETRANSLATE(A36,""en"",""hy"")"),"ինչ է Բրազիլիայի նախագահը.")</f>
        <v>ինչ է Բրազիլիայի նախագահը.</v>
      </c>
      <c r="D36" s="3" t="str">
        <f>IFERROR(__xludf.DUMMYFUNCTION("GOOGLETRANSLATE(B36,""en"",""hy"")"),"Բրազիլիայի ներկայիս նախագահը Ժաիր Բոլսոնարոն է։")</f>
        <v>Բրազիլիայի ներկայիս նախագահը Ժաիր Բոլսոնարոն է։</v>
      </c>
    </row>
    <row r="37">
      <c r="A37" s="1" t="s">
        <v>74</v>
      </c>
      <c r="B37" s="2" t="s">
        <v>75</v>
      </c>
      <c r="C37" s="3" t="str">
        <f>IFERROR(__xludf.DUMMYFUNCTION("GOOGLETRANSLATE(A37,""en"",""hy"")"),"որո՞նք են Ֆրանսիայի խոշոր քաղաքները:")</f>
        <v>որո՞նք են Ֆրանսիայի խոշոր քաղաքները:</v>
      </c>
      <c r="D37" s="3" t="str">
        <f>IFERROR(__xludf.DUMMYFUNCTION("GOOGLETRANSLATE(B37,""en"",""hy"")"),"Ֆրանսիայի խոշոր քաղաքներն են Փարիզը, Մարսելը, Լիոնը, Թուլուզը և Նիցան։")</f>
        <v>Ֆրանսիայի խոշոր քաղաքներն են Փարիզը, Մարսելը, Լիոնը, Թուլուզը և Նիցան։</v>
      </c>
    </row>
    <row r="38">
      <c r="A38" s="1" t="s">
        <v>76</v>
      </c>
      <c r="B38" s="2" t="s">
        <v>77</v>
      </c>
      <c r="C38" s="3" t="str">
        <f>IFERROR(__xludf.DUMMYFUNCTION("GOOGLETRANSLATE(A38,""en"",""hy"")"),"Ո՞ր քաղաքում էր ապրում Եսթերը։")</f>
        <v>Ո՞ր քաղաքում էր ապրում Եսթերը։</v>
      </c>
      <c r="D38" s="3" t="str">
        <f>IFERROR(__xludf.DUMMYFUNCTION("GOOGLETRANSLATE(B38,""en"",""hy"")"),"Կներեք, ես մուտք չունեմ անձնական տվյալներին:")</f>
        <v>Կներեք, ես մուտք չունեմ անձնական տվյալներին:</v>
      </c>
    </row>
    <row r="39">
      <c r="A39" s="1" t="s">
        <v>78</v>
      </c>
      <c r="B39" s="2" t="s">
        <v>79</v>
      </c>
      <c r="C39" s="3" t="str">
        <f>IFERROR(__xludf.DUMMYFUNCTION("GOOGLETRANSLATE(A39,""en"",""hy"")"),"Ի՞նչ սպորտով են խաղում տորոնտոյի թխկի տերևները:")</f>
        <v>Ի՞նչ սպորտով են խաղում տորոնտոյի թխկի տերևները:</v>
      </c>
      <c r="D39" s="3" t="str">
        <f>IFERROR(__xludf.DUMMYFUNCTION("GOOGLETRANSLATE(B39,""en"",""hy"")"),"Հոկեյ.")</f>
        <v>Հոկեյ.</v>
      </c>
    </row>
    <row r="40">
      <c r="A40" s="1" t="s">
        <v>80</v>
      </c>
      <c r="B40" s="2" t="s">
        <v>81</v>
      </c>
      <c r="C40" s="3" t="str">
        <f>IFERROR(__xludf.DUMMYFUNCTION("GOOGLETRANSLATE(A40,""en"",""hy"")"),"ինչով է հայտնի սուրբ Նիկոլասը.")</f>
        <v>ինչով է հայտնի սուրբ Նիկոլասը.</v>
      </c>
      <c r="D40" s="3" t="str">
        <f>IFERROR(__xludf.DUMMYFUNCTION("GOOGLETRANSLATE(B40,""en"",""hy"")"),"Սուրբ Նիկոլասը հայտնի է որպես երեխաների, նավաստիների և նվերների հովանավոր սուրբ:")</f>
        <v>Սուրբ Նիկոլասը հայտնի է որպես երեխաների, նավաստիների և նվերների հովանավոր սուրբ:</v>
      </c>
    </row>
    <row r="41">
      <c r="A41" s="1" t="s">
        <v>82</v>
      </c>
      <c r="B41" s="2" t="s">
        <v>83</v>
      </c>
      <c r="C41" s="3" t="str">
        <f>IFERROR(__xludf.DUMMYFUNCTION("GOOGLETRANSLATE(A41,""en"",""hy"")"),"ե՞րբ է սկսվում էսսեքս-ի միակ ճանապարհի նոր սերիան։")</f>
        <v>ե՞րբ է սկսվում էսսեքս-ի միակ ճանապարհի նոր սերիան։</v>
      </c>
      <c r="D41" s="3" t="str">
        <f>IFERROR(__xludf.DUMMYFUNCTION("GOOGLETRANSLATE(B41,""en"",""hy"")"),"Ցավում եմ, ես տեղեկություն չունեմ The Only Way Is Essex-ի նոր սերիայի թողարկման ամսաթվի մասին։")</f>
        <v>Ցավում եմ, ես տեղեկություն չունեմ The Only Way Is Essex-ի նոր սերիայի թողարկման ամսաթվի մասին։</v>
      </c>
    </row>
    <row r="42">
      <c r="A42" s="1" t="s">
        <v>84</v>
      </c>
      <c r="B42" s="2" t="s">
        <v>85</v>
      </c>
      <c r="C42" s="3" t="str">
        <f>IFERROR(__xludf.DUMMYFUNCTION("GOOGLETRANSLATE(A42,""en"",""hy"")"),"ինչ է Շերի որդու անունը")</f>
        <v>ինչ է Շերի որդու անունը</v>
      </c>
      <c r="D42" s="3" t="str">
        <f>IFERROR(__xludf.DUMMYFUNCTION("GOOGLETRANSLATE(B42,""en"",""hy"")"),"Շերի որդու անունը Չազ Բոնո է։")</f>
        <v>Շերի որդու անունը Չազ Բոնո է։</v>
      </c>
    </row>
    <row r="43">
      <c r="A43" s="1" t="s">
        <v>86</v>
      </c>
      <c r="B43" s="2" t="s">
        <v>87</v>
      </c>
      <c r="C43" s="3" t="str">
        <f>IFERROR(__xludf.DUMMYFUNCTION("GOOGLETRANSLATE(A43,""en"",""hy"")"),"ինչ է անում հիմա Մարտին Կուպերը")</f>
        <v>ինչ է անում հիմա Մարտին Կուպերը</v>
      </c>
      <c r="D43" s="3" t="str">
        <f>IFERROR(__xludf.DUMMYFUNCTION("GOOGLETRANSLATE(B43,""en"",""hy"")"),"Ցավում եմ, բայց ես տեղեկություն չունեմ Մարտին Կուպերի ներկայիս գործունեության մասին։")</f>
        <v>Ցավում եմ, բայց ես տեղեկություն չունեմ Մարտին Կուպերի ներկայիս գործունեության մասին։</v>
      </c>
    </row>
    <row r="44">
      <c r="A44" s="1" t="s">
        <v>88</v>
      </c>
      <c r="B44" s="2" t="s">
        <v>89</v>
      </c>
      <c r="C44" s="3" t="str">
        <f>IFERROR(__xludf.DUMMYFUNCTION("GOOGLETRANSLATE(A44,""en"",""hy"")"),"Ո՞ր կուսակցությունն էր Էնդրյու Ջեքսոնը:")</f>
        <v>Ո՞ր կուսակցությունն էր Էնդրյու Ջեքսոնը:</v>
      </c>
      <c r="D44" s="3" t="str">
        <f>IFERROR(__xludf.DUMMYFUNCTION("GOOGLETRANSLATE(B44,""en"",""hy"")"),"Էնդրյու Ջեքսոնը Դեմոկրատական ​​կուսակցության անդամ էր։")</f>
        <v>Էնդրյու Ջեքսոնը Դեմոկրատական ​​կուսակցության անդամ էր։</v>
      </c>
    </row>
    <row r="45">
      <c r="A45" s="1" t="s">
        <v>90</v>
      </c>
      <c r="B45" s="2" t="s">
        <v>91</v>
      </c>
      <c r="C45" s="3" t="str">
        <f>IFERROR(__xludf.DUMMYFUNCTION("GOOGLETRANSLATE(A45,""en"",""hy"")"),"ինչ է Medicare-ը:")</f>
        <v>ինչ է Medicare-ը:</v>
      </c>
      <c r="D45" s="3" t="str">
        <f>IFERROR(__xludf.DUMMYFUNCTION("GOOGLETRANSLATE(B45,""en"",""hy"")"),"Medicare Մաս Ա-ն Medicare ծրագրի այն մասն է, որը ծածկում է հիվանդանոցային ապահովագրությունը:")</f>
        <v>Medicare Մաս Ա-ն Medicare ծրագրի այն մասն է, որը ծածկում է հիվանդանոցային ապահովագրությունը:</v>
      </c>
    </row>
    <row r="46">
      <c r="A46" s="1" t="s">
        <v>92</v>
      </c>
      <c r="B46" s="2" t="s">
        <v>93</v>
      </c>
      <c r="C46" s="3" t="str">
        <f>IFERROR(__xludf.DUMMYFUNCTION("GOOGLETRANSLATE(A46,""en"",""hy"")"),"Ո՞ր շրջանում է գտնվում Հեմփթոն Վա քաղաքը:")</f>
        <v>Ո՞ր շրջանում է գտնվում Հեմփթոն Վա քաղաքը:</v>
      </c>
      <c r="D46" s="3" t="str">
        <f>IFERROR(__xludf.DUMMYFUNCTION("GOOGLETRANSLATE(B46,""en"",""hy"")"),"Hampton, VA գտնվում է Միացյալ Նահանգներում և գտնվում է Hampton County-ում։")</f>
        <v>Hampton, VA գտնվում է Միացյալ Նահանգներում և գտնվում է Hampton County-ում։</v>
      </c>
    </row>
    <row r="47">
      <c r="A47" s="1" t="s">
        <v>94</v>
      </c>
      <c r="B47" s="2" t="s">
        <v>95</v>
      </c>
      <c r="C47" s="3" t="str">
        <f>IFERROR(__xludf.DUMMYFUNCTION("GOOGLETRANSLATE(A47,""en"",""hy"")"),"ինչպե՞ս է կոչվում Հարրի Փոթերի առաջին վեպի անունը:")</f>
        <v>ինչպե՞ս է կոչվում Հարրի Փոթերի առաջին վեպի անունը:</v>
      </c>
      <c r="D47" s="3" t="str">
        <f>IFERROR(__xludf.DUMMYFUNCTION("GOOGLETRANSLATE(B47,""en"",""hy"")"),"Հարրի Փոթերի առաջին վեպի անվանումն է «Հարրի Փոթերը և փիլիսոփայական քարը» (որոշ շրջաններում կամ «Հարի Փոթերը և կախարդի քարը»)։")</f>
        <v>Հարրի Փոթերի առաջին վեպի անվանումն է «Հարրի Փոթերը և փիլիսոփայական քարը» (որոշ շրջաններում կամ «Հարի Փոթերը և կախարդի քարը»)։</v>
      </c>
    </row>
    <row r="48">
      <c r="A48" s="1" t="s">
        <v>96</v>
      </c>
      <c r="B48" s="2" t="s">
        <v>97</v>
      </c>
      <c r="C48" s="3" t="str">
        <f>IFERROR(__xludf.DUMMYFUNCTION("GOOGLETRANSLATE(A48,""en"",""hy"")"),"ինչո՞վ էր ապրում Ուիլյամ Շեքսպիրը:")</f>
        <v>ինչո՞վ էր ապրում Ուիլյամ Շեքսպիրը:</v>
      </c>
      <c r="D48" s="3" t="str">
        <f>IFERROR(__xludf.DUMMYFUNCTION("GOOGLETRANSLATE(B48,""en"",""hy"")"),"Ուիլյամ Շեքսպիրը դրամատուրգ և դերասան էր։")</f>
        <v>Ուիլյամ Շեքսպիրը դրամատուրգ և դերասան էր։</v>
      </c>
    </row>
    <row r="49">
      <c r="A49" s="1" t="s">
        <v>98</v>
      </c>
      <c r="B49" s="2" t="s">
        <v>99</v>
      </c>
      <c r="C49" s="3" t="str">
        <f>IFERROR(__xludf.DUMMYFUNCTION("GOOGLETRANSLATE(A49,""en"",""hy"")"),"Ո՞ր կոմսությունում է գտնվում Հիթրոու օդանավակայանը:")</f>
        <v>Ո՞ր կոմսությունում է գտնվում Հիթրոու օդանավակայանը:</v>
      </c>
      <c r="D49" s="3" t="str">
        <f>IFERROR(__xludf.DUMMYFUNCTION("GOOGLETRANSLATE(B49,""en"",""hy"")"),"Հիթրոու օդանավակայանը գտնվում է Լոնդոնում, Անգլիա:")</f>
        <v>Հիթրոու օդանավակայանը գտնվում է Լոնդոնում, Անգլիա:</v>
      </c>
    </row>
    <row r="50">
      <c r="A50" s="1" t="s">
        <v>100</v>
      </c>
      <c r="B50" s="2" t="s">
        <v>101</v>
      </c>
      <c r="C50" s="3" t="str">
        <f>IFERROR(__xludf.DUMMYFUNCTION("GOOGLETRANSLATE(A50,""en"",""hy"")"),"որտեղ է Դմիտրի Մենդելեևը սովորել գիտություն:")</f>
        <v>որտեղ է Դմիտրի Մենդելեևը սովորել գիտություն:</v>
      </c>
      <c r="D50" s="3" t="str">
        <f>IFERROR(__xludf.DUMMYFUNCTION("GOOGLETRANSLATE(B50,""en"",""hy"")"),"Դմիտրի Մենդելեևը գիտություն է սովորել Սանկտ Պետերբուրգի համալսարանում։")</f>
        <v>Դմիտրի Մենդելեևը գիտություն է սովորել Սանկտ Պետերբուրգի համալսարանում։</v>
      </c>
    </row>
    <row r="51">
      <c r="A51" s="1" t="s">
        <v>102</v>
      </c>
      <c r="B51" s="2" t="s">
        <v>103</v>
      </c>
      <c r="C51" s="3" t="str">
        <f>IFERROR(__xludf.DUMMYFUNCTION("GOOGLETRANSLATE(A51,""en"",""hy"")"),"ո՞ր ֆիլմում է Ջոշ Հաթչերսոնը")</f>
        <v>ո՞ր ֆիլմում է Ջոշ Հաթչերսոնը</v>
      </c>
      <c r="D51" s="3" t="str">
        <f>IFERROR(__xludf.DUMMYFUNCTION("GOOGLETRANSLATE(B51,""en"",""hy"")"),"Ջոշ Հաթչերսոնը «Քաղցած խաղեր» ֆիլմաշարում է։")</f>
        <v>Ջոշ Հաթչերսոնը «Քաղցած խաղեր» ֆիլմաշարում է։</v>
      </c>
    </row>
    <row r="52">
      <c r="A52" s="1" t="s">
        <v>104</v>
      </c>
      <c r="B52" s="2" t="s">
        <v>105</v>
      </c>
      <c r="C52" s="3" t="str">
        <f>IFERROR(__xludf.DUMMYFUNCTION("GOOGLETRANSLATE(A52,""en"",""hy"")"),"ինչ կարելի է անել laredo tx-ում:")</f>
        <v>ինչ կարելի է անել laredo tx-ում:</v>
      </c>
      <c r="D52" s="3" t="str">
        <f>IFERROR(__xludf.DUMMYFUNCTION("GOOGLETRANSLATE(B52,""en"",""hy"")"),"Լարեդոյում, Տեխաս նահանգի Լարեդոյում կան մի քանի անելիքներ, այդ թվում՝ այցելել պատմական վայրեր, ինչպիսիք են Ռիո Գրանդեի թանգարանի Հանրապետությունը, ուսումնասիրել Casa Blanca լճի միջազգային պետական ​​զբոսայգում դրսում և վայելել գնումներ և ճաշել Լարեդոյի Ou"&amp;"tlet Shoppes-ում:")</f>
        <v>Լարեդոյում, Տեխաս նահանգի Լարեդոյում կան մի քանի անելիքներ, այդ թվում՝ այցելել պատմական վայրեր, ինչպիսիք են Ռիո Գրանդեի թանգարանի Հանրապետությունը, ուսումնասիրել Casa Blanca լճի միջազգային պետական ​​զբոսայգում դրսում և վայելել գնումներ և ճաշել Լարեդոյի Outlet Shoppes-ում:</v>
      </c>
    </row>
    <row r="53">
      <c r="A53" s="1" t="s">
        <v>106</v>
      </c>
      <c r="B53" s="2" t="s">
        <v>107</v>
      </c>
      <c r="C53" s="3" t="str">
        <f>IFERROR(__xludf.DUMMYFUNCTION("GOOGLETRANSLATE(A53,""en"",""hy"")"),"Ո՞ր սեզոնին է նկարահանվել Թոնի սոպրանոն:")</f>
        <v>Ո՞ր սեզոնին է նկարահանվել Թոնի սոպրանոն:</v>
      </c>
      <c r="D53" s="3" t="str">
        <f>IFERROR(__xludf.DUMMYFUNCTION("GOOGLETRANSLATE(B53,""en"",""hy"")"),"Թոնի Սոպրանոն նկարահանվել է վեցերորդ սեզոնում։")</f>
        <v>Թոնի Սոպրանոն նկարահանվել է վեցերորդ սեզոնում։</v>
      </c>
    </row>
    <row r="54">
      <c r="A54" s="1" t="s">
        <v>108</v>
      </c>
      <c r="B54" s="2" t="s">
        <v>109</v>
      </c>
      <c r="C54" s="3" t="str">
        <f>IFERROR(__xludf.DUMMYFUNCTION("GOOGLETRANSLATE(A54,""en"",""hy"")"),"որտեղ են Սան Ֆրանցիսկոյի հսկաները տնային խաղեր խաղում:")</f>
        <v>որտեղ են Սան Ֆրանցիսկոյի հսկաները տնային խաղեր խաղում:</v>
      </c>
      <c r="D54" s="3" t="str">
        <f>IFERROR(__xludf.DUMMYFUNCTION("GOOGLETRANSLATE(B54,""en"",""hy"")"),"San Francisco Giants-ը տնային խաղերն անցկացնում է Oracle Park-ում:")</f>
        <v>San Francisco Giants-ը տնային խաղերն անցկացնում է Oracle Park-ում:</v>
      </c>
    </row>
    <row r="55">
      <c r="A55" s="1" t="s">
        <v>110</v>
      </c>
      <c r="B55" s="2" t="s">
        <v>111</v>
      </c>
      <c r="C55" s="3" t="str">
        <f>IFERROR(__xludf.DUMMYFUNCTION("GOOGLETRANSLATE(A55,""en"",""hy"")"),"Ո՞ր տարում է Վիլյամ Ջենինգս Բրայանը առաջադրվել նախագահի պաշտոնում")</f>
        <v>Ո՞ր տարում է Վիլյամ Ջենինգս Բրայանը առաջադրվել նախագահի պաշտոնում</v>
      </c>
      <c r="D55" s="3" t="str">
        <f>IFERROR(__xludf.DUMMYFUNCTION("GOOGLETRANSLATE(B55,""en"",""hy"")"),"Ուիլյամ Ջենինգս Բրայանը առաջադրվել է նախագահի պաշտոնում 1896, 1900 և 1908 թվականներին:")</f>
        <v>Ուիլյամ Ջենինգս Բրայանը առաջադրվել է նախագահի պաշտոնում 1896, 1900 և 1908 թվականներին:</v>
      </c>
    </row>
    <row r="56">
      <c r="A56" s="1" t="s">
        <v>112</v>
      </c>
      <c r="B56" s="2" t="s">
        <v>113</v>
      </c>
      <c r="C56" s="3" t="str">
        <f>IFERROR(__xludf.DUMMYFUNCTION("GOOGLETRANSLATE(A56,""en"",""hy"")"),"ինչ էր Ֆրեդերիկ Դուգլասի գրքի անունը:")</f>
        <v>ինչ էր Ֆրեդերիկ Դուգլասի գրքի անունը:</v>
      </c>
      <c r="D56" s="3" t="str">
        <f>IFERROR(__xludf.DUMMYFUNCTION("GOOGLETRANSLATE(B56,""en"",""hy"")"),"Ֆրեդերիկ Դուգլասի գրքի անվանումն է՝ «Ամերիկացի ստրուկ Ֆրեդերիկ Դուգլասի կյանքի պատմությունը»։")</f>
        <v>Ֆրեդերիկ Դուգլասի գրքի անվանումն է՝ «Ամերիկացի ստրուկ Ֆրեդերիկ Դուգլասի կյանքի պատմությունը»։</v>
      </c>
    </row>
    <row r="57">
      <c r="A57" s="1" t="s">
        <v>114</v>
      </c>
      <c r="B57" s="2" t="s">
        <v>115</v>
      </c>
      <c r="C57" s="3" t="str">
        <f>IFERROR(__xludf.DUMMYFUNCTION("GOOGLETRANSLATE(A57,""en"",""hy"")"),"Ո՞վ էին կոչվում թագուհի Վիկտորիայի ծնողները:")</f>
        <v>Ո՞վ էին կոչվում թագուհի Վիկտորիայի ծնողները:</v>
      </c>
      <c r="D57" s="3" t="str">
        <f>IFERROR(__xludf.DUMMYFUNCTION("GOOGLETRANSLATE(B57,""en"",""hy"")"),"Վիկտորիա թագուհու ծնողներն էին արքայազն Էդվարդը՝ Քենթի դուքսը և Սաքս-Կոբուրգ-Զալֆելդի արքայադուստր Վիկտորիան։")</f>
        <v>Վիկտորիա թագուհու ծնողներն էին արքայազն Էդվարդը՝ Քենթի դուքսը և Սաքս-Կոբուրգ-Զալֆելդի արքայադուստր Վիկտորիան։</v>
      </c>
    </row>
    <row r="58">
      <c r="A58" s="1" t="s">
        <v>116</v>
      </c>
      <c r="B58" s="2" t="s">
        <v>117</v>
      </c>
      <c r="C58" s="3" t="str">
        <f>IFERROR(__xludf.DUMMYFUNCTION("GOOGLETRANSLATE(A58,""en"",""hy"")"),"Ո՞ր ֆիլմերի համար է Սալլի Ֆիլդը արժանացել «Օսկար»-ի:")</f>
        <v>Ո՞ր ֆիլմերի համար է Սալլի Ֆիլդը արժանացել «Օսկար»-ի:</v>
      </c>
      <c r="D58" s="3" t="str">
        <f>IFERROR(__xludf.DUMMYFUNCTION("GOOGLETRANSLATE(B58,""en"",""hy"")"),"Սալի Ֆիլդը «Օսկար» է ստացել «Նորմա Ռեյ» և «Տեղեր սրտում» ֆիլմերի համար։")</f>
        <v>Սալի Ֆիլդը «Օսկար» է ստացել «Նորմա Ռեյ» և «Տեղեր սրտում» ֆիլմերի համար։</v>
      </c>
    </row>
    <row r="59">
      <c r="A59" s="1" t="s">
        <v>118</v>
      </c>
      <c r="B59" s="2" t="s">
        <v>119</v>
      </c>
      <c r="C59" s="3" t="str">
        <f>IFERROR(__xludf.DUMMYFUNCTION("GOOGLETRANSLATE(A59,""en"",""hy"")"),"Ո՞ր գրքում է հայտնվել Շերլոք Հոլմսի առաջին գիրքը:")</f>
        <v>Ո՞ր գրքում է հայտնվել Շերլոք Հոլմսի առաջին գիրքը:</v>
      </c>
      <c r="D59" s="3" t="str">
        <f>IFERROR(__xludf.DUMMYFUNCTION("GOOGLETRANSLATE(B59,""en"",""hy"")"),"Առաջին գիրքը, որում հայտնվել է Շերլոկ Հոլմսը, «A Study in Scarlet»-ն է։")</f>
        <v>Առաջին գիրքը, որում հայտնվել է Շերլոկ Հոլմսը, «A Study in Scarlet»-ն է։</v>
      </c>
    </row>
    <row r="60">
      <c r="A60" s="1" t="s">
        <v>120</v>
      </c>
      <c r="B60" s="2" t="s">
        <v>121</v>
      </c>
      <c r="C60" s="3" t="str">
        <f>IFERROR(__xludf.DUMMYFUNCTION("GOOGLETRANSLATE(A60,""en"",""hy"")"),"ինչ տեսակի մեքենա է վարում Մայքլ Ուեսթոնը:")</f>
        <v>ինչ տեսակի մեքենա է վարում Մայքլ Ուեսթոնը:</v>
      </c>
      <c r="D60" s="3" t="str">
        <f>IFERROR(__xludf.DUMMYFUNCTION("GOOGLETRANSLATE(B60,""en"",""hy"")"),"Մայքլ Ուեսթոնը վարում է Dodge Charger:")</f>
        <v>Մայքլ Ուեսթոնը վարում է Dodge Charger:</v>
      </c>
    </row>
    <row r="61">
      <c r="A61" s="1" t="s">
        <v>122</v>
      </c>
      <c r="B61" s="2" t="s">
        <v>123</v>
      </c>
      <c r="C61" s="3" t="str">
        <f>IFERROR(__xludf.DUMMYFUNCTION("GOOGLETRANSLATE(A61,""en"",""hy"")"),"որտեղ է սկսվում և ավարտվում Լենա գետը:")</f>
        <v>որտեղ է սկսվում և ավարտվում Լենա գետը:</v>
      </c>
      <c r="D61" s="3" t="str">
        <f>IFERROR(__xludf.DUMMYFUNCTION("GOOGLETRANSLATE(B61,""en"",""hy"")"),"Լենա գետը սկիզբ է առնում Բայկալ լեռներից և ավարտվում Լապտև ծովում։")</f>
        <v>Լենա գետը սկիզբ է առնում Բայկալ լեռներից և ավարտվում Լապտև ծովում։</v>
      </c>
    </row>
    <row r="62">
      <c r="A62" s="1" t="s">
        <v>124</v>
      </c>
      <c r="B62" s="2" t="s">
        <v>125</v>
      </c>
      <c r="C62" s="3" t="str">
        <f>IFERROR(__xludf.DUMMYFUNCTION("GOOGLETRANSLATE(A62,""en"",""hy"")"),"ո՞ր երկրներում են մարդիկ խոսում պորտուգալերեն:")</f>
        <v>ո՞ր երկրներում են մարդիկ խոսում պորտուգալերեն:</v>
      </c>
      <c r="D62" s="3" t="str">
        <f>IFERROR(__xludf.DUMMYFUNCTION("GOOGLETRANSLATE(B62,""en"",""hy"")"),"Բրազիլիա, Պորտուգալիա, Անգոլա, Մոզամբիկ, Գվինեա-Բիսաու, Արևելյան Թիմոր, Հասարակածային Գվինեա, Կաբո Վերդե և Սան Տոմե և Պրինսիպ:")</f>
        <v>Բրազիլիա, Պորտուգալիա, Անգոլա, Մոզամբիկ, Գվինեա-Բիսաու, Արևելյան Թիմոր, Հասարակածային Գվինեա, Կաբո Վերդե և Սան Տոմե և Պրինսիպ:</v>
      </c>
    </row>
    <row r="63">
      <c r="A63" s="1" t="s">
        <v>126</v>
      </c>
      <c r="B63" s="2" t="s">
        <v>127</v>
      </c>
      <c r="C63" s="3" t="str">
        <f>IFERROR(__xludf.DUMMYFUNCTION("GOOGLETRANSLATE(A63,""en"",""hy"")"),"որտեղ եվրո փոխանակել Պիտսբուրգում:")</f>
        <v>որտեղ եվրո փոխանակել Պիտսբուրգում:</v>
      </c>
      <c r="D63" s="3" t="str">
        <f>IFERROR(__xludf.DUMMYFUNCTION("GOOGLETRANSLATE(B63,""en"",""hy"")"),"Դուք կարող եք եվրո փոխանակել Պիտսբուրգում բանկերում, տարադրամի փոխանակման կետերում կամ որոշ խոշոր հյուրանոցներում:")</f>
        <v>Դուք կարող եք եվրո փոխանակել Պիտսբուրգում բանկերում, տարադրամի փոխանակման կետերում կամ որոշ խոշոր հյուրանոցներում:</v>
      </c>
    </row>
    <row r="64">
      <c r="A64" s="1" t="s">
        <v>128</v>
      </c>
      <c r="B64" s="2" t="s">
        <v>129</v>
      </c>
      <c r="C64" s="3" t="str">
        <f>IFERROR(__xludf.DUMMYFUNCTION("GOOGLETRANSLATE(A64,""en"",""hy"")"),"ինչ են Ուոլթ Դիսնեյի երեխաների անունները:")</f>
        <v>ինչ են Ուոլթ Դիսնեյի երեխաների անունները:</v>
      </c>
      <c r="D64" s="3" t="str">
        <f>IFERROR(__xludf.DUMMYFUNCTION("GOOGLETRANSLATE(B64,""en"",""hy"")"),"Ուոլթ Դիսնեյն ուներ երկու դուստր՝ Դայան Մարի Դիսնեյը և Շերոն Մեյ Դիսնեյը։")</f>
        <v>Ուոլթ Դիսնեյն ուներ երկու դուստր՝ Դայան Մարի Դիսնեյը և Շերոն Մեյ Դիսնեյը։</v>
      </c>
    </row>
    <row r="65">
      <c r="A65" s="1" t="s">
        <v>130</v>
      </c>
      <c r="B65" s="2" t="s">
        <v>131</v>
      </c>
      <c r="C65" s="3" t="str">
        <f>IFERROR(__xludf.DUMMYFUNCTION("GOOGLETRANSLATE(A65,""en"",""hy"")"),"ով է խմբի բուշում:")</f>
        <v>ով է խմբի բուշում:</v>
      </c>
      <c r="D65" s="3" t="str">
        <f>IFERROR(__xludf.DUMMYFUNCTION("GOOGLETRANSLATE(B65,""en"",""hy"")"),"Բուշ խմբի անդամներն են Գևին Ռոսդեյլը, Ռոբին Գուդրիջը, Քրիս Թրեյնորը և Քորի Բրիցը։")</f>
        <v>Բուշ խմբի անդամներն են Գևին Ռոսդեյլը, Ռոբին Գուդրիջը, Քրիս Թրեյնորը և Քորի Բրիցը։</v>
      </c>
    </row>
    <row r="66">
      <c r="A66" s="1" t="s">
        <v>132</v>
      </c>
      <c r="B66" s="2" t="s">
        <v>133</v>
      </c>
      <c r="C66" s="3" t="str">
        <f>IFERROR(__xludf.DUMMYFUNCTION("GOOGLETRANSLATE(A66,""en"",""hy"")"),"ինչ էր տուպակի անունը հյութի մեջ:")</f>
        <v>ինչ էր տուպակի անունը հյութի մեջ:</v>
      </c>
      <c r="D66" s="3" t="str">
        <f>IFERROR(__xludf.DUMMYFUNCTION("GOOGLETRANSLATE(B66,""en"",""hy"")"),"«Ջուս» ֆիլմում Թուփակի կերպարի անունը Բիշոփ էր։")</f>
        <v>«Ջուս» ֆիլմում Թուփակի կերպարի անունը Բիշոփ էր։</v>
      </c>
    </row>
    <row r="67">
      <c r="A67" s="1" t="s">
        <v>134</v>
      </c>
      <c r="B67" s="2" t="s">
        <v>135</v>
      </c>
      <c r="C67" s="3" t="str">
        <f>IFERROR(__xludf.DUMMYFUNCTION("GOOGLETRANSLATE(A67,""en"",""hy"")"),"ո՞ր ժամային գոտին է Ավստրալիան gmt:")</f>
        <v>ո՞ր ժամային գոտին է Ավստրալիան gmt:</v>
      </c>
      <c r="D67" s="3" t="str">
        <f>IFERROR(__xludf.DUMMYFUNCTION("GOOGLETRANSLATE(B67,""en"",""hy"")"),"Ավստրալիան ունի մի քանի ժամային գոտիներ, բայց ամենատարածվածը Ավստրալիայի արևելյան ստանդարտ ժամանակն է (AEST), որը GMT + 10 է: Ավստրալիայի մյուս ժամային գոտիները ներառում են Ավստրալիայի կենտրոնական ստանդարտ ժամանակը (ACST), որը GMT + 9.5 է, Ավստրալիայի արև"&amp;"մտյան ստանդարտ ժամանակ (AWST), որը GMT + 8 է, և Ավստրալիայի կենտրոնական ամառային ժամանակը (ACDT), որը GMT + 10.5 է:")</f>
        <v>Ավստրալիան ունի մի քանի ժամային գոտիներ, բայց ամենատարածվածը Ավստրալիայի արևելյան ստանդարտ ժամանակն է (AEST), որը GMT + 10 է: Ավստրալիայի մյուս ժամային գոտիները ներառում են Ավստրալիայի կենտրոնական ստանդարտ ժամանակը (ACST), որը GMT + 9.5 է, Ավստրալիայի արևմտյան ստանդարտ ժամանակ (AWST), որը GMT + 8 է, և Ավստրալիայի կենտրոնական ամառային ժամանակը (ACDT), որը GMT + 10.5 է:</v>
      </c>
    </row>
    <row r="68">
      <c r="A68" s="1" t="s">
        <v>136</v>
      </c>
      <c r="B68" s="2" t="s">
        <v>137</v>
      </c>
      <c r="C68" s="3" t="str">
        <f>IFERROR(__xludf.DUMMYFUNCTION("GOOGLETRANSLATE(A68,""en"",""hy"")"),"ում մեջ է խաղում Մեգի Գրեյսը վերցված?")</f>
        <v>ում մեջ է խաղում Մեգի Գրեյսը վերցված?</v>
      </c>
      <c r="D68" s="3" t="str">
        <f>IFERROR(__xludf.DUMMYFUNCTION("GOOGLETRANSLATE(B68,""en"",""hy"")"),"Մեգի Գրեյսը «Taken»-ում մարմնավորում է Քիմ Միլսի կերպարը:")</f>
        <v>Մեգի Գրեյսը «Taken»-ում մարմնավորում է Քիմ Միլսի կերպարը:</v>
      </c>
    </row>
    <row r="69">
      <c r="A69" s="1" t="s">
        <v>138</v>
      </c>
      <c r="B69" s="2" t="s">
        <v>139</v>
      </c>
      <c r="C69" s="3" t="str">
        <f>IFERROR(__xludf.DUMMYFUNCTION("GOOGLETRANSLATE(A69,""en"",""hy"")"),"ի՞նչ ոճի երաժշտություն է նվագել Լուիս Արմսթրոնգը:")</f>
        <v>ի՞նչ ոճի երաժշտություն է նվագել Լուիս Արմսթրոնգը:</v>
      </c>
      <c r="D69" s="3" t="str">
        <f>IFERROR(__xludf.DUMMYFUNCTION("GOOGLETRANSLATE(B69,""en"",""hy"")"),"Լուի Արմսթրոնգը նվագել է ջազ երաժշտություն։")</f>
        <v>Լուի Արմսթրոնգը նվագել է ջազ երաժշտություն։</v>
      </c>
    </row>
    <row r="70">
      <c r="A70" s="1" t="s">
        <v>140</v>
      </c>
      <c r="B70" s="2" t="s">
        <v>141</v>
      </c>
      <c r="C70" s="3" t="str">
        <f>IFERROR(__xludf.DUMMYFUNCTION("GOOGLETRANSLATE(A70,""en"",""hy"")"),"երբ է ամառը Ավստրալիայում Սիդնեյում:")</f>
        <v>երբ է ամառը Ավստրալիայում Սիդնեյում:</v>
      </c>
      <c r="D70" s="3" t="str">
        <f>IFERROR(__xludf.DUMMYFUNCTION("GOOGLETRANSLATE(B70,""en"",""hy"")"),"Ավստրալիայի Սիդնեյում ամառը սկսվում է դեկտեմբերին և ավարտվում փետրվարին։")</f>
        <v>Ավստրալիայի Սիդնեյում ամառը սկսվում է դեկտեմբերին և ավարտվում փետրվարին։</v>
      </c>
    </row>
    <row r="71">
      <c r="A71" s="1" t="s">
        <v>142</v>
      </c>
      <c r="B71" s="2" t="s">
        <v>143</v>
      </c>
      <c r="C71" s="3" t="str">
        <f>IFERROR(__xludf.DUMMYFUNCTION("GOOGLETRANSLATE(A71,""en"",""hy"")"),"Ո՞ր հեռուստահաղորդմանն է խաղացել Ջոյ Լոուրենսը:")</f>
        <v>Ո՞ր հեռուստահաղորդմանն է խաղացել Ջոյ Լոուրենսը:</v>
      </c>
      <c r="D71" s="3" t="str">
        <f>IFERROR(__xludf.DUMMYFUNCTION("GOOGLETRANSLATE(B71,""en"",""hy"")"),"Ջոյ Լոուրենսը խաղացել է «Blossom» հեռուստաշոուում։")</f>
        <v>Ջոյ Լոուրենսը խաղացել է «Blossom» հեռուստաշոուում։</v>
      </c>
    </row>
    <row r="72">
      <c r="A72" s="1" t="s">
        <v>144</v>
      </c>
      <c r="B72" s="2" t="s">
        <v>145</v>
      </c>
      <c r="C72" s="3" t="str">
        <f>IFERROR(__xludf.DUMMYFUNCTION("GOOGLETRANSLATE(A72,""en"",""hy"")"),"որ ժամային գոտին է Denver co?")</f>
        <v>որ ժամային գոտին է Denver co?</v>
      </c>
      <c r="D72" s="3" t="str">
        <f>IFERROR(__xludf.DUMMYFUNCTION("GOOGLETRANSLATE(B72,""en"",""hy"")"),"Դենվեր, CO-ն գտնվում է լեռնային ժամանակային գոտում (MT):")</f>
        <v>Դենվեր, CO-ն գտնվում է լեռնային ժամանակային գոտում (MT):</v>
      </c>
    </row>
    <row r="73">
      <c r="A73" s="1" t="s">
        <v>146</v>
      </c>
      <c r="B73" s="2" t="s">
        <v>147</v>
      </c>
      <c r="C73" s="3" t="str">
        <f>IFERROR(__xludf.DUMMYFUNCTION("GOOGLETRANSLATE(A73,""en"",""hy"")"),"Ի՞նչ կերպար է խաղացել Բրայան Օսթին Գրինը 90210-ում:")</f>
        <v>Ի՞նչ կերպար է խաղացել Բրայան Օսթին Գրինը 90210-ում:</v>
      </c>
      <c r="D73" s="3" t="str">
        <f>IFERROR(__xludf.DUMMYFUNCTION("GOOGLETRANSLATE(B73,""en"",""hy"")"),"Բրայան Օսթին Գրինը խաղացել է Դեյվիդ Սիլվերի կերպարը 90210-ում։")</f>
        <v>Բրայան Օսթին Գրինը խաղացել է Դեյվիդ Սիլվերի կերպարը 90210-ում։</v>
      </c>
    </row>
    <row r="74">
      <c r="A74" s="1" t="s">
        <v>148</v>
      </c>
      <c r="B74" s="2" t="s">
        <v>149</v>
      </c>
      <c r="C74" s="3" t="str">
        <f>IFERROR(__xludf.DUMMYFUNCTION("GOOGLETRANSLATE(A74,""en"",""hy"")"),"որտեղ է ապրում Jackie French?")</f>
        <v>որտեղ է ապրում Jackie French?</v>
      </c>
      <c r="D74" s="3" t="str">
        <f>IFERROR(__xludf.DUMMYFUNCTION("GOOGLETRANSLATE(B74,""en"",""hy"")"),"Ջեքի Ֆրենչն ապրում է Ավստրալիայի Նոր Հարավային Ուելս քաղաքում:")</f>
        <v>Ջեքի Ֆրենչն ապրում է Ավստրալիայի Նոր Հարավային Ուելս քաղաքում:</v>
      </c>
    </row>
    <row r="75">
      <c r="A75" s="1" t="s">
        <v>150</v>
      </c>
      <c r="B75" s="2" t="s">
        <v>151</v>
      </c>
      <c r="C75" s="3" t="str">
        <f>IFERROR(__xludf.DUMMYFUNCTION("GOOGLETRANSLATE(A75,""en"",""hy"")"),"կառավարման ինչպիսի՞ ձև էր կիրառվում Սպարտայում:")</f>
        <v>կառավարման ինչպիսի՞ ձև էր կիրառվում Սպարտայում:</v>
      </c>
      <c r="D75" s="3" t="str">
        <f>IFERROR(__xludf.DUMMYFUNCTION("GOOGLETRANSLATE(B75,""en"",""hy"")"),"Սպարտայում կիրառվող կառավարման ձևը օլիգարխիա էր։")</f>
        <v>Սպարտայում կիրառվող կառավարման ձևը օլիգարխիա էր։</v>
      </c>
    </row>
    <row r="76">
      <c r="A76" s="1" t="s">
        <v>152</v>
      </c>
      <c r="B76" s="2" t="s">
        <v>153</v>
      </c>
      <c r="C76" s="3" t="str">
        <f>IFERROR(__xludf.DUMMYFUNCTION("GOOGLETRANSLATE(A76,""en"",""hy"")"),"ե՞րբ են կոլորադոյի ռոքիները գնացել համաշխարհային սերիա:")</f>
        <v>ե՞րբ են կոլորադոյի ռոքիները գնացել համաշխարհային սերիա:</v>
      </c>
      <c r="D76" s="3" t="str">
        <f>IFERROR(__xludf.DUMMYFUNCTION("GOOGLETRANSLATE(B76,""en"",""hy"")"),"Կոլորադո Ռոկիսը համաշխարհային սերիա է անցել 2007 թվականին:")</f>
        <v>Կոլորադո Ռոկիսը համաշխարհային սերիա է անցել 2007 թվականին:</v>
      </c>
    </row>
    <row r="77">
      <c r="A77" s="1" t="s">
        <v>154</v>
      </c>
      <c r="B77" s="2" t="s">
        <v>155</v>
      </c>
      <c r="C77" s="3" t="str">
        <f>IFERROR(__xludf.DUMMYFUNCTION("GOOGLETRANSLATE(A77,""en"",""hy"")"),"ով է եղել Փիթեր Փարքերի առաջին ընկերուհին")</f>
        <v>ով է եղել Փիթեր Փարքերի առաջին ընկերուհին</v>
      </c>
      <c r="D77" s="3" t="str">
        <f>IFERROR(__xludf.DUMMYFUNCTION("GOOGLETRANSLATE(B77,""en"",""hy"")"),"Մերի Ջեյն Ուոթսոն")</f>
        <v>Մերի Ջեյն Ուոթսոն</v>
      </c>
    </row>
    <row r="78">
      <c r="A78" s="1" t="s">
        <v>156</v>
      </c>
      <c r="B78" s="2" t="s">
        <v>157</v>
      </c>
      <c r="C78" s="3" t="str">
        <f>IFERROR(__xludf.DUMMYFUNCTION("GOOGLETRANSLATE(A78,""en"",""hy"")"),"ո՞ր քոլեջն է հաճախել Մեթ Լաուերը:")</f>
        <v>ո՞ր քոլեջն է հաճախել Մեթ Լաուերը:</v>
      </c>
      <c r="D78" s="3" t="str">
        <f>IFERROR(__xludf.DUMMYFUNCTION("GOOGLETRANSLATE(B78,""en"",""hy"")"),"Մեթ Լաուերը հաճախել է Օհայոյի համալսարան:")</f>
        <v>Մեթ Լաուերը հաճախել է Օհայոյի համալսարան:</v>
      </c>
    </row>
    <row r="79">
      <c r="A79" s="1" t="s">
        <v>158</v>
      </c>
      <c r="B79" s="2" t="s">
        <v>159</v>
      </c>
      <c r="C79" s="3" t="str">
        <f>IFERROR(__xludf.DUMMYFUNCTION("GOOGLETRANSLATE(A79,""en"",""hy"")"),"որտե՞ղ գնալ Լոնդոն Անգլիա:")</f>
        <v>որտե՞ղ գնալ Լոնդոն Անգլիա:</v>
      </c>
      <c r="D79" s="3" t="str">
        <f>IFERROR(__xludf.DUMMYFUNCTION("GOOGLETRANSLATE(B79,""en"",""hy"")"),"Անգլիայի Լոնդոնում կան բազմաթիվ հայտնի տեսարժան վայրեր: Պարտադիր տեսարժան վայրերից են Բուքինգհեմյան պալատը, Լոնդոնի աշտարակը, Բրիտանական թանգարանը, Լոնդոնի Աչքը և Հայդ Պարկը:")</f>
        <v>Անգլիայի Լոնդոնում կան բազմաթիվ հայտնի տեսարժան վայրեր: Պարտադիր տեսարժան վայրերից են Բուքինգհեմյան պալատը, Լոնդոնի աշտարակը, Բրիտանական թանգարանը, Լոնդոնի Աչքը և Հայդ Պարկը:</v>
      </c>
    </row>
    <row r="80">
      <c r="A80" s="1" t="s">
        <v>160</v>
      </c>
      <c r="B80" s="2" t="s">
        <v>161</v>
      </c>
      <c r="C80" s="3" t="str">
        <f>IFERROR(__xludf.DUMMYFUNCTION("GOOGLETRANSLATE(A80,""en"",""hy"")"),"ինչ դպրոց է հաճախել Ջոան Միրոն")</f>
        <v>ինչ դպրոց է հաճախել Ջոան Միրոն</v>
      </c>
      <c r="D80" s="3" t="str">
        <f>IFERROR(__xludf.DUMMYFUNCTION("GOOGLETRANSLATE(B80,""en"",""hy"")"),"Ժոան Միրոն սովորել է Իսպանիայի Բարսելոնա քաղաքի Գեղարվեստի դպրոցում։")</f>
        <v>Ժոան Միրոն սովորել է Իսպանիայի Բարսելոնա քաղաքի Գեղարվեստի դպրոցում։</v>
      </c>
    </row>
    <row r="81">
      <c r="A81" s="1" t="s">
        <v>162</v>
      </c>
      <c r="B81" s="2" t="s">
        <v>163</v>
      </c>
      <c r="C81" s="3" t="str">
        <f>IFERROR(__xludf.DUMMYFUNCTION("GOOGLETRANSLATE(A81,""en"",""hy"")"),"որտեղ է գաղութացել Ֆրանսիան")</f>
        <v>որտեղ է գաղութացել Ֆրանսիան</v>
      </c>
      <c r="D81" s="3" t="str">
        <f>IFERROR(__xludf.DUMMYFUNCTION("GOOGLETRANSLATE(B81,""en"",""hy"")"),"Ֆրանսիան գաղութացրել է աշխարհի տարբեր շրջաններ՝ ներառյալ Աֆրիկայի մի մասը, Ամերիկան, Կարիբյան ավազանը, Հարավարևելյան Ասիան և Խաղաղ օվկիանոսի կղզիները:")</f>
        <v>Ֆրանսիան գաղութացրել է աշխարհի տարբեր շրջաններ՝ ներառյալ Աֆրիկայի մի մասը, Ամերիկան, Կարիբյան ավազանը, Հարավարևելյան Ասիան և Խաղաղ օվկիանոսի կղզիները:</v>
      </c>
    </row>
    <row r="82">
      <c r="A82" s="1" t="s">
        <v>164</v>
      </c>
      <c r="B82" s="2" t="s">
        <v>165</v>
      </c>
      <c r="C82" s="3" t="str">
        <f>IFERROR(__xludf.DUMMYFUNCTION("GOOGLETRANSLATE(A82,""en"",""hy"")"),"ումի՞ց է ոգեշնչվել Վինսենթ Վան Գոգը:")</f>
        <v>ումի՞ց է ոգեշնչվել Վինսենթ Վան Գոգը:</v>
      </c>
      <c r="D82" s="3" t="str">
        <f>IFERROR(__xludf.DUMMYFUNCTION("GOOGLETRANSLATE(B82,""en"",""hy"")"),"Վինսենթ վան Գոգը ոգեշնչվել է տարբեր արվեստագետներից, այդ թվում՝ Ժան-Ֆրանսուա Միլեյից, Ժյուլ Բրետոնից և ճապոնական փայտանյութի տպագրությունից:")</f>
        <v>Վինսենթ վան Գոգը ոգեշնչվել է տարբեր արվեստագետներից, այդ թվում՝ Ժան-Ֆրանսուա Միլեյից, Ժյուլ Բրետոնից և ճապոնական փայտանյութի տպագրությունից:</v>
      </c>
    </row>
    <row r="83">
      <c r="A83" s="1" t="s">
        <v>166</v>
      </c>
      <c r="B83" s="2" t="s">
        <v>167</v>
      </c>
      <c r="C83" s="3" t="str">
        <f>IFERROR(__xludf.DUMMYFUNCTION("GOOGLETRANSLATE(A83,""en"",""hy"")"),"որտեղ ամուսնանալ jacksonville nc-ում:")</f>
        <v>որտեղ ամուսնանալ jacksonville nc-ում:</v>
      </c>
      <c r="D83" s="3" t="str">
        <f>IFERROR(__xludf.DUMMYFUNCTION("GOOGLETRANSLATE(B83,""en"",""hy"")"),"Կան մի քանի վայրեր Ջեքսոնվիլում, NC, որտեղ դուք կարող եք ամուսնանալ, ինչպիսիք են The Tarheel-ը Camp Lejeune-ում, The Courtyard-ը Onslow Bay-ում կամ The Rustic Barn at Half Moon-ում:")</f>
        <v>Կան մի քանի վայրեր Ջեքսոնվիլում, NC, որտեղ դուք կարող եք ամուսնանալ, ինչպիսիք են The Tarheel-ը Camp Lejeune-ում, The Courtyard-ը Onslow Bay-ում կամ The Rustic Barn at Half Moon-ում:</v>
      </c>
    </row>
    <row r="84">
      <c r="A84" s="1" t="s">
        <v>168</v>
      </c>
      <c r="B84" s="2" t="s">
        <v>169</v>
      </c>
      <c r="C84" s="3" t="str">
        <f>IFERROR(__xludf.DUMMYFUNCTION("GOOGLETRANSLATE(A84,""en"",""hy"")"),"Ո՞ր ժամային գոտում եմ Միչիգանում:")</f>
        <v>Ո՞ր ժամային գոտում եմ Միչիգանում:</v>
      </c>
      <c r="D84" s="3" t="str">
        <f>IFERROR(__xludf.DUMMYFUNCTION("GOOGLETRANSLATE(B84,""en"",""hy"")"),"Արևելյան ժամային գոտի")</f>
        <v>Արևելյան ժամային գոտի</v>
      </c>
    </row>
    <row r="85">
      <c r="A85" s="1" t="s">
        <v>170</v>
      </c>
      <c r="B85" s="2" t="s">
        <v>171</v>
      </c>
      <c r="C85" s="3" t="str">
        <f>IFERROR(__xludf.DUMMYFUNCTION("GOOGLETRANSLATE(A85,""en"",""hy"")"),"ե՞րբ են նյույորքցիները հաղթել առաջնությունում:")</f>
        <v>ե՞րբ են նյույորքցիները հաղթել առաջնությունում:</v>
      </c>
      <c r="D85" s="3" t="str">
        <f>IFERROR(__xludf.DUMMYFUNCTION("GOOGLETRANSLATE(B85,""en"",""hy"")"),"«Նյու Յորք Նիքսը» վերջին անգամ NBA-ի չեմպիոն է դարձել 1973 թվականին:")</f>
        <v>«Նյու Յորք Նիքսը» վերջին անգամ NBA-ի չեմպիոն է դարձել 1973 թվականին:</v>
      </c>
    </row>
    <row r="86">
      <c r="A86" s="1" t="s">
        <v>172</v>
      </c>
      <c r="B86" s="2" t="s">
        <v>173</v>
      </c>
      <c r="C86" s="3" t="str">
        <f>IFERROR(__xludf.DUMMYFUNCTION("GOOGLETRANSLATE(A86,""en"",""hy"")"),"ո՞րն է Չինաստանի պաշտոնական լեզուն 2010 թ.")</f>
        <v>ո՞րն է Չինաստանի պաշտոնական լեզուն 2010 թ.</v>
      </c>
      <c r="D86" s="3" t="str">
        <f>IFERROR(__xludf.DUMMYFUNCTION("GOOGLETRANSLATE(B86,""en"",""hy"")"),"Չինաստանի պաշտոնական լեզուն 2010 թվականին մանդարին չինարենն էր։")</f>
        <v>Չինաստանի պաշտոնական լեզուն 2010 թվականին մանդարին չինարենն էր։</v>
      </c>
    </row>
    <row r="87">
      <c r="A87" s="1" t="s">
        <v>174</v>
      </c>
      <c r="B87" s="2" t="s">
        <v>175</v>
      </c>
      <c r="C87" s="3" t="str">
        <f>IFERROR(__xludf.DUMMYFUNCTION("GOOGLETRANSLATE(A87,""en"",""hy"")"),"որո՞նք էին Վուդրո Վիլսոնի գլխավոր ձեռքբերումները:")</f>
        <v>որո՞նք էին Վուդրո Վիլսոնի գլխավոր ձեռքբերումները:</v>
      </c>
      <c r="D87" s="3" t="str">
        <f>IFERROR(__xludf.DUMMYFUNCTION("GOOGLETRANSLATE(B87,""en"",""hy"")"),"Վուդրո Վիլսոնի գլխավոր ձեռքբերումներից մեկը Միացյալ Նահանգներն առաջին համաշխարհային պատերազմի ընթացքում առաջնորդելն էր: Նա նաև նշանակալի դեր է խաղացել Վերսալի պայմանագրի ձևավորման և Ազգերի լիգայի ստեղծման ջատագովության գործում: Բացի այդ, Վիլսոնը հայտնի էր"&amp;" իր նախագահության ընթացքում առաջադեմ բարեփոխումների և քաղաքացիական իրավունքների առաջխաղացման համար:")</f>
        <v>Վուդրո Վիլսոնի գլխավոր ձեռքբերումներից մեկը Միացյալ Նահանգներն առաջին համաշխարհային պատերազմի ընթացքում առաջնորդելն էր: Նա նաև նշանակալի դեր է խաղացել Վերսալի պայմանագրի ձևավորման և Ազգերի լիգայի ստեղծման ջատագովության գործում: Բացի այդ, Վիլսոնը հայտնի էր իր նախագահության ընթացքում առաջադեմ բարեփոխումների և քաղաքացիական իրավունքների առաջխաղացման համար:</v>
      </c>
    </row>
    <row r="88">
      <c r="A88" s="1" t="s">
        <v>176</v>
      </c>
      <c r="B88" s="2" t="s">
        <v>177</v>
      </c>
      <c r="C88" s="3" t="str">
        <f>IFERROR(__xludf.DUMMYFUNCTION("GOOGLETRANSLATE(A88,""en"",""hy"")"),"որտեղ է jack daniels գործարանը:")</f>
        <v>որտեղ է jack daniels գործարանը:</v>
      </c>
      <c r="D88" s="3" t="str">
        <f>IFERROR(__xludf.DUMMYFUNCTION("GOOGLETRANSLATE(B88,""en"",""hy"")"),"Jack Daniels գործարանը գտնվում է Թենեսի նահանգի Լինչբուրգ քաղաքում։")</f>
        <v>Jack Daniels գործարանը գտնվում է Թենեսի նահանգի Լինչբուրգ քաղաքում։</v>
      </c>
    </row>
    <row r="89">
      <c r="A89" s="1" t="s">
        <v>178</v>
      </c>
      <c r="B89" s="2" t="s">
        <v>179</v>
      </c>
      <c r="C89" s="3" t="str">
        <f>IFERROR(__xludf.DUMMYFUNCTION("GOOGLETRANSLATE(A89,""en"",""hy"")"),"ինչ լեզվով են խոսում Պակիստանում")</f>
        <v>ինչ լեզվով են խոսում Պակիստանում</v>
      </c>
      <c r="D89" s="3" t="str">
        <f>IFERROR(__xludf.DUMMYFUNCTION("GOOGLETRANSLATE(B89,""en"",""hy"")"),"Պակիստանում խոսվող պաշտոնական լեզուն ուրդուն է։")</f>
        <v>Պակիստանում խոսվող պաշտոնական լեզուն ուրդուն է։</v>
      </c>
    </row>
    <row r="90">
      <c r="A90" s="1" t="s">
        <v>180</v>
      </c>
      <c r="B90" s="2" t="s">
        <v>181</v>
      </c>
      <c r="C90" s="3" t="str">
        <f>IFERROR(__xludf.DUMMYFUNCTION("GOOGLETRANSLATE(A90,""en"",""hy"")"),"որտեղ է Սանտա Կլարայի համալսարանը:")</f>
        <v>որտեղ է Սանտա Կլարայի համալսարանը:</v>
      </c>
      <c r="D90" s="3" t="str">
        <f>IFERROR(__xludf.DUMMYFUNCTION("GOOGLETRANSLATE(B90,""en"",""hy"")"),"Սանտա Կլարայի համալսարանը գտնվում է Կալիֆորնիայի Սանտա Կլարայում:")</f>
        <v>Սանտա Կլարայի համալսարանը գտնվում է Կալիֆորնիայի Սանտա Կլարայում:</v>
      </c>
    </row>
    <row r="91">
      <c r="A91" s="1" t="s">
        <v>182</v>
      </c>
      <c r="B91" s="2" t="s">
        <v>183</v>
      </c>
      <c r="C91" s="3" t="str">
        <f>IFERROR(__xludf.DUMMYFUNCTION("GOOGLETRANSLATE(A91,""en"",""hy"")"),"Կորեայի ո՞ր հատվածն է կոմունիստական.")</f>
        <v>Կորեայի ո՞ր հատվածն է կոմունիստական.</v>
      </c>
      <c r="D91" s="3" t="str">
        <f>IFERROR(__xludf.DUMMYFUNCTION("GOOGLETRANSLATE(B91,""en"",""hy"")"),"Հյուսիսային Կորեա.")</f>
        <v>Հյուսիսային Կորեա.</v>
      </c>
    </row>
    <row r="92">
      <c r="A92" s="1" t="s">
        <v>184</v>
      </c>
      <c r="B92" s="2" t="s">
        <v>185</v>
      </c>
      <c r="C92" s="3" t="str">
        <f>IFERROR(__xludf.DUMMYFUNCTION("GOOGLETRANSLATE(A92,""en"",""hy"")"),"որտե՞ղ է բանտ գնացել Թիմոթի Մակվեյը:")</f>
        <v>որտե՞ղ է բանտ գնացել Թիմոթի Մակվեյը:</v>
      </c>
      <c r="D92" s="3" t="str">
        <f>IFERROR(__xludf.DUMMYFUNCTION("GOOGLETRANSLATE(B92,""en"",""hy"")"),"Թիմոթի Մաքվեյը բանտ է նստել Կոլորադոյի Ֆլորենցիայում գտնվող Միացյալ Նահանգների քրեակատարողական հիմնարկի վարչական առավելագույն հաստատությունում, որը նաև հայտնի է որպես ADX Florence:")</f>
        <v>Թիմոթի Մաքվեյը բանտ է նստել Կոլորադոյի Ֆլորենցիայում գտնվող Միացյալ Նահանգների քրեակատարողական հիմնարկի վարչական առավելագույն հաստատությունում, որը նաև հայտնի է որպես ADX Florence:</v>
      </c>
    </row>
    <row r="93">
      <c r="A93" s="1" t="s">
        <v>186</v>
      </c>
      <c r="B93" s="2" t="s">
        <v>187</v>
      </c>
      <c r="C93" s="3" t="str">
        <f>IFERROR(__xludf.DUMMYFUNCTION("GOOGLETRANSLATE(A93,""en"",""hy"")"),"Ո՞ր ծովն է հոսում Յանցզի գետը:")</f>
        <v>Ո՞ր ծովն է հոսում Յանցզի գետը:</v>
      </c>
      <c r="D93" s="3" t="str">
        <f>IFERROR(__xludf.DUMMYFUNCTION("GOOGLETRANSLATE(B93,""en"",""hy"")"),"Յանցզի գետը թափվում է Արևելա-չինական ծով։")</f>
        <v>Յանցզի գետը թափվում է Արևելա-չինական ծով։</v>
      </c>
    </row>
    <row r="94">
      <c r="A94" s="1" t="s">
        <v>188</v>
      </c>
      <c r="B94" s="2" t="s">
        <v>189</v>
      </c>
      <c r="C94" s="3" t="str">
        <f>IFERROR(__xludf.DUMMYFUNCTION("GOOGLETRANSLATE(A94,""en"",""hy"")"),"ում հետ է նշանվել Մայլի Սայրուսը")</f>
        <v>ում հետ է նշանվել Մայլի Սայրուսը</v>
      </c>
      <c r="D94" s="3" t="str">
        <f>IFERROR(__xludf.DUMMYFUNCTION("GOOGLETRANSLATE(B94,""en"",""hy"")"),"Մայլի Սայրուսը ներկայումս նշանադրվել է երգիչ Քոդի Սիմփսոնի հետ։")</f>
        <v>Մայլի Սայրուսը ներկայումս նշանադրվել է երգիչ Քոդի Սիմփսոնի հետ։</v>
      </c>
    </row>
    <row r="95">
      <c r="A95" s="1" t="s">
        <v>190</v>
      </c>
      <c r="B95" s="2" t="s">
        <v>191</v>
      </c>
      <c r="C95" s="3" t="str">
        <f>IFERROR(__xludf.DUMMYFUNCTION("GOOGLETRANSLATE(A95,""en"",""hy"")"),"ինչով է հայտնի Չարլզ Դարվինը.")</f>
        <v>ինչով է հայտնի Չարլզ Դարվինը.</v>
      </c>
      <c r="D95" s="3" t="str">
        <f>IFERROR(__xludf.DUMMYFUNCTION("GOOGLETRANSLATE(B95,""en"",""hy"")"),"Չարլզ Դարվինը հայտնի է էվոլյուցիայի և բնական ընտրության իր տեսությամբ։")</f>
        <v>Չարլզ Դարվինը հայտնի է էվոլյուցիայի և բնական ընտրության իր տեսությամբ։</v>
      </c>
    </row>
    <row r="96">
      <c r="A96" s="1" t="s">
        <v>192</v>
      </c>
      <c r="B96" s="2" t="s">
        <v>193</v>
      </c>
      <c r="C96" s="3" t="str">
        <f>IFERROR(__xludf.DUMMYFUNCTION("GOOGLETRANSLATE(A96,""en"",""hy"")"),"ով է հիմնել Ռոանոկ բնակավայրը:")</f>
        <v>ով է հիմնել Ռոանոկ բնակավայրը:</v>
      </c>
      <c r="D96" s="3" t="str">
        <f>IFERROR(__xludf.DUMMYFUNCTION("GOOGLETRANSLATE(B96,""en"",""hy"")"),"Ռոանոկ բնակավայրը հիմնադրել է սըր Ուոլթեր Ռալեյը։")</f>
        <v>Ռոանոկ բնակավայրը հիմնադրել է սըր Ուոլթեր Ռալեյը։</v>
      </c>
    </row>
    <row r="97">
      <c r="A97" s="1" t="s">
        <v>194</v>
      </c>
      <c r="B97" s="2" t="s">
        <v>195</v>
      </c>
      <c r="C97" s="3" t="str">
        <f>IFERROR(__xludf.DUMMYFUNCTION("GOOGLETRANSLATE(A97,""en"",""hy"")"),"ինչ գումար պետք է տանեմ Ջամայկա:")</f>
        <v>ինչ գումար պետք է տանեմ Ջամայկա:</v>
      </c>
      <c r="D97" s="3" t="str">
        <f>IFERROR(__xludf.DUMMYFUNCTION("GOOGLETRANSLATE(B97,""en"",""hy"")"),"Ջամայկա մեկնելիս խորհուրդ է տրվում վերցնել ճամայկայական դոլար։")</f>
        <v>Ջամայկա մեկնելիս խորհուրդ է տրվում վերցնել ճամայկայական դոլար։</v>
      </c>
    </row>
    <row r="98">
      <c r="A98" s="1" t="s">
        <v>196</v>
      </c>
      <c r="B98" s="2" t="s">
        <v>197</v>
      </c>
      <c r="C98" s="3" t="str">
        <f>IFERROR(__xludf.DUMMYFUNCTION("GOOGLETRANSLATE(A98,""en"",""hy"")"),"ով է Ռոբերտ Դաունի կրտսերի կինը:")</f>
        <v>ով է Ռոբերտ Դաունի կրտսերի կինը:</v>
      </c>
      <c r="D98" s="3" t="str">
        <f>IFERROR(__xludf.DUMMYFUNCTION("GOOGLETRANSLATE(B98,""en"",""hy"")"),"Ռոբերտ Դաունի կրտսերի կինը Սյուզան Դաունին է։")</f>
        <v>Ռոբերտ Դաունի կրտսերի կինը Սյուզան Դաունին է։</v>
      </c>
    </row>
    <row r="99">
      <c r="A99" s="1" t="s">
        <v>198</v>
      </c>
      <c r="B99" s="2" t="s">
        <v>199</v>
      </c>
      <c r="C99" s="3" t="str">
        <f>IFERROR(__xludf.DUMMYFUNCTION("GOOGLETRANSLATE(A99,""en"",""hy"")"),"որտեղ են խաղում ny ռեյնջերները")</f>
        <v>որտեղ են խաղում ny ռեյնջերները</v>
      </c>
      <c r="D99" s="3" t="str">
        <f>IFERROR(__xludf.DUMMYFUNCTION("GOOGLETRANSLATE(B99,""en"",""hy"")"),"NY Rangers-ը խաղում է Madison Square Garden-ում:")</f>
        <v>NY Rangers-ը խաղում է Madison Square Garden-ում:</v>
      </c>
    </row>
    <row r="100">
      <c r="A100" s="1" t="s">
        <v>200</v>
      </c>
      <c r="B100" s="2" t="s">
        <v>201</v>
      </c>
      <c r="C100" s="3" t="str">
        <f>IFERROR(__xludf.DUMMYFUNCTION("GOOGLETRANSLATE(A100,""en"",""hy"")"),"որտեղ է թաղված Ջեֆերսոն Դևիսը")</f>
        <v>որտեղ է թաղված Ջեֆերսոն Դևիսը</v>
      </c>
      <c r="D100" s="3" t="str">
        <f>IFERROR(__xludf.DUMMYFUNCTION("GOOGLETRANSLATE(B100,""en"",""hy"")"),"Ջեֆերսոն Դևիսը թաղված է Հոլիվուդի գերեզմանատանը Ռիչմոնդում, Վիրջինիա:")</f>
        <v>Ջեֆերսոն Դևիսը թաղված է Հոլիվուդի գերեզմանատանը Ռիչմոնդում, Վիրջինիա:</v>
      </c>
    </row>
    <row r="101">
      <c r="A101" s="1" t="s">
        <v>202</v>
      </c>
      <c r="B101" s="2" t="s">
        <v>203</v>
      </c>
      <c r="C101" s="3" t="str">
        <f>IFERROR(__xludf.DUMMYFUNCTION("GOOGLETRANSLATE(A101,""en"",""hy"")"),"ո՞ւմ է խաղում հեղինակ Ստեֆենի Մեյերը ֆիլմում «Մթնշաղ».")</f>
        <v>ո՞ւմ է խաղում հեղինակ Ստեֆենի Մեյերը ֆիլմում «Մթնշաղ».</v>
      </c>
      <c r="D101" s="3" t="str">
        <f>IFERROR(__xludf.DUMMYFUNCTION("GOOGLETRANSLATE(B101,""en"",""hy"")"),"Ստեֆենի Մեյերը դեր չի խաղում «Մթնշաղ» ֆիլմում։")</f>
        <v>Ստեֆենի Մեյերը դեր չի խաղում «Մթնշաղ» ֆիլմում։</v>
      </c>
    </row>
    <row r="102">
      <c r="A102" s="1" t="s">
        <v>204</v>
      </c>
      <c r="B102" s="2" t="s">
        <v>205</v>
      </c>
      <c r="C102" s="3" t="str">
        <f>IFERROR(__xludf.DUMMYFUNCTION("GOOGLETRANSLATE(A102,""en"",""hy"")"),"ե՞րբ է մրցելու Օսկար Պիստորիուսը")</f>
        <v>ե՞րբ է մրցելու Օսկար Պիստորիուսը</v>
      </c>
      <c r="D102" s="3" t="str">
        <f>IFERROR(__xludf.DUMMYFUNCTION("GOOGLETRANSLATE(B102,""en"",""hy"")"),"Օսկար Պիստորիուսն այլևս իրավունք չունի աթլետիկայում հանդես գալ:")</f>
        <v>Օսկար Պիստորիուսն այլևս իրավունք չունի աթլետիկայում հանդես գալ:</v>
      </c>
    </row>
    <row r="103">
      <c r="A103" s="1" t="s">
        <v>206</v>
      </c>
      <c r="B103" s="2" t="s">
        <v>207</v>
      </c>
      <c r="C103" s="3" t="str">
        <f>IFERROR(__xludf.DUMMYFUNCTION("GOOGLETRANSLATE(A103,""en"",""hy"")"),"Ո՞ր տարիներին են դալասի կովբոյները հաղթել սուպերգավաթում:")</f>
        <v>Ո՞ր տարիներին են դալասի կովբոյները հաղթել սուպերգավաթում:</v>
      </c>
      <c r="D103" s="3" t="str">
        <f>IFERROR(__xludf.DUMMYFUNCTION("GOOGLETRANSLATE(B103,""en"",""hy"")"),"Դալլասի կովբոյները հաղթել են Super Bowl-ը 1971, 1977, 1992, 1993 և 1995 թվականներին:")</f>
        <v>Դալլասի կովբոյները հաղթել են Super Bowl-ը 1971, 1977, 1992, 1993 և 1995 թվականներին:</v>
      </c>
    </row>
    <row r="104">
      <c r="A104" s="1" t="s">
        <v>208</v>
      </c>
      <c r="B104" s="2" t="s">
        <v>209</v>
      </c>
      <c r="C104" s="3" t="str">
        <f>IFERROR(__xludf.DUMMYFUNCTION("GOOGLETRANSLATE(A104,""en"",""hy"")"),"ինչ մրցանակներ է շահել Լուիս Սախարը")</f>
        <v>ինչ մրցանակներ է շահել Լուիս Սախարը</v>
      </c>
      <c r="D104" s="3" t="str">
        <f>IFERROR(__xludf.DUMMYFUNCTION("GOOGLETRANSLATE(B104,""en"",""hy"")"),"Լուի Սախարը արժանացել է բազմաթիվ մրցանակների, այդ թվում՝ Նյուբերիի մեդալի, Երիտասարդների գրականության ազգային գրքի մրցանակի և Բոստոնի Գլոբ-Հորն գրքի մրցանակի։")</f>
        <v>Լուի Սախարը արժանացել է բազմաթիվ մրցանակների, այդ թվում՝ Նյուբերիի մեդալի, Երիտասարդների գրականության ազգային գրքի մրցանակի և Բոստոնի Գլոբ-Հորն գրքի մրցանակի։</v>
      </c>
    </row>
    <row r="105">
      <c r="A105" s="1" t="s">
        <v>210</v>
      </c>
      <c r="B105" s="2" t="s">
        <v>211</v>
      </c>
      <c r="C105" s="3" t="str">
        <f>IFERROR(__xludf.DUMMYFUNCTION("GOOGLETRANSLATE(A105,""en"",""hy"")"),"ովքե՞ր են Միսուրիի ներկայիս սենատորները:")</f>
        <v>ովքե՞ր են Միսուրիի ներկայիս սենատորները:</v>
      </c>
      <c r="D105" s="3" t="str">
        <f>IFERROR(__xludf.DUMMYFUNCTION("GOOGLETRANSLATE(B105,""en"",""hy"")"),"Միսսուրիի ներկայիս սենատորներն են Ռոյ Բլանթը և Ջոշ Հոուլին:")</f>
        <v>Միսսուրիի ներկայիս սենատորներն են Ռոյ Բլանթը և Ջոշ Հոուլին:</v>
      </c>
    </row>
    <row r="106">
      <c r="A106" s="1" t="s">
        <v>212</v>
      </c>
      <c r="B106" s="2" t="s">
        <v>213</v>
      </c>
      <c r="C106" s="3" t="str">
        <f>IFERROR(__xludf.DUMMYFUNCTION("GOOGLETRANSLATE(A106,""en"",""hy"")"),"ով էր նախագահը jfk-ի մահից հետո")</f>
        <v>ով էր նախագահը jfk-ի մահից հետո</v>
      </c>
      <c r="D106" s="3" t="str">
        <f>IFERROR(__xludf.DUMMYFUNCTION("GOOGLETRANSLATE(B106,""en"",""hy"")"),"Լինդոն Բ. Ջոնսոն.")</f>
        <v>Լինդոն Բ. Ջոնսոն.</v>
      </c>
    </row>
    <row r="107">
      <c r="A107" s="1" t="s">
        <v>214</v>
      </c>
      <c r="B107" s="2" t="s">
        <v>215</v>
      </c>
      <c r="C107" s="3" t="str">
        <f>IFERROR(__xludf.DUMMYFUNCTION("GOOGLETRANSLATE(A107,""en"",""hy"")"),"ո՞րն է լավագույն արժույթը Եգիպտոս տանելու համար 2013 թ.")</f>
        <v>ո՞րն է լավագույն արժույթը Եգիպտոս տանելու համար 2013 թ.</v>
      </c>
      <c r="D107" s="3" t="str">
        <f>IFERROR(__xludf.DUMMYFUNCTION("GOOGLETRANSLATE(B107,""en"",""hy"")"),"2013 թվականին Եգիպտոս տանելու լավագույն արժույթը եգիպտական ​​ֆունտն է:")</f>
        <v>2013 թվականին Եգիպտոս տանելու լավագույն արժույթը եգիպտական ​​ֆունտն է:</v>
      </c>
    </row>
    <row r="108">
      <c r="A108" s="1" t="s">
        <v>216</v>
      </c>
      <c r="B108" s="2" t="s">
        <v>217</v>
      </c>
      <c r="C108" s="3" t="str">
        <f>IFERROR(__xludf.DUMMYFUNCTION("GOOGLETRANSLATE(A108,""en"",""hy"")"),"որո՞նք են Միացյալ Թագավորության երկրները:")</f>
        <v>որո՞նք են Միացյալ Թագավորության երկրները:</v>
      </c>
      <c r="D108" s="3" t="str">
        <f>IFERROR(__xludf.DUMMYFUNCTION("GOOGLETRANSLATE(B108,""en"",""hy"")"),"Միացյալ Թագավորության երկրներն են Անգլիան, Շոտլանդիան, Ուելսը և Հյուսիսային Իռլանդիան։")</f>
        <v>Միացյալ Թագավորության երկրներն են Անգլիան, Շոտլանդիան, Ուելսը և Հյուսիսային Իռլանդիան։</v>
      </c>
    </row>
    <row r="109">
      <c r="A109" s="1" t="s">
        <v>218</v>
      </c>
      <c r="B109" s="2" t="s">
        <v>219</v>
      </c>
      <c r="C109" s="3" t="str">
        <f>IFERROR(__xludf.DUMMYFUNCTION("GOOGLETRANSLATE(A109,""en"",""hy"")"),"ինչ ինքնաթիռներ ունի նավատորմը")</f>
        <v>ինչ ինքնաթիռներ ունի նավատորմը</v>
      </c>
      <c r="D109" s="3" t="str">
        <f>IFERROR(__xludf.DUMMYFUNCTION("GOOGLETRANSLATE(B109,""en"",""hy"")"),"Ռազմածովային նավատորմն ունի տարբեր տեսակի ինքնաթիռներ՝ ներառյալ կործանիչներ, պարեկային ինքնաթիռներ, տրանսպորտային ինքնաթիռներ և ուղղաթիռներ:")</f>
        <v>Ռազմածովային նավատորմն ունի տարբեր տեսակի ինքնաթիռներ՝ ներառյալ կործանիչներ, պարեկային ինքնաթիռներ, տրանսպորտային ինքնաթիռներ և ուղղաթիռներ:</v>
      </c>
    </row>
    <row r="110">
      <c r="A110" s="1" t="s">
        <v>220</v>
      </c>
      <c r="B110" s="2" t="s">
        <v>221</v>
      </c>
      <c r="C110" s="3" t="str">
        <f>IFERROR(__xludf.DUMMYFUNCTION("GOOGLETRANSLATE(A110,""en"",""hy"")"),"որտեղ է մահացել Բենջամին Ֆրանկլինը")</f>
        <v>որտեղ է մահացել Բենջամին Ֆրանկլինը</v>
      </c>
      <c r="D110" s="3" t="str">
        <f>IFERROR(__xludf.DUMMYFUNCTION("GOOGLETRANSLATE(B110,""en"",""hy"")"),"Բենջամին Ֆրանկլինը մահացել է Փենսիլվանիայի Ֆիլադելֆիայում:")</f>
        <v>Բենջամին Ֆրանկլինը մահացել է Փենսիլվանիայի Ֆիլադելֆիայում:</v>
      </c>
    </row>
    <row r="111">
      <c r="A111" s="1" t="s">
        <v>222</v>
      </c>
      <c r="B111" s="2" t="s">
        <v>223</v>
      </c>
      <c r="C111" s="3" t="str">
        <f>IFERROR(__xludf.DUMMYFUNCTION("GOOGLETRANSLATE(A111,""en"",""hy"")"),"որտեղ այցելել n. Իռլանդիա?")</f>
        <v>որտեղ այցելել n. Իռլանդիա?</v>
      </c>
      <c r="D111" s="3" t="str">
        <f>IFERROR(__xludf.DUMMYFUNCTION("GOOGLETRANSLATE(B111,""en"",""hy"")"),"Հյուսիսային Իռլանդիայում այցելելու որոշ հայտնի վայրերն են՝ Հսկայական ճանապարհը, Բելֆաստը, Մութ ցանկապատերը, Քարիկ-ա-Ռեդ Ռոպ կամուրջը և Մորն լեռները:")</f>
        <v>Հյուսիսային Իռլանդիայում այցելելու որոշ հայտնի վայրերն են՝ Հսկայական ճանապարհը, Բելֆաստը, Մութ ցանկապատերը, Քարիկ-ա-Ռեդ Ռոպ կամուրջը և Մորն լեռները:</v>
      </c>
    </row>
    <row r="112">
      <c r="A112" s="1" t="s">
        <v>224</v>
      </c>
      <c r="B112" s="2" t="s">
        <v>225</v>
      </c>
      <c r="C112" s="3" t="str">
        <f>IFERROR(__xludf.DUMMYFUNCTION("GOOGLETRANSLATE(A112,""en"",""hy"")"),"ինչ անել կանկունում ընտանիքի հետ.")</f>
        <v>ինչ անել կանկունում ընտանիքի հետ.</v>
      </c>
      <c r="D112" s="3" t="str">
        <f>IFERROR(__xludf.DUMMYFUNCTION("GOOGLETRANSLATE(B112,""en"",""hy"")"),"Կանկունում կան բազմաթիվ միջոցառումներ, որոնք կարող եք անել ձեր ընտանիքի հետ, ինչպիսիք են՝ այցելելով գեղեցիկ լողափեր, ուսումնասիրել մայաների ավերակները, նավով էքսկուրսիա կատարել դեպի Իսլա Մուջերես, այցելել ինտերակտիվ ակվարիում կամ մեկ օր վայելել ջրաշխարհու"&amp;"մ:")</f>
        <v>Կանկունում կան բազմաթիվ միջոցառումներ, որոնք կարող եք անել ձեր ընտանիքի հետ, ինչպիսիք են՝ այցելելով գեղեցիկ լողափեր, ուսումնասիրել մայաների ավերակները, նավով էքսկուրսիա կատարել դեպի Իսլա Մուջերես, այցելել ինտերակտիվ ակվարիում կամ մեկ օր վայելել ջրաշխարհում:</v>
      </c>
    </row>
    <row r="113">
      <c r="A113" s="1" t="s">
        <v>226</v>
      </c>
      <c r="B113" s="2" t="s">
        <v>227</v>
      </c>
      <c r="C113" s="3" t="str">
        <f>IFERROR(__xludf.DUMMYFUNCTION("GOOGLETRANSLATE(A113,""en"",""hy"")"),"ո՞րն է Իսրայելի տեղական լեզուն:")</f>
        <v>ո՞րն է Իսրայելի տեղական լեզուն:</v>
      </c>
      <c r="D113" s="3" t="str">
        <f>IFERROR(__xludf.DUMMYFUNCTION("GOOGLETRANSLATE(B113,""en"",""hy"")"),"Իսրայելի տեղական լեզուն եբրայերենն է։")</f>
        <v>Իսրայելի տեղական լեզուն եբրայերենն է։</v>
      </c>
    </row>
    <row r="114">
      <c r="A114" s="1" t="s">
        <v>228</v>
      </c>
      <c r="B114" s="2" t="s">
        <v>229</v>
      </c>
      <c r="C114" s="3" t="str">
        <f>IFERROR(__xludf.DUMMYFUNCTION("GOOGLETRANSLATE(A114,""en"",""hy"")"),"ո՞ր քաղաքում և նահանգում է ստեղծվել ռազմաօդային ուժերի ակադեմիան:")</f>
        <v>ո՞ր քաղաքում և նահանգում է ստեղծվել ռազմաօդային ուժերի ակադեմիան:</v>
      </c>
      <c r="D114" s="3" t="str">
        <f>IFERROR(__xludf.DUMMYFUNCTION("GOOGLETRANSLATE(B114,""en"",""hy"")"),"Կոլորադո Սփրինգս, Կոլորադո.")</f>
        <v>Կոլորադո Սփրինգս, Կոլորադո.</v>
      </c>
    </row>
    <row r="115">
      <c r="A115" s="1" t="s">
        <v>230</v>
      </c>
      <c r="B115" s="2" t="s">
        <v>231</v>
      </c>
      <c r="C115" s="3" t="str">
        <f>IFERROR(__xludf.DUMMYFUNCTION("GOOGLETRANSLATE(A115,""en"",""hy"")"),"ո՞րն է Պուերտո Ռիկոյի ազգային սպորտը:")</f>
        <v>ո՞րն է Պուերտո Ռիկոյի ազգային սպորտը:</v>
      </c>
      <c r="D115" s="3" t="str">
        <f>IFERROR(__xludf.DUMMYFUNCTION("GOOGLETRANSLATE(B115,""en"",""hy"")"),"Պուերտո Ռիկոյի ազգային սպորտը բեյսբոլն է։")</f>
        <v>Պուերտո Ռիկոյի ազգային սպորտը բեյսբոլն է։</v>
      </c>
    </row>
    <row r="116">
      <c r="A116" s="1" t="s">
        <v>232</v>
      </c>
      <c r="B116" s="2" t="s">
        <v>233</v>
      </c>
      <c r="C116" s="3" t="str">
        <f>IFERROR(__xludf.DUMMYFUNCTION("GOOGLETRANSLATE(A116,""en"",""hy"")"),"ինչ կրոն են մարդիկ Ռուսաստանում")</f>
        <v>ինչ կրոն են մարդիկ Ռուսաստանում</v>
      </c>
      <c r="D116" s="3" t="str">
        <f>IFERROR(__xludf.DUMMYFUNCTION("GOOGLETRANSLATE(B116,""en"",""hy"")"),"Ռուսաստանում մեծամասնության կրոնը քրիստոնեությունն է, ընդ որում Ռուս ուղղափառ եկեղեցին ամենամեծ կրոնական ուղղությունն է:")</f>
        <v>Ռուսաստանում մեծամասնության կրոնը քրիստոնեությունն է, ընդ որում Ռուս ուղղափառ եկեղեցին ամենամեծ կրոնական ուղղությունն է:</v>
      </c>
    </row>
    <row r="117">
      <c r="A117" s="1" t="s">
        <v>234</v>
      </c>
      <c r="B117" s="2" t="s">
        <v>235</v>
      </c>
      <c r="C117" s="3" t="str">
        <f>IFERROR(__xludf.DUMMYFUNCTION("GOOGLETRANSLATE(A117,""en"",""hy"")"),"ինչում է խաղացել Շոնի Սմիթը:")</f>
        <v>ինչում է խաղացել Շոնի Սմիթը:</v>
      </c>
      <c r="D117" s="3" t="str">
        <f>IFERROR(__xludf.DUMMYFUNCTION("GOOGLETRANSLATE(B117,""en"",""hy"")"),"Շոնի Սմիթը դերասանուհի է, ով առավել հայտնի է Ամանդա Յանգի դերով «Saw» ֆիլմաշարում։")</f>
        <v>Շոնի Սմիթը դերասանուհի է, ով առավել հայտնի է Ամանդա Յանգի դերով «Saw» ֆիլմաշարում։</v>
      </c>
    </row>
    <row r="118">
      <c r="A118" s="1" t="s">
        <v>236</v>
      </c>
      <c r="B118" s="2" t="s">
        <v>237</v>
      </c>
      <c r="C118" s="3" t="str">
        <f>IFERROR(__xludf.DUMMYFUNCTION("GOOGLETRANSLATE(A118,""en"",""hy"")"),"Ո՞ր երկրներում է թագավորել Վիկտորիա թագուհին:")</f>
        <v>Ո՞ր երկրներում է թագավորել Վիկտորիա թագուհին:</v>
      </c>
      <c r="D118" s="3" t="str">
        <f>IFERROR(__xludf.DUMMYFUNCTION("GOOGLETRANSLATE(B118,""en"",""hy"")"),"Վիկտորյա թագուհին թագավորում էր Մեծ Բրիտանիայի և Իռլանդիայի Միացյալ Թագավորության վրա։")</f>
        <v>Վիկտորյա թագուհին թագավորում էր Մեծ Բրիտանիայի և Իռլանդիայի Միացյալ Թագավորության վրա։</v>
      </c>
    </row>
    <row r="119">
      <c r="A119" s="1" t="s">
        <v>238</v>
      </c>
      <c r="B119" s="2" t="s">
        <v>239</v>
      </c>
      <c r="C119" s="3" t="str">
        <f>IFERROR(__xludf.DUMMYFUNCTION("GOOGLETRANSLATE(A119,""en"",""hy"")"),"որտե՞ղ է դոկտոր Սեուսը դպրոց հաճախել:")</f>
        <v>որտե՞ղ է դոկտոր Սեուսը դպրոց հաճախել:</v>
      </c>
      <c r="D119" s="3" t="str">
        <f>IFERROR(__xludf.DUMMYFUNCTION("GOOGLETRANSLATE(B119,""en"",""hy"")"),"Դոկտոր Սյուսը, ում իսկական անունը Թեոդոր Սուս Գեյզել էր, հաճախում էր Դարթմութ քոլեջը:")</f>
        <v>Դոկտոր Սյուսը, ում իսկական անունը Թեոդոր Սուս Գեյզել էր, հաճախում էր Դարթմութ քոլեջը:</v>
      </c>
    </row>
    <row r="120">
      <c r="A120" s="1" t="s">
        <v>240</v>
      </c>
      <c r="B120" s="2" t="s">
        <v>241</v>
      </c>
      <c r="C120" s="3" t="str">
        <f>IFERROR(__xludf.DUMMYFUNCTION("GOOGLETRANSLATE(A120,""en"",""hy"")"),"Ո՞ր թիմում է խաղում Լուիս Սուարեսը")</f>
        <v>Ո՞ր թիմում է խաղում Լուիս Սուարեսը</v>
      </c>
      <c r="D120" s="3" t="str">
        <f>IFERROR(__xludf.DUMMYFUNCTION("GOOGLETRANSLATE(B120,""en"",""hy"")"),"Լուիս Սուարեսը ներկայումս խաղում է Մադրիդի «Ատլետիկոյում»:")</f>
        <v>Լուիս Սուարեսը ներկայումս խաղում է Մադրիդի «Ատլետիկոյում»:</v>
      </c>
    </row>
    <row r="121">
      <c r="A121" s="1" t="s">
        <v>242</v>
      </c>
      <c r="B121" s="2" t="s">
        <v>243</v>
      </c>
      <c r="C121" s="3" t="str">
        <f>IFERROR(__xludf.DUMMYFUNCTION("GOOGLETRANSLATE(A121,""en"",""hy"")"),"ինչ են անվանում դոլարը Իսպանիայում")</f>
        <v>ինչ են անվանում դոլարը Իսպանիայում</v>
      </c>
      <c r="D121" s="3" t="str">
        <f>IFERROR(__xludf.DUMMYFUNCTION("GOOGLETRANSLATE(B121,""en"",""hy"")"),"Իսպանիայում դոլարը ոչ մի կոնկրետ բան չի կոչվում, քանի որ Իսպանիայում օգտագործվող արժույթը եվրոն է:")</f>
        <v>Իսպանիայում դոլարը ոչ մի կոնկրետ բան չի կոչվում, քանի որ Իսպանիայում օգտագործվող արժույթը եվրոն է:</v>
      </c>
    </row>
    <row r="122">
      <c r="A122" s="1" t="s">
        <v>244</v>
      </c>
      <c r="B122" s="2" t="s">
        <v>245</v>
      </c>
      <c r="C122" s="3" t="str">
        <f>IFERROR(__xludf.DUMMYFUNCTION("GOOGLETRANSLATE(A122,""en"",""hy"")"),"ով է խաղում Մեգ ընտանիքի տղայի մեջ:")</f>
        <v>ով է խաղում Մեգ ընտանիքի տղայի մեջ:</v>
      </c>
      <c r="D122" s="3" t="str">
        <f>IFERROR(__xludf.DUMMYFUNCTION("GOOGLETRANSLATE(B122,""en"",""hy"")"),"Միլա Կունիս")</f>
        <v>Միլա Կունիս</v>
      </c>
    </row>
    <row r="123">
      <c r="A123" s="1" t="s">
        <v>246</v>
      </c>
      <c r="B123" s="2" t="s">
        <v>247</v>
      </c>
      <c r="C123" s="3" t="str">
        <f>IFERROR(__xludf.DUMMYFUNCTION("GOOGLETRANSLATE(A123,""en"",""hy"")"),"Ո՞ր ավագ դպրոց է սովորել Թիմ Ալենը:")</f>
        <v>Ո՞ր ավագ դպրոց է սովորել Թիմ Ալենը:</v>
      </c>
      <c r="D123" s="3" t="str">
        <f>IFERROR(__xludf.DUMMYFUNCTION("GOOGLETRANSLATE(B123,""en"",""hy"")"),"Թիմ Ալենը հաճախել է Միչիգան ​​նահանգի Բիրմինգհեմ քաղաքի Էռնեստ Վ. Քերոլի հիշատակի ավագ դպրոցը:")</f>
        <v>Թիմ Ալենը հաճախել է Միչիգան ​​նահանգի Բիրմինգհեմ քաղաքի Էռնեստ Վ. Քերոլի հիշատակի ավագ դպրոցը:</v>
      </c>
    </row>
    <row r="124">
      <c r="A124" s="1" t="s">
        <v>248</v>
      </c>
      <c r="B124" s="2" t="s">
        <v>249</v>
      </c>
      <c r="C124" s="3" t="str">
        <f>IFERROR(__xludf.DUMMYFUNCTION("GOOGLETRANSLATE(A124,""en"",""hy"")"),"ինչպես է կոչվում աշխարհի ամենաբարձր շենքը Դուբայում.")</f>
        <v>ինչպես է կոչվում աշխարհի ամենաբարձր շենքը Դուբայում.</v>
      </c>
      <c r="D124" s="3" t="str">
        <f>IFERROR(__xludf.DUMMYFUNCTION("GOOGLETRANSLATE(B124,""en"",""hy"")"),"Բուրջ Խալիֆա")</f>
        <v>Բուրջ Խալիֆա</v>
      </c>
    </row>
    <row r="125">
      <c r="A125" s="1" t="s">
        <v>250</v>
      </c>
      <c r="B125" s="2" t="s">
        <v>251</v>
      </c>
      <c r="C125" s="3" t="str">
        <f>IFERROR(__xludf.DUMMYFUNCTION("GOOGLETRANSLATE(A125,""en"",""hy"")"),"ուր են թռչում asiana ավիաընկերությունները:")</f>
        <v>ուր են թռչում asiana ավիաընկերությունները:</v>
      </c>
      <c r="D125" s="3" t="str">
        <f>IFERROR(__xludf.DUMMYFUNCTION("GOOGLETRANSLATE(B125,""en"",""hy"")"),"Asiana Airlines-ը թռչում է աշխարհի տարբեր ուղղություններով:")</f>
        <v>Asiana Airlines-ը թռչում է աշխարհի տարբեր ուղղություններով:</v>
      </c>
    </row>
    <row r="126">
      <c r="A126" s="1" t="s">
        <v>252</v>
      </c>
      <c r="B126" s="2" t="s">
        <v>253</v>
      </c>
      <c r="C126" s="3" t="str">
        <f>IFERROR(__xludf.DUMMYFUNCTION("GOOGLETRANSLATE(A126,""en"",""hy"")"),"ինչ ֆիլմ է նկարահանել Անջելինա Ջոլին")</f>
        <v>ինչ ֆիլմ է նկարահանել Անջելինա Ջոլին</v>
      </c>
      <c r="D126" s="3" t="str">
        <f>IFERROR(__xludf.DUMMYFUNCTION("GOOGLETRANSLATE(B126,""en"",""hy"")"),"«Նախ սպանեցին հորս»")</f>
        <v>«Նախ սպանեցին հորս»</v>
      </c>
    </row>
    <row r="127">
      <c r="A127" s="1" t="s">
        <v>254</v>
      </c>
      <c r="B127" s="2" t="s">
        <v>255</v>
      </c>
      <c r="C127" s="3" t="str">
        <f>IFERROR(__xludf.DUMMYFUNCTION("GOOGLETRANSLATE(A127,""en"",""hy"")"),"որտեղ են կրակել Մարտին Լյութեր Քինգին")</f>
        <v>որտեղ են կրակել Մարտին Լյութեր Քինգին</v>
      </c>
      <c r="D127" s="3" t="str">
        <f>IFERROR(__xludf.DUMMYFUNCTION("GOOGLETRANSLATE(B127,""en"",""hy"")"),"Մարտին Լյութեր Քինգը գնդակահարվել է Թենեսի նահանգի Մեմֆիս քաղաքի Lorraine մոթելում:")</f>
        <v>Մարտին Լյութեր Քինգը գնդակահարվել է Թենեսի նահանգի Մեմֆիս քաղաքի Lorraine մոթելում:</v>
      </c>
    </row>
    <row r="128">
      <c r="A128" s="1" t="s">
        <v>256</v>
      </c>
      <c r="B128" s="2" t="s">
        <v>257</v>
      </c>
      <c r="C128" s="3" t="str">
        <f>IFERROR(__xludf.DUMMYFUNCTION("GOOGLETRANSLATE(A128,""en"",""hy"")"),"որտեղ այցելել Բանգկոկի մոտ:")</f>
        <v>որտեղ այցելել Բանգկոկի մոտ:</v>
      </c>
      <c r="D128" s="3" t="str">
        <f>IFERROR(__xludf.DUMMYFUNCTION("GOOGLETRANSLATE(B128,""en"",""hy"")"),"Բանգկոկի մերձակայքում այցելելու որոշ հայտնի վայրերն են Այութայան, Պատտայան և Հուա Հին:")</f>
        <v>Բանգկոկի մերձակայքում այցելելու որոշ հայտնի վայրերն են Այութայան, Պատտայան և Հուա Հին:</v>
      </c>
    </row>
    <row r="129">
      <c r="A129" s="1" t="s">
        <v>258</v>
      </c>
      <c r="B129" s="2" t="s">
        <v>259</v>
      </c>
      <c r="C129" s="3" t="str">
        <f>IFERROR(__xludf.DUMMYFUNCTION("GOOGLETRANSLATE(A129,""en"",""hy"")"),"Ում կողմից է Քրիստինա Միլյանը երեխա ունենում.")</f>
        <v>Ում կողմից է Քրիստինա Միլյանը երեխա ունենում.</v>
      </c>
      <c r="D129" s="3" t="str">
        <f>IFERROR(__xludf.DUMMYFUNCTION("GOOGLETRANSLATE(B129,""en"",""hy"")"),"Լիլ վեյն.")</f>
        <v>Լիլ վեյն.</v>
      </c>
    </row>
    <row r="130">
      <c r="A130" s="1" t="s">
        <v>260</v>
      </c>
      <c r="B130" s="2" t="s">
        <v>261</v>
      </c>
      <c r="C130" s="3" t="str">
        <f>IFERROR(__xludf.DUMMYFUNCTION("GOOGLETRANSLATE(A130,""en"",""hy"")"),"ո՞ր տարում Թուտը դարձավ թագավոր")</f>
        <v>ո՞ր տարում Թուտը դարձավ թագավոր</v>
      </c>
      <c r="D130" s="3" t="str">
        <f>IFERROR(__xludf.DUMMYFUNCTION("GOOGLETRANSLATE(B130,""en"",""hy"")"),"Թութը թագավոր է դարձել մ.թ.ա. 1332 թվականին։")</f>
        <v>Թութը թագավոր է դարձել մ.թ.ա. 1332 թվականին։</v>
      </c>
    </row>
    <row r="131">
      <c r="A131" s="1" t="s">
        <v>262</v>
      </c>
      <c r="B131" s="2" t="s">
        <v>263</v>
      </c>
      <c r="C131" s="3" t="str">
        <f>IFERROR(__xludf.DUMMYFUNCTION("GOOGLETRANSLATE(A131,""en"",""hy"")"),"ով է Դոմինիկյան հանրապետության ներկայիս նախագահը 2010թ.")</f>
        <v>ով է Դոմինիկյան հանրապետության ներկայիս նախագահը 2010թ.</v>
      </c>
      <c r="D131" s="3" t="str">
        <f>IFERROR(__xludf.DUMMYFUNCTION("GOOGLETRANSLATE(B131,""en"",""hy"")"),"2010 թվականին Դոմինիկյան Հանրապետության ներկայիս նախագահը Լեոնել Ֆերնանդեսն էր։")</f>
        <v>2010 թվականին Դոմինիկյան Հանրապետության ներկայիս նախագահը Լեոնել Ֆերնանդեսն էր։</v>
      </c>
    </row>
    <row r="132">
      <c r="A132" s="1" t="s">
        <v>264</v>
      </c>
      <c r="B132" s="2" t="s">
        <v>265</v>
      </c>
      <c r="C132" s="3" t="str">
        <f>IFERROR(__xludf.DUMMYFUNCTION("GOOGLETRANSLATE(A132,""en"",""hy"")"),"ով է ամուսնացել Ջուլիա Ռոբերթսի հետ:")</f>
        <v>ով է ամուսնացել Ջուլիա Ռոբերթսի հետ:</v>
      </c>
      <c r="D132" s="3" t="str">
        <f>IFERROR(__xludf.DUMMYFUNCTION("GOOGLETRANSLATE(B132,""en"",""hy"")"),"Դանիել Մոդեր")</f>
        <v>Դանիել Մոդեր</v>
      </c>
    </row>
    <row r="133">
      <c r="A133" s="1" t="s">
        <v>266</v>
      </c>
      <c r="B133" s="2" t="s">
        <v>267</v>
      </c>
      <c r="C133" s="3" t="str">
        <f>IFERROR(__xludf.DUMMYFUNCTION("GOOGLETRANSLATE(A133,""en"",""hy"")"),"որտեղ են խաղում բալթիմորի ագռավները")</f>
        <v>որտեղ են խաղում բալթիմորի ագռավները</v>
      </c>
      <c r="D133" s="3" t="str">
        <f>IFERROR(__xludf.DUMMYFUNCTION("GOOGLETRANSLATE(B133,""en"",""hy"")"),"Baltimore Ravens-ը խաղում է M&amp;T Bank մարզադաշտում:")</f>
        <v>Baltimore Ravens-ը խաղում է M&amp;T Bank մարզադաշտում:</v>
      </c>
    </row>
    <row r="134">
      <c r="A134" s="1" t="s">
        <v>268</v>
      </c>
      <c r="B134" s="2" t="s">
        <v>269</v>
      </c>
      <c r="C134" s="3" t="str">
        <f>IFERROR(__xludf.DUMMYFUNCTION("GOOGLETRANSLATE(A134,""en"",""hy"")"),"որտեղի՞ց է ՄԱԿ-ը ստանում իր ֆինանսավորումը:")</f>
        <v>որտեղի՞ց է ՄԱԿ-ը ստանում իր ֆինանսավորումը:</v>
      </c>
      <c r="D134" s="3" t="str">
        <f>IFERROR(__xludf.DUMMYFUNCTION("GOOGLETRANSLATE(B134,""en"",""hy"")"),"Միավորված ազգերի կազմակերպությունը (ՄԱԿ) ստանում է իր ֆինանսավորումը անդամ երկրներից՝ կամավոր ներդրումների և գնահատված ներդրումների միջոցով:")</f>
        <v>Միավորված ազգերի կազմակերպությունը (ՄԱԿ) ստանում է իր ֆինանսավորումը անդամ երկրներից՝ կամավոր ներդրումների և գնահատված ներդրումների միջոցով:</v>
      </c>
    </row>
    <row r="135">
      <c r="A135" s="1" t="s">
        <v>270</v>
      </c>
      <c r="B135" s="2" t="s">
        <v>271</v>
      </c>
      <c r="C135" s="3" t="str">
        <f>IFERROR(__xludf.DUMMYFUNCTION("GOOGLETRANSLATE(A135,""en"",""hy"")"),"ո՞ւմ համար է խաղում Բրենդոն Դուբինսկին:")</f>
        <v>ո՞ւմ համար է խաղում Բրենդոն Դուբինսկին:</v>
      </c>
      <c r="D135" s="3" t="str">
        <f>IFERROR(__xludf.DUMMYFUNCTION("GOOGLETRANSLATE(B135,""en"",""hy"")"),"Բրենդոն Դուբինսկին խաղում է Winnipeg Jets-ում։")</f>
        <v>Բրենդոն Դուբինսկին խաղում է Winnipeg Jets-ում։</v>
      </c>
    </row>
    <row r="136">
      <c r="A136" s="1" t="s">
        <v>272</v>
      </c>
      <c r="B136" s="2" t="s">
        <v>273</v>
      </c>
      <c r="C136" s="3" t="str">
        <f>IFERROR(__xludf.DUMMYFUNCTION("GOOGLETRANSLATE(A136,""en"",""hy"")"),"Ո՞վ է հանդիպել Թեյլոր Սվիֆթի հետ:")</f>
        <v>Ո՞վ է հանդիպել Թեյլոր Սվիֆթի հետ:</v>
      </c>
      <c r="D136" s="3" t="str">
        <f>IFERROR(__xludf.DUMMYFUNCTION("GOOGLETRANSLATE(B136,""en"",""hy"")"),"Թեյլոր Սվիֆթը հանդիպել է մի քանի հայտնի մարդկանց հետ, ներառյալ Ջո Ջոնասը, Թեյլոր Լոթները, Ջեյք Ջիլենհոլը, Հարի Սթայլսը, Քելվին Հարիսը, Թոմ Հիդլսթոնը և Ջո Ալվինը:")</f>
        <v>Թեյլոր Սվիֆթը հանդիպել է մի քանի հայտնի մարդկանց հետ, ներառյալ Ջո Ջոնասը, Թեյլոր Լոթները, Ջեյք Ջիլենհոլը, Հարի Սթայլսը, Քելվին Հարիսը, Թոմ Հիդլսթոնը և Ջո Ալվինը:</v>
      </c>
    </row>
    <row r="137">
      <c r="A137" s="1" t="s">
        <v>274</v>
      </c>
      <c r="B137" s="2" t="s">
        <v>275</v>
      </c>
      <c r="C137" s="3" t="str">
        <f>IFERROR(__xludf.DUMMYFUNCTION("GOOGLETRANSLATE(A137,""en"",""hy"")"),"ո՞րն է գերիշխող լեզուն Իսրայելում:")</f>
        <v>ո՞րն է գերիշխող լեզուն Իսրայելում:</v>
      </c>
      <c r="D137" s="3" t="str">
        <f>IFERROR(__xludf.DUMMYFUNCTION("GOOGLETRANSLATE(B137,""en"",""hy"")"),"Իսրայելում գերիշխող լեզուն եբրայերենն է։")</f>
        <v>Իսրայելում գերիշխող լեզուն եբրայերենն է։</v>
      </c>
    </row>
    <row r="138">
      <c r="A138" s="1" t="s">
        <v>276</v>
      </c>
      <c r="B138" s="2" t="s">
        <v>277</v>
      </c>
      <c r="C138" s="3" t="str">
        <f>IFERROR(__xludf.DUMMYFUNCTION("GOOGLETRANSLATE(A138,""en"",""hy"")"),"որո՞նք են Նիգերիայի հիմնական լեզուները:")</f>
        <v>որո՞նք են Նիգերիայի հիմնական լեզուները:</v>
      </c>
      <c r="D138" s="3" t="str">
        <f>IFERROR(__xludf.DUMMYFUNCTION("GOOGLETRANSLATE(B138,""en"",""hy"")"),"Նիգերիայի հիմնական լեզուներն են հաուսան, իգբոն և յորուբան։")</f>
        <v>Նիգերիայի հիմնական լեզուներն են հաուսան, իգբոն և յորուբան։</v>
      </c>
    </row>
    <row r="139">
      <c r="A139" s="1" t="s">
        <v>278</v>
      </c>
      <c r="B139" s="2" t="s">
        <v>279</v>
      </c>
      <c r="C139" s="3" t="str">
        <f>IFERROR(__xludf.DUMMYFUNCTION("GOOGLETRANSLATE(A139,""en"",""hy"")"),"ինչ աշխատանք է կատարել Բեն Ֆրանկլինը:")</f>
        <v>ինչ աշխատանք է կատարել Բեն Ֆրանկլինը:</v>
      </c>
      <c r="D139" s="3" t="str">
        <f>IFERROR(__xludf.DUMMYFUNCTION("GOOGLETRANSLATE(B139,""en"",""hy"")"),"Բեն Ֆրանկլինն իր կյանքի ընթացքում զբաղեցրել է բազմաթիվ աշխատատեղեր, այդ թվում՝ տպագրիչ, հեղինակ, գյուտարար, փոստատար և դիվանագետ:")</f>
        <v>Բեն Ֆրանկլինն իր կյանքի ընթացքում զբաղեցրել է բազմաթիվ աշխատատեղեր, այդ թվում՝ տպագրիչ, հեղինակ, գյուտարար, փոստատար և դիվանագետ:</v>
      </c>
    </row>
    <row r="140">
      <c r="A140" s="1" t="s">
        <v>280</v>
      </c>
      <c r="B140" s="2" t="s">
        <v>281</v>
      </c>
      <c r="C140" s="3" t="str">
        <f>IFERROR(__xludf.DUMMYFUNCTION("GOOGLETRANSLATE(A140,""en"",""hy"")"),"ո՞ր Աստվածաշնչին է հետևում կաթոլիկ եկեղեցին:")</f>
        <v>ո՞ր Աստվածաշնչին է հետևում կաթոլիկ եկեղեցին:</v>
      </c>
      <c r="D140" s="3" t="str">
        <f>IFERROR(__xludf.DUMMYFUNCTION("GOOGLETRANSLATE(B140,""en"",""hy"")"),"Կաթոլիկ եկեղեցին հետևում է Աստվածաշնչին, որը ներառում է Հին Կտակարանը և Նոր Կտակարանը:")</f>
        <v>Կաթոլիկ եկեղեցին հետևում է Աստվածաշնչին, որը ներառում է Հին Կտակարանը և Նոր Կտակարանը:</v>
      </c>
    </row>
    <row r="141">
      <c r="A141" s="1" t="s">
        <v>282</v>
      </c>
      <c r="B141" s="2" t="s">
        <v>283</v>
      </c>
      <c r="C141" s="3" t="str">
        <f>IFERROR(__xludf.DUMMYFUNCTION("GOOGLETRANSLATE(A141,""en"",""hy"")"),"Ո՞վ է խաղում լոլա նապաստակի Looney Tunes շոուում:")</f>
        <v>Ո՞վ է խաղում լոլա նապաստակի Looney Tunes շոուում:</v>
      </c>
      <c r="D141" s="3" t="str">
        <f>IFERROR(__xludf.DUMMYFUNCTION("GOOGLETRANSLATE(B141,""en"",""hy"")"),"Քրիստեն Ուիգ.")</f>
        <v>Քրիստեն Ուիգ.</v>
      </c>
    </row>
    <row r="142">
      <c r="A142" s="1" t="s">
        <v>284</v>
      </c>
      <c r="B142" s="2" t="s">
        <v>285</v>
      </c>
      <c r="C142" s="3" t="str">
        <f>IFERROR(__xludf.DUMMYFUNCTION("GOOGLETRANSLATE(A142,""en"",""hy"")"),"ո՞ր մարզադաշտում էին խաղում Չիկագոյի կարդինալները:")</f>
        <v>ո՞ր մարզադաշտում էին խաղում Չիկագոյի կարդինալները:</v>
      </c>
      <c r="D142" s="3" t="str">
        <f>IFERROR(__xludf.DUMMYFUNCTION("GOOGLETRANSLATE(B142,""en"",""hy"")"),"«Չիկագո կարդինալսը» խաղում էր «Կոմիսկի Պարկում»:")</f>
        <v>«Չիկագո կարդինալսը» խաղում էր «Կոմիսկի Պարկում»:</v>
      </c>
    </row>
    <row r="143">
      <c r="A143" s="1" t="s">
        <v>286</v>
      </c>
      <c r="B143" s="2" t="s">
        <v>287</v>
      </c>
      <c r="C143" s="3" t="str">
        <f>IFERROR(__xludf.DUMMYFUNCTION("GOOGLETRANSLATE(A143,""en"",""hy"")"),"ո՞ւմ հետ ամուսնացավ Ռուֆուս Ուեյնրայթը:")</f>
        <v>ո՞ւմ հետ ամուսնացավ Ռուֆուս Ուեյնրայթը:</v>
      </c>
      <c r="D143" s="3" t="str">
        <f>IFERROR(__xludf.DUMMYFUNCTION("GOOGLETRANSLATE(B143,""en"",""hy"")"),"Ռուֆուս Ուեյնրայթն ամուսնացած է Յորն Վայսբրոդտի հետ։")</f>
        <v>Ռուֆուս Ուեյնրայթն ամուսնացած է Յորն Վայսբրոդտի հետ։</v>
      </c>
    </row>
    <row r="144">
      <c r="A144" s="1" t="s">
        <v>288</v>
      </c>
      <c r="B144" s="2" t="s">
        <v>289</v>
      </c>
      <c r="C144" s="3" t="str">
        <f>IFERROR(__xludf.DUMMYFUNCTION("GOOGLETRANSLATE(A144,""en"",""hy"")"),"որտեղ է ք.ս. Լյուիսը քոլեջ գնա՞")</f>
        <v>որտեղ է ք.ս. Լյուիսը քոլեջ գնա՞</v>
      </c>
      <c r="D144" s="3" t="str">
        <f>IFERROR(__xludf.DUMMYFUNCTION("GOOGLETRANSLATE(B144,""en"",""hy"")"),"C.S. Lewis-ը սովորել է Օքսֆորդի համալսարանի քոլեջում:")</f>
        <v>C.S. Lewis-ը սովորել է Օքսֆորդի համալսարանի քոլեջում:</v>
      </c>
    </row>
    <row r="145">
      <c r="A145" s="1" t="s">
        <v>290</v>
      </c>
      <c r="B145" s="2" t="s">
        <v>291</v>
      </c>
      <c r="C145" s="3" t="str">
        <f>IFERROR(__xludf.DUMMYFUNCTION("GOOGLETRANSLATE(A145,""en"",""hy"")"),"ի՞նչ է սովորել Նիկ Քլեգը համալսարանում:")</f>
        <v>ի՞նչ է սովորել Նիկ Քլեգը համալսարանում:</v>
      </c>
      <c r="D145" s="3" t="str">
        <f>IFERROR(__xludf.DUMMYFUNCTION("GOOGLETRANSLATE(B145,""en"",""hy"")"),"Նիք Քլեգը հնագիտության և մարդաբանության ուսումնասիրություն է կատարել Քեմբրիջի համալսարանում:")</f>
        <v>Նիք Քլեգը հնագիտության և մարդաբանության ուսումնասիրություն է կատարել Քեմբրիջի համալսարանում:</v>
      </c>
    </row>
    <row r="146">
      <c r="A146" s="1" t="s">
        <v>292</v>
      </c>
      <c r="B146" s="2" t="s">
        <v>293</v>
      </c>
      <c r="C146" s="3" t="str">
        <f>IFERROR(__xludf.DUMMYFUNCTION("GOOGLETRANSLATE(A146,""en"",""hy"")"),"ով է Եվրոպական միության նախագահը 2011թ.")</f>
        <v>ով է Եվրոպական միության նախագահը 2011թ.</v>
      </c>
      <c r="D146" s="3" t="str">
        <f>IFERROR(__xludf.DUMMYFUNCTION("GOOGLETRANSLATE(B146,""en"",""hy"")"),"Եվրամիության նախագահ չկա. Եվրոպական խորհուրդը ղեկավարում է նախագահը, որի լիազորությունները սահմանափակվում են երկուսուկես տարով։ 2011 թվականին Եվրոպական խորհրդի նախագահն էր Հերման վան Ռոմպեյը։")</f>
        <v>Եվրամիության նախագահ չկա. Եվրոպական խորհուրդը ղեկավարում է նախագահը, որի լիազորությունները սահմանափակվում են երկուսուկես տարով։ 2011 թվականին Եվրոպական խորհրդի նախագահն էր Հերման վան Ռոմպեյը։</v>
      </c>
    </row>
    <row r="147">
      <c r="A147" s="1" t="s">
        <v>294</v>
      </c>
      <c r="B147" s="2" t="s">
        <v>295</v>
      </c>
      <c r="C147" s="3" t="str">
        <f>IFERROR(__xludf.DUMMYFUNCTION("GOOGLETRANSLATE(A147,""en"",""hy"")"),"Ո՞ր դպրոցն է սովորել Քեսսի Բերնալը:")</f>
        <v>Ո՞ր դպրոցն է սովորել Քեսսի Բերնալը:</v>
      </c>
      <c r="D147" s="3" t="str">
        <f>IFERROR(__xludf.DUMMYFUNCTION("GOOGLETRANSLATE(B147,""en"",""hy"")"),"Քեյսի Բերնալը հաճախել է Կոլումբայնի ավագ դպրոց:")</f>
        <v>Քեյսի Բերնալը հաճախել է Կոլումբայնի ավագ դպրոց:</v>
      </c>
    </row>
    <row r="148">
      <c r="A148" s="1" t="s">
        <v>296</v>
      </c>
      <c r="B148" s="2" t="s">
        <v>297</v>
      </c>
      <c r="C148" s="3" t="str">
        <f>IFERROR(__xludf.DUMMYFUNCTION("GOOGLETRANSLATE(A148,""en"",""hy"")"),"ինչ ֆիլմ է գրել Ջեյմս Ֆրեյը")</f>
        <v>ինչ ֆիլմ է գրել Ջեյմս Ֆրեյը</v>
      </c>
      <c r="D148" s="3" t="str">
        <f>IFERROR(__xludf.DUMMYFUNCTION("GOOGLETRANSLATE(B148,""en"",""hy"")"),"Ջեյմս Ֆրեյը գրել է «Միլիոն փոքրիկ կտոր» գիրքը, որը հետագայում ադապտացվել է նույն վերնագրով ֆիլմի։")</f>
        <v>Ջեյմս Ֆրեյը գրել է «Միլիոն փոքրիկ կտոր» գիրքը, որը հետագայում ադապտացվել է նույն վերնագրով ֆիլմի։</v>
      </c>
    </row>
    <row r="149">
      <c r="A149" s="1" t="s">
        <v>298</v>
      </c>
      <c r="B149" s="2" t="s">
        <v>299</v>
      </c>
      <c r="C149" s="3" t="str">
        <f>IFERROR(__xludf.DUMMYFUNCTION("GOOGLETRANSLATE(A149,""en"",""hy"")"),"ինչի՞ համար է Ռոբ Քարդաշյանը վիրահատվել.")</f>
        <v>ինչի՞ համար է Ռոբ Քարդաշյանը վիրահատվել.</v>
      </c>
      <c r="D149" s="3" t="str">
        <f>IFERROR(__xludf.DUMMYFUNCTION("GOOGLETRANSLATE(B149,""en"",""hy"")"),"Ռոբ Քարդաշյանը հրապարակավ չի հայտնել, որ վիրահատության է ենթարկվել։")</f>
        <v>Ռոբ Քարդաշյանը հրապարակավ չի հայտնել, որ վիրահատության է ենթարկվել։</v>
      </c>
    </row>
    <row r="150">
      <c r="A150" s="1" t="s">
        <v>300</v>
      </c>
      <c r="B150" s="2" t="s">
        <v>301</v>
      </c>
      <c r="C150" s="3" t="str">
        <f>IFERROR(__xludf.DUMMYFUNCTION("GOOGLETRANSLATE(A150,""en"",""hy"")"),"ինչ արեց ս. Մեթյու արա?")</f>
        <v>ինչ արեց ս. Մեթյու արա?</v>
      </c>
      <c r="D150" s="3" t="str">
        <f>IFERROR(__xludf.DUMMYFUNCTION("GOOGLETRANSLATE(B150,""en"",""hy"")"),"Սուրբ Մատթեոսը Հիսուս Քրիստոսի տասներկու առաքյալներից մեկն էր:")</f>
        <v>Սուրբ Մատթեոսը Հիսուս Քրիստոսի տասներկու առաքյալներից մեկն էր:</v>
      </c>
    </row>
    <row r="151">
      <c r="A151" s="1" t="s">
        <v>302</v>
      </c>
      <c r="B151" s="2" t="s">
        <v>303</v>
      </c>
      <c r="C151" s="3" t="str">
        <f>IFERROR(__xludf.DUMMYFUNCTION("GOOGLETRANSLATE(A151,""en"",""hy"")"),"Ե՞րբ է Հարրի Փոթերը դուրս գալիս DVD Deathly Hallows 2-ի վրա:")</f>
        <v>Ե՞րբ է Հարրի Փոթերը դուրս գալիս DVD Deathly Hallows 2-ի վրա:</v>
      </c>
      <c r="D151" s="3" t="str">
        <f>IFERROR(__xludf.DUMMYFUNCTION("GOOGLETRANSLATE(B151,""en"",""hy"")"),"Հարի Փոթերի և մահվան պարգևների 2-րդ մասի DVD-ն թողարկվել է 2011 թվականի նոյեմբերի 11-ին։")</f>
        <v>Հարի Փոթերի և մահվան պարգևների 2-րդ մասի DVD-ն թողարկվել է 2011 թվականի նոյեմբերի 11-ին։</v>
      </c>
    </row>
    <row r="152">
      <c r="A152" s="1" t="s">
        <v>304</v>
      </c>
      <c r="B152" s="2" t="s">
        <v>305</v>
      </c>
      <c r="C152" s="3" t="str">
        <f>IFERROR(__xludf.DUMMYFUNCTION("GOOGLETRANSLATE(A152,""en"",""hy"")"),"ո՞րն էր Նելսոն Մանդելայի կրոնը:")</f>
        <v>ո՞րն էր Նելսոն Մանդելայի կրոնը:</v>
      </c>
      <c r="D152" s="3" t="str">
        <f>IFERROR(__xludf.DUMMYFUNCTION("GOOGLETRANSLATE(B152,""en"",""hy"")"),"Նելսոն Մանդելան քրիստոնյա էր։")</f>
        <v>Նելսոն Մանդելան քրիստոնյա էր։</v>
      </c>
    </row>
    <row r="153">
      <c r="A153" s="1" t="s">
        <v>306</v>
      </c>
      <c r="B153" s="2" t="s">
        <v>307</v>
      </c>
      <c r="C153" s="3" t="str">
        <f>IFERROR(__xludf.DUMMYFUNCTION("GOOGLETRANSLATE(A153,""en"",""hy"")"),"ով կհաղթի 2011 nhl stanley գավաթը:")</f>
        <v>ով կհաղթի 2011 nhl stanley գավաթը:</v>
      </c>
      <c r="D153" s="3" t="str">
        <f>IFERROR(__xludf.DUMMYFUNCTION("GOOGLETRANSLATE(B153,""en"",""hy"")"),"Ես չեմ կարող կանխատեսել ապագան, ուստի չգիտեմ, թե ով կհաղթի 2011 NHL Stanley Cup-ը:")</f>
        <v>Ես չեմ կարող կանխատեսել ապագան, ուստի չգիտեմ, թե ով կհաղթի 2011 NHL Stanley Cup-ը:</v>
      </c>
    </row>
    <row r="154">
      <c r="A154" s="1" t="s">
        <v>308</v>
      </c>
      <c r="B154" s="2" t="s">
        <v>309</v>
      </c>
      <c r="C154" s="3" t="str">
        <f>IFERROR(__xludf.DUMMYFUNCTION("GOOGLETRANSLATE(A154,""en"",""hy"")"),"ինչո՞վ է հայտնի Հենրի կավը:")</f>
        <v>ինչո՞վ է հայտնի Հենրի կավը:</v>
      </c>
      <c r="D154" s="3" t="str">
        <f>IFERROR(__xludf.DUMMYFUNCTION("GOOGLETRANSLATE(B154,""en"",""hy"")"),"Հենրի Քլեյը հայտնի է որպես պետական ​​և քաղաքական գործիչ իր դերով, հատկապես իր աշխատանքով ամերիկյան արտաքին քաղաքականության ձևավորման և իր ամերիկյան համակարգի միջոցով տնտեսական զարգացման խթանման գործում:")</f>
        <v>Հենրի Քլեյը հայտնի է որպես պետական ​​և քաղաքական գործիչ իր դերով, հատկապես իր աշխատանքով ամերիկյան արտաքին քաղաքականության ձևավորման և իր ամերիկյան համակարգի միջոցով տնտեսական զարգացման խթանման գործում:</v>
      </c>
    </row>
    <row r="155">
      <c r="A155" s="1" t="s">
        <v>310</v>
      </c>
      <c r="B155" s="2" t="s">
        <v>311</v>
      </c>
      <c r="C155" s="3" t="str">
        <f>IFERROR(__xludf.DUMMYFUNCTION("GOOGLETRANSLATE(A155,""en"",""hy"")"),"ում հետ ամուսնացավ Էքսլ Ռոուզը:")</f>
        <v>ում հետ ամուսնացավ Էքսլ Ռոուզը:</v>
      </c>
      <c r="D155" s="3" t="str">
        <f>IFERROR(__xludf.DUMMYFUNCTION("GOOGLETRANSLATE(B155,""en"",""hy"")"),"Էքսլ Ռոուզն ամուսնացավ Էրին Էվերլիի հետ։")</f>
        <v>Էքսլ Ռոուզն ամուսնացավ Էրին Էվերլիի հետ։</v>
      </c>
    </row>
    <row r="156">
      <c r="A156" s="1" t="s">
        <v>312</v>
      </c>
      <c r="B156" s="2" t="s">
        <v>313</v>
      </c>
      <c r="C156" s="3" t="str">
        <f>IFERROR(__xludf.DUMMYFUNCTION("GOOGLETRANSLATE(A156,""en"",""hy"")"),"Ո՞ր տարիներին է Բրետ Ֆավրը գնում սուպեր գավաթ:")</f>
        <v>Ո՞ր տարիներին է Բրետ Ֆավրը գնում սուպեր գավաթ:</v>
      </c>
      <c r="D156" s="3" t="str">
        <f>IFERROR(__xludf.DUMMYFUNCTION("GOOGLETRANSLATE(B156,""en"",""hy"")"),"Բրետ Ֆավրը մասնակցել է Super Bowl-ին 1997 և 2010 թվականներին:")</f>
        <v>Բրետ Ֆավրը մասնակցել է Super Bowl-ին 1997 և 2010 թվականներին:</v>
      </c>
    </row>
    <row r="157">
      <c r="A157" s="1" t="s">
        <v>314</v>
      </c>
      <c r="B157" s="2" t="s">
        <v>315</v>
      </c>
      <c r="C157" s="3" t="str">
        <f>IFERROR(__xludf.DUMMYFUNCTION("GOOGLETRANSLATE(A157,""en"",""hy"")"),"ինչպես են կոչվում Իսպանիայի փողերը")</f>
        <v>ինչպես են կոչվում Իսպանիայի փողերը</v>
      </c>
      <c r="D157" s="3" t="str">
        <f>IFERROR(__xludf.DUMMYFUNCTION("GOOGLETRANSLATE(B157,""en"",""hy"")"),"Իսպանիայի փողերը կոչվում են եվրո։")</f>
        <v>Իսպանիայի փողերը կոչվում են եվրո։</v>
      </c>
    </row>
    <row r="158">
      <c r="A158" s="1" t="s">
        <v>316</v>
      </c>
      <c r="B158" s="2" t="s">
        <v>317</v>
      </c>
      <c r="C158" s="3" t="str">
        <f>IFERROR(__xludf.DUMMYFUNCTION("GOOGLETRANSLATE(A158,""en"",""hy"")"),"որտեղ են պատրաստվում արևի ճառագայթով միկրոալիքային վառարանները:")</f>
        <v>որտեղ են պատրաստվում արևի ճառագայթով միկրոալիքային վառարանները:</v>
      </c>
      <c r="D158" s="3" t="str">
        <f>IFERROR(__xludf.DUMMYFUNCTION("GOOGLETRANSLATE(B158,""en"",""hy"")"),"Sunbeam միկրոալիքային վառարանները սովորաբար արտադրվում են Չինաստանում:")</f>
        <v>Sunbeam միկրոալիքային վառարանները սովորաբար արտադրվում են Չինաստանում:</v>
      </c>
    </row>
    <row r="159">
      <c r="A159" s="1" t="s">
        <v>318</v>
      </c>
      <c r="B159" s="2" t="s">
        <v>319</v>
      </c>
      <c r="C159" s="3" t="str">
        <f>IFERROR(__xludf.DUMMYFUNCTION("GOOGLETRANSLATE(A159,""en"",""hy"")"),"ով է ընտրվել Ֆիլիպինների նախագահ.")</f>
        <v>ով է ընտրվել Ֆիլիպինների նախագահ.</v>
      </c>
      <c r="D159" s="3" t="str">
        <f>IFERROR(__xludf.DUMMYFUNCTION("GOOGLETRANSLATE(B159,""en"",""hy"")"),"Ռոդրիգո Դուտերտե.")</f>
        <v>Ռոդրիգո Դուտերտե.</v>
      </c>
    </row>
    <row r="160">
      <c r="A160" s="1" t="s">
        <v>320</v>
      </c>
      <c r="B160" s="2" t="s">
        <v>321</v>
      </c>
      <c r="C160" s="3" t="str">
        <f>IFERROR(__xludf.DUMMYFUNCTION("GOOGLETRANSLATE(A160,""en"",""hy"")"),"Ո՞ր քաղաքներ է թռչում ryanair-ը:")</f>
        <v>Ո՞ր քաղաքներ է թռչում ryanair-ը:</v>
      </c>
      <c r="D160" s="3" t="str">
        <f>IFERROR(__xludf.DUMMYFUNCTION("GOOGLETRANSLATE(B160,""en"",""hy"")"),"Ryanair-ը թռչում է Եվրոպայի և Հյուսիսային Աֆրիկայի ավելի քան 200 քաղաքներ:")</f>
        <v>Ryanair-ը թռչում է Եվրոպայի և Հյուսիսային Աֆրիկայի ավելի քան 200 քաղաքներ:</v>
      </c>
    </row>
    <row r="161">
      <c r="A161" s="1" t="s">
        <v>322</v>
      </c>
      <c r="B161" s="2" t="s">
        <v>323</v>
      </c>
      <c r="C161" s="3" t="str">
        <f>IFERROR(__xludf.DUMMYFUNCTION("GOOGLETRANSLATE(A161,""en"",""hy"")"),"Ո՞ր ժամային գոտին է Օկլահոմա նահանգը:")</f>
        <v>Ո՞ր ժամային գոտին է Օկլահոմա նահանգը:</v>
      </c>
      <c r="D161" s="3" t="str">
        <f>IFERROR(__xludf.DUMMYFUNCTION("GOOGLETRANSLATE(B161,""en"",""hy"")"),"Օկլահոմա նահանգը գտնվում է Կենտրոնական ժամային գոտում։")</f>
        <v>Օկլահոմա նահանգը գտնվում է Կենտրոնական ժամային գոտում։</v>
      </c>
    </row>
    <row r="162">
      <c r="A162" s="1" t="s">
        <v>324</v>
      </c>
      <c r="B162" s="2" t="s">
        <v>325</v>
      </c>
      <c r="C162" s="3" t="str">
        <f>IFERROR(__xludf.DUMMYFUNCTION("GOOGLETRANSLATE(A162,""en"",""hy"")"),"ո՞վ էր համարվում Պողոս առաքյալը։")</f>
        <v>ո՞վ էր համարվում Պողոս առաքյալը։</v>
      </c>
      <c r="D162" s="3" t="str">
        <f>IFERROR(__xludf.DUMMYFUNCTION("GOOGLETRANSLATE(B162,""en"",""hy"")"),"Պողոս առաքյալը համարվում է քրիստոնեության տարածման առանցքային դեմքերից մեկը։")</f>
        <v>Պողոս առաքյալը համարվում է քրիստոնեության տարածման առանցքային դեմքերից մեկը։</v>
      </c>
    </row>
    <row r="163">
      <c r="A163" s="1" t="s">
        <v>326</v>
      </c>
      <c r="B163" s="2" t="s">
        <v>327</v>
      </c>
      <c r="C163" s="3" t="str">
        <f>IFERROR(__xludf.DUMMYFUNCTION("GOOGLETRANSLATE(A163,""en"",""hy"")"),"ինչ արժույթ է օգտագործում Օնտարիո Կանադան:")</f>
        <v>ինչ արժույթ է օգտագործում Օնտարիո Կանադան:</v>
      </c>
      <c r="D163" s="3" t="str">
        <f>IFERROR(__xludf.DUMMYFUNCTION("GOOGLETRANSLATE(B163,""en"",""hy"")"),"Կանադական դոլար")</f>
        <v>Կանադական դոլար</v>
      </c>
    </row>
    <row r="164">
      <c r="A164" s="1" t="s">
        <v>328</v>
      </c>
      <c r="B164" s="2" t="s">
        <v>329</v>
      </c>
      <c r="C164" s="3" t="str">
        <f>IFERROR(__xludf.DUMMYFUNCTION("GOOGLETRANSLATE(A164,""en"",""hy"")"),"ինչ գործիք է աշխատում Ջասթին Բիբերը")</f>
        <v>ինչ գործիք է աշխատում Ջասթին Բիբերը</v>
      </c>
      <c r="D164" s="3" t="str">
        <f>IFERROR(__xludf.DUMMYFUNCTION("GOOGLETRANSLATE(B164,""en"",""hy"")"),"Ջասթին Բիբերը կիթառ է նվագում։")</f>
        <v>Ջասթին Բիբերը կիթառ է նվագում։</v>
      </c>
    </row>
    <row r="165">
      <c r="A165" s="1" t="s">
        <v>330</v>
      </c>
      <c r="B165" s="2" t="s">
        <v>331</v>
      </c>
      <c r="C165" s="3" t="str">
        <f>IFERROR(__xludf.DUMMYFUNCTION("GOOGLETRANSLATE(A165,""en"",""hy"")"),"ո՞ր թիմում առաջինը խաղաց Շաքը:")</f>
        <v>ո՞ր թիմում առաջինը խաղաց Շաքը:</v>
      </c>
      <c r="D165" s="3" t="str">
        <f>IFERROR(__xludf.DUMMYFUNCTION("GOOGLETRANSLATE(B165,""en"",""hy"")"),"Օրլանդո Մեջիք.")</f>
        <v>Օրլանդո Մեջիք.</v>
      </c>
    </row>
    <row r="166">
      <c r="A166" s="1" t="s">
        <v>332</v>
      </c>
      <c r="B166" s="2" t="s">
        <v>333</v>
      </c>
      <c r="C166" s="3" t="str">
        <f>IFERROR(__xludf.DUMMYFUNCTION("GOOGLETRANSLATE(A166,""en"",""hy"")"),"որտեղ էր Քենեդին, երբ կրակեցին:")</f>
        <v>որտեղ էր Քենեդին, երբ կրակեցին:</v>
      </c>
      <c r="D166" s="3" t="str">
        <f>IFERROR(__xludf.DUMMYFUNCTION("GOOGLETRANSLATE(B166,""en"",""hy"")"),"Քենեդին եղել է Տեխաս նահանգի Դալլաս քաղաքում, երբ գնդակահարվել է:")</f>
        <v>Քենեդին եղել է Տեխաս նահանգի Դալլաս քաղաքում, երբ գնդակահարվել է:</v>
      </c>
    </row>
    <row r="167">
      <c r="A167" s="1" t="s">
        <v>334</v>
      </c>
      <c r="B167" s="2" t="s">
        <v>335</v>
      </c>
      <c r="C167" s="3" t="str">
        <f>IFERROR(__xludf.DUMMYFUNCTION("GOOGLETRANSLATE(A167,""en"",""hy"")"),"ո՞ւմ համար է խաղում Դերեկ Ֆիշերը")</f>
        <v>ո՞ւմ համար է խաղում Դերեկ Ֆիշերը</v>
      </c>
      <c r="D167" s="3" t="str">
        <f>IFERROR(__xludf.DUMMYFUNCTION("GOOGLETRANSLATE(B167,""en"",""hy"")"),"Դերեկ Ֆիշերն իր կարիերայի ընթացքում խաղացել է բազմաթիվ NBA թիմերում, այդ թվում՝ Լոս Անջելես Լեյքերսում, Օկլահոմա Սիթի Թանդերում, Գոլդեն Սթեյթ Ուորիորսում և Յուտա Ջազում։")</f>
        <v>Դերեկ Ֆիշերն իր կարիերայի ընթացքում խաղացել է բազմաթիվ NBA թիմերում, այդ թվում՝ Լոս Անջելես Լեյքերսում, Օկլահոմա Սիթի Թանդերում, Գոլդեն Սթեյթ Ուորիորսում և Յուտա Ջազում։</v>
      </c>
    </row>
    <row r="168">
      <c r="A168" s="1" t="s">
        <v>336</v>
      </c>
      <c r="B168" s="2" t="s">
        <v>337</v>
      </c>
      <c r="C168" s="3" t="str">
        <f>IFERROR(__xludf.DUMMYFUNCTION("GOOGLETRANSLATE(A168,""en"",""hy"")"),"որտեղ է տեղի ունեցել Քեյսի Էնթոնիի գործը:")</f>
        <v>որտեղ է տեղի ունեցել Քեյսի Էնթոնիի գործը:</v>
      </c>
      <c r="D168" s="3" t="str">
        <f>IFERROR(__xludf.DUMMYFUNCTION("GOOGLETRANSLATE(B168,""en"",""hy"")"),"Քեյսի Էնթոնիի գործը տեղի է ունեցել Ֆլորիդայի Օռլանդո քաղաքում։")</f>
        <v>Քեյսի Էնթոնիի գործը տեղի է ունեցել Ֆլորիդայի Օռլանդո քաղաքում։</v>
      </c>
    </row>
    <row r="169">
      <c r="A169" s="1" t="s">
        <v>338</v>
      </c>
      <c r="B169" s="2" t="s">
        <v>339</v>
      </c>
      <c r="C169" s="3" t="str">
        <f>IFERROR(__xludf.DUMMYFUNCTION("GOOGLETRANSLATE(A169,""en"",""hy"")"),"որտե՞ղ է Քլինթոնը սովորել քոլեջում:")</f>
        <v>որտե՞ղ է Քլինթոնը սովորել քոլեջում:</v>
      </c>
      <c r="D169" s="3" t="str">
        <f>IFERROR(__xludf.DUMMYFUNCTION("GOOGLETRANSLATE(B169,""en"",""hy"")"),"Նախագահ Քլինթոնը հաճախել է Ջորջթաունի համալսարան, այնուհետև անցել է իրավաբանություն Յեյլի իրավաբանական դպրոցում:")</f>
        <v>Նախագահ Քլինթոնը հաճախել է Ջորջթաունի համալսարան, այնուհետև անցել է իրավաբանություն Յեյլի իրավաբանական դպրոցում:</v>
      </c>
    </row>
    <row r="170">
      <c r="A170" s="1" t="s">
        <v>340</v>
      </c>
      <c r="B170" s="2" t="s">
        <v>341</v>
      </c>
      <c r="C170" s="3" t="str">
        <f>IFERROR(__xludf.DUMMYFUNCTION("GOOGLETRANSLATE(A170,""en"",""hy"")"),"ո՞րն էր բեյսբոլի սկզբնական Սիեթլի թիմի անունը:")</f>
        <v>ո՞րն էր բեյսբոլի սկզբնական Սիեթլի թիմի անունը:</v>
      </c>
      <c r="D170" s="3" t="str">
        <f>IFERROR(__xludf.DUMMYFUNCTION("GOOGLETRANSLATE(B170,""en"",""hy"")"),"Սիեթլի բեյսբոլի սկզբնական թիմի անունն էր Seattle Pilots:")</f>
        <v>Սիեթլի բեյսբոլի սկզբնական թիմի անունն էր Seattle Pilots:</v>
      </c>
    </row>
    <row r="171">
      <c r="A171" s="1" t="s">
        <v>342</v>
      </c>
      <c r="B171" s="2" t="s">
        <v>343</v>
      </c>
      <c r="C171" s="3" t="str">
        <f>IFERROR(__xludf.DUMMYFUNCTION("GOOGLETRANSLATE(A171,""en"",""hy"")"),"ով էր գեներալ Քորնուալիսի ամերիկյան հեղափոխությունը:")</f>
        <v>ով էր գեներալ Քորնուալիսի ամերիկյան հեղափոխությունը:</v>
      </c>
      <c r="D171" s="3" t="str">
        <f>IFERROR(__xludf.DUMMYFUNCTION("GOOGLETRANSLATE(B171,""en"",""hy"")"),"Գեներալ Քորնուալիսը բրիտանացի գեներալ էր ամերիկյան հեղափոխության ժամանակ։")</f>
        <v>Գեներալ Քորնուալիսը բրիտանացի գեներալ էր ամերիկյան հեղափոխության ժամանակ։</v>
      </c>
    </row>
    <row r="172">
      <c r="A172" s="1" t="s">
        <v>344</v>
      </c>
      <c r="B172" s="2" t="s">
        <v>345</v>
      </c>
      <c r="C172" s="3" t="str">
        <f>IFERROR(__xludf.DUMMYFUNCTION("GOOGLETRANSLATE(A172,""en"",""hy"")"),"ինչպիսի՞ միապետություն ուներ Անգլիան։")</f>
        <v>ինչպիսի՞ միապետություն ուներ Անգլիան։</v>
      </c>
      <c r="D172" s="3" t="str">
        <f>IFERROR(__xludf.DUMMYFUNCTION("GOOGLETRANSLATE(B172,""en"",""hy"")"),"Սահմանադրական միապետություն.")</f>
        <v>Սահմանադրական միապետություն.</v>
      </c>
    </row>
    <row r="173">
      <c r="A173" s="1" t="s">
        <v>346</v>
      </c>
      <c r="B173" s="2" t="s">
        <v>347</v>
      </c>
      <c r="C173" s="3" t="str">
        <f>IFERROR(__xludf.DUMMYFUNCTION("GOOGLETRANSLATE(A173,""en"",""hy"")"),"Ե՞րբ են սկսվել Տեխասի ռեյնջերները:")</f>
        <v>Ե՞րբ են սկսվել Տեխասի ռեյնջերները:</v>
      </c>
      <c r="D173" s="3" t="str">
        <f>IFERROR(__xludf.DUMMYFUNCTION("GOOGLETRANSLATE(B173,""en"",""hy"")"),"Texas Rangers-ը ստեղծվել է 1823 թվականին։")</f>
        <v>Texas Rangers-ը ստեղծվել է 1823 թվականին։</v>
      </c>
    </row>
    <row r="174">
      <c r="A174" s="1" t="s">
        <v>348</v>
      </c>
      <c r="B174" s="2" t="s">
        <v>349</v>
      </c>
      <c r="C174" s="3" t="str">
        <f>IFERROR(__xludf.DUMMYFUNCTION("GOOGLETRANSLATE(A174,""en"",""hy"")"),"ո՞ւր գնաց Հյուսթոն Օյլերս ֆուտբոլային թիմը:")</f>
        <v>ո՞ւր գնաց Հյուսթոն Օյլերս ֆուտբոլային թիմը:</v>
      </c>
      <c r="D174" s="3" t="str">
        <f>IFERROR(__xludf.DUMMYFUNCTION("GOOGLETRANSLATE(B174,""en"",""hy"")"),"Houston Oilers ֆուտբոլային թիմը տեղափոխվեց Թենեսի և դարձավ Tennessee Titans-ը։")</f>
        <v>Houston Oilers ֆուտբոլային թիմը տեղափոխվեց Թենեսի և դարձավ Tennessee Titans-ը։</v>
      </c>
    </row>
    <row r="175">
      <c r="A175" s="1" t="s">
        <v>350</v>
      </c>
      <c r="B175" s="2" t="s">
        <v>351</v>
      </c>
      <c r="C175" s="3" t="str">
        <f>IFERROR(__xludf.DUMMYFUNCTION("GOOGLETRANSLATE(A175,""en"",""hy"")"),"ինչ են ասում ֆուտբոլը իսպաներեն")</f>
        <v>ինչ են ասում ֆուտբոլը իսպաներեն</v>
      </c>
      <c r="D175" s="3" t="str">
        <f>IFERROR(__xludf.DUMMYFUNCTION("GOOGLETRANSLATE(B175,""en"",""hy"")"),"Ֆուտբոլ.")</f>
        <v>Ֆուտբոլ.</v>
      </c>
    </row>
    <row r="176">
      <c r="A176" s="1" t="s">
        <v>352</v>
      </c>
      <c r="B176" s="2" t="s">
        <v>353</v>
      </c>
      <c r="C176" s="3" t="str">
        <f>IFERROR(__xludf.DUMMYFUNCTION("GOOGLETRANSLATE(A176,""en"",""hy"")"),"որտե՞ղ է Փոլի Պերետը քոլեջ հաճախել:")</f>
        <v>որտե՞ղ է Փոլի Պերետը քոլեջ հաճախել:</v>
      </c>
      <c r="D176" s="3" t="str">
        <f>IFERROR(__xludf.DUMMYFUNCTION("GOOGLETRANSLATE(B176,""en"",""hy"")"),"Փոլի Պերետը սովորել է Վրաստանի Վալդոստայի պետական ​​համալսարանում:")</f>
        <v>Փոլի Պերետը սովորել է Վրաստանի Վալդոստայի պետական ​​համալսարանում:</v>
      </c>
    </row>
    <row r="177">
      <c r="A177" s="1" t="s">
        <v>354</v>
      </c>
      <c r="B177" s="2" t="s">
        <v>355</v>
      </c>
      <c r="C177" s="3" t="str">
        <f>IFERROR(__xludf.DUMMYFUNCTION("GOOGLETRANSLATE(A177,""en"",""hy"")"),"որտեղ է ապրում Նեյլս կռունկը:")</f>
        <v>որտեղ է ապրում Նեյլս կռունկը:</v>
      </c>
      <c r="D177" s="3" t="str">
        <f>IFERROR(__xludf.DUMMYFUNCTION("GOOGLETRANSLATE(B177,""en"",""hy"")"),"Նայլս Քրեյնը ապրում է Սիեթլում։")</f>
        <v>Նայլս Քրեյնը ապրում է Սիեթլում։</v>
      </c>
    </row>
    <row r="178">
      <c r="A178" s="1" t="s">
        <v>356</v>
      </c>
      <c r="B178" s="2" t="s">
        <v>357</v>
      </c>
      <c r="C178" s="3" t="str">
        <f>IFERROR(__xludf.DUMMYFUNCTION("GOOGLETRANSLATE(A178,""en"",""hy"")"),"որտեղ է ծնվել Գաբրիել Ֆորը.")</f>
        <v>որտեղ է ծնվել Գաբրիել Ֆորը.</v>
      </c>
      <c r="D178" s="3" t="str">
        <f>IFERROR(__xludf.DUMMYFUNCTION("GOOGLETRANSLATE(B178,""en"",""hy"")"),"Գաբրիել Ֆորեն ծնվել է Ֆրանսիայի Պամիեր քաղաքում։")</f>
        <v>Գաբրիել Ֆորեն ծնվել է Ֆրանսիայի Պամիեր քաղաքում։</v>
      </c>
    </row>
    <row r="179">
      <c r="A179" s="1" t="s">
        <v>358</v>
      </c>
      <c r="B179" s="2" t="s">
        <v>359</v>
      </c>
      <c r="C179" s="3" t="str">
        <f>IFERROR(__xludf.DUMMYFUNCTION("GOOGLETRANSLATE(A179,""en"",""hy"")"),"ով է Կենտուկիի նահանգապետը 2012 թ.")</f>
        <v>ով է Կենտուկիի նահանգապետը 2012 թ.</v>
      </c>
      <c r="D179" s="3" t="str">
        <f>IFERROR(__xludf.DUMMYFUNCTION("GOOGLETRANSLATE(B179,""en"",""hy"")"),"2012 թվականին Կենտուկիի նահանգապետը Սթիվ Բեշիրն էր։")</f>
        <v>2012 թվականին Կենտուկիի նահանգապետը Սթիվ Բեշիրն էր։</v>
      </c>
    </row>
    <row r="180">
      <c r="A180" s="1" t="s">
        <v>360</v>
      </c>
      <c r="B180" s="2" t="s">
        <v>361</v>
      </c>
      <c r="C180" s="3" t="str">
        <f>IFERROR(__xludf.DUMMYFUNCTION("GOOGLETRANSLATE(A180,""en"",""hy"")"),"ով է Միացյալ Նահանգների սենատորը 2010 թ.")</f>
        <v>ով է Միացյալ Նահանգների սենատորը 2010 թ.</v>
      </c>
      <c r="D180" s="3" t="str">
        <f>IFERROR(__xludf.DUMMYFUNCTION("GOOGLETRANSLATE(B180,""en"",""hy"")"),"ԱՄՆ-ի կոնկրետ սենատորը 2010 թվականին կախված կլիներ նահանգից։ Յուրաքանչյուր նահանգ ունի երկու սենատոր։")</f>
        <v>ԱՄՆ-ի կոնկրետ սենատորը 2010 թվականին կախված կլիներ նահանգից։ Յուրաքանչյուր նահանգ ունի երկու սենատոր։</v>
      </c>
    </row>
    <row r="181">
      <c r="A181" s="1" t="s">
        <v>362</v>
      </c>
      <c r="B181" s="2" t="s">
        <v>363</v>
      </c>
      <c r="C181" s="3" t="str">
        <f>IFERROR(__xludf.DUMMYFUNCTION("GOOGLETRANSLATE(A181,""en"",""hy"")"),"որտեղ տեղի ունեցավ դաշնակիցների զանգվածային ներխուժումը հյուսիսային Ֆրանսիա 1944 թվականի հունիսին:")</f>
        <v>որտեղ տեղի ունեցավ դաշնակիցների զանգվածային ներխուժումը հյուսիսային Ֆրանսիա 1944 թվականի հունիսին:</v>
      </c>
      <c r="D181" s="3" t="str">
        <f>IFERROR(__xludf.DUMMYFUNCTION("GOOGLETRANSLATE(B181,""en"",""hy"")"),"Նորմանդիայում տեղի ունեցավ դաշնակիցների զանգվածային ներխուժումը Ֆրանսիայի հյուսիս։")</f>
        <v>Նորմանդիայում տեղի ունեցավ դաշնակիցների զանգվածային ներխուժումը Ֆրանսիայի հյուսիս։</v>
      </c>
    </row>
    <row r="182">
      <c r="A182" s="1" t="s">
        <v>364</v>
      </c>
      <c r="B182" s="2" t="s">
        <v>365</v>
      </c>
      <c r="C182" s="3" t="str">
        <f>IFERROR(__xludf.DUMMYFUNCTION("GOOGLETRANSLATE(A182,""en"",""hy"")"),"ո՞ր երկրներն են Միացյալ Թագավորության մաս:")</f>
        <v>ո՞ր երկրներն են Միացյալ Թագավորության մաս:</v>
      </c>
      <c r="D182" s="3" t="str">
        <f>IFERROR(__xludf.DUMMYFUNCTION("GOOGLETRANSLATE(B182,""en"",""hy"")"),"Միացյալ Թագավորության մաս կազմող երկրներն են Անգլիան, Շոտլանդիան, Ուելսը և Հյուսիսային Իռլանդիան։")</f>
        <v>Միացյալ Թագավորության մաս կազմող երկրներն են Անգլիան, Շոտլանդիան, Ուելսը և Հյուսիսային Իռլանդիան։</v>
      </c>
    </row>
    <row r="183">
      <c r="A183" s="1" t="s">
        <v>366</v>
      </c>
      <c r="B183" s="2" t="s">
        <v>367</v>
      </c>
      <c r="C183" s="3" t="str">
        <f>IFERROR(__xludf.DUMMYFUNCTION("GOOGLETRANSLATE(A183,""en"",""hy"")"),"ո՞րն է Լոնդոնի փոստային կոդը:")</f>
        <v>ո՞րն է Լոնդոնի փոստային կոդը:</v>
      </c>
      <c r="D183" s="3" t="str">
        <f>IFERROR(__xludf.DUMMYFUNCTION("GOOGLETRANSLATE(B183,""en"",""hy"")"),"Լոնդոնի փոստային ինդեքսը տատանվում է կախված տարածքից:")</f>
        <v>Լոնդոնի փոստային ինդեքսը տատանվում է կախված տարածքից:</v>
      </c>
    </row>
    <row r="184">
      <c r="A184" s="1" t="s">
        <v>368</v>
      </c>
      <c r="B184" s="2" t="s">
        <v>369</v>
      </c>
      <c r="C184" s="3" t="str">
        <f>IFERROR(__xludf.DUMMYFUNCTION("GOOGLETRANSLATE(A184,""en"",""hy"")"),"ով է սպանել Վինսենթ Չին DVD-ն:")</f>
        <v>ով է սպանել Վինսենթ Չին DVD-ն:</v>
      </c>
      <c r="D184" s="3" t="str">
        <f>IFERROR(__xludf.DUMMYFUNCTION("GOOGLETRANSLATE(B184,""en"",""hy"")"),"Կներեք, բայց ես այդ տեղեկությունը չունեմ։")</f>
        <v>Կներեք, բայց ես այդ տեղեկությունը չունեմ։</v>
      </c>
    </row>
    <row r="185">
      <c r="A185" s="1" t="s">
        <v>370</v>
      </c>
      <c r="B185" s="2" t="s">
        <v>371</v>
      </c>
      <c r="C185" s="3" t="str">
        <f>IFERROR(__xludf.DUMMYFUNCTION("GOOGLETRANSLATE(A185,""en"",""hy"")"),"Ի՞նչ այլ գրքեր է գրել Ժյուլ Վեռնը:")</f>
        <v>Ի՞նչ այլ գրքեր է գրել Ժյուլ Վեռնը:</v>
      </c>
      <c r="D185" s="3" t="str">
        <f>IFERROR(__xludf.DUMMYFUNCTION("GOOGLETRANSLATE(B185,""en"",""hy"")"),"Ժյուլ Վեռնը գրել է բազմաթիվ գրքեր, այդ թվում՝ «Քսան հազար լիգա ծովի տակ», «Ուղևորություն դեպի Երկրի կենտրոն» և «Աշխարհի շուրջ ութսուն օրում»։")</f>
        <v>Ժյուլ Վեռնը գրել է բազմաթիվ գրքեր, այդ թվում՝ «Քսան հազար լիգա ծովի տակ», «Ուղևորություն դեպի Երկրի կենտրոն» և «Աշխարհի շուրջ ութսուն օրում»։</v>
      </c>
    </row>
    <row r="186">
      <c r="A186" s="1" t="s">
        <v>372</v>
      </c>
      <c r="B186" s="2" t="s">
        <v>373</v>
      </c>
      <c r="C186" s="3" t="str">
        <f>IFERROR(__xludf.DUMMYFUNCTION("GOOGLETRANSLATE(A186,""en"",""hy"")"),"ինչ է բրազիլական արժույթի անվանումը:")</f>
        <v>ինչ է բրազիլական արժույթի անվանումը:</v>
      </c>
      <c r="D186" s="3" t="str">
        <f>IFERROR(__xludf.DUMMYFUNCTION("GOOGLETRANSLATE(B186,""en"",""hy"")"),"Բրազիլիայի արժույթի անվանումը բրազիլական ռեալ է։")</f>
        <v>Բրազիլիայի արժույթի անվանումը բրազիլական ռեալ է։</v>
      </c>
    </row>
    <row r="187">
      <c r="A187" s="1" t="s">
        <v>374</v>
      </c>
      <c r="B187" s="2" t="s">
        <v>375</v>
      </c>
      <c r="C187" s="3" t="str">
        <f>IFERROR(__xludf.DUMMYFUNCTION("GOOGLETRANSLATE(A187,""en"",""hy"")"),"ինչ լեզու է ֆիջին:")</f>
        <v>ինչ լեզու է ֆիջին:</v>
      </c>
      <c r="D187" s="3" t="str">
        <f>IFERROR(__xludf.DUMMYFUNCTION("GOOGLETRANSLATE(B187,""en"",""hy"")"),"Ֆիջիի պաշտոնական լեզուն անգլերենն է։")</f>
        <v>Ֆիջիի պաշտոնական լեզուն անգլերենն է։</v>
      </c>
    </row>
    <row r="188">
      <c r="A188" s="1" t="s">
        <v>376</v>
      </c>
      <c r="B188" s="2" t="s">
        <v>377</v>
      </c>
      <c r="C188" s="3" t="str">
        <f>IFERROR(__xludf.DUMMYFUNCTION("GOOGLETRANSLATE(A188,""en"",""hy"")"),"ինչպես է կոչվում Պերսի Ջեքսոնի երկրորդ գիրքը:")</f>
        <v>ինչպես է կոչվում Պերսի Ջեքսոնի երկրորդ գիրքը:</v>
      </c>
      <c r="D188" s="3" t="str">
        <f>IFERROR(__xludf.DUMMYFUNCTION("GOOGLETRANSLATE(B188,""en"",""hy"")"),"Պերսի Ջեքսոնի երկրորդ գիրքը կոչվում է «Percy Jackson &amp; The Sea of ​​Monsters»:")</f>
        <v>Պերսի Ջեքսոնի երկրորդ գիրքը կոչվում է «Percy Jackson &amp; The Sea of ​​Monsters»:</v>
      </c>
    </row>
    <row r="189">
      <c r="A189" s="1" t="s">
        <v>378</v>
      </c>
      <c r="B189" s="2" t="s">
        <v>379</v>
      </c>
      <c r="C189" s="3" t="str">
        <f>IFERROR(__xludf.DUMMYFUNCTION("GOOGLETRANSLATE(A189,""en"",""hy"")"),"ինչի՞ վրա է Գրեգոր Մենդելն անցկացրել իր փորձերը:")</f>
        <v>ինչի՞ վրա է Գրեգոր Մենդելն անցկացրել իր փորձերը:</v>
      </c>
      <c r="D189" s="3" t="str">
        <f>IFERROR(__xludf.DUMMYFUNCTION("GOOGLETRANSLATE(B189,""en"",""hy"")"),"Գրեգոր Մենդելն իր փորձերը կատարեց սիսեռի բույսերի վրա։")</f>
        <v>Գրեգոր Մենդելն իր փորձերը կատարեց սիսեռի բույսերի վրա։</v>
      </c>
    </row>
    <row r="190">
      <c r="A190" s="1" t="s">
        <v>380</v>
      </c>
      <c r="B190" s="2" t="s">
        <v>381</v>
      </c>
      <c r="C190" s="3" t="str">
        <f>IFERROR(__xludf.DUMMYFUNCTION("GOOGLETRANSLATE(A190,""en"",""hy"")"),"ում հետ Ջոն Գոսելինը խաբեց.")</f>
        <v>ում հետ Ջոն Գոսելինը խաբեց.</v>
      </c>
      <c r="D190" s="3" t="str">
        <f>IFERROR(__xludf.DUMMYFUNCTION("GOOGLETRANSLATE(B190,""en"",""hy"")"),"Հաղորդվում էր, որ Ջոն Գոսելինը դավաճանել է իր այն ժամանակվա կնոջը՝ Քեյթ Գոսելինին, տարբեր կանանց հետ:")</f>
        <v>Հաղորդվում էր, որ Ջոն Գոսելինը դավաճանել է իր այն ժամանակվա կնոջը՝ Քեյթ Գոսելինին, տարբեր կանանց հետ:</v>
      </c>
    </row>
    <row r="191">
      <c r="A191" s="1" t="s">
        <v>382</v>
      </c>
      <c r="B191" s="2" t="s">
        <v>383</v>
      </c>
      <c r="C191" s="3" t="str">
        <f>IFERROR(__xludf.DUMMYFUNCTION("GOOGLETRANSLATE(A191,""en"",""hy"")"),"որտեղ է mitsubishi-ի գլխավոր գրասենյակը")</f>
        <v>որտեղ է mitsubishi-ի գլխավոր գրասենյակը</v>
      </c>
      <c r="D191" s="3" t="str">
        <f>IFERROR(__xludf.DUMMYFUNCTION("GOOGLETRANSLATE(B191,""en"",""hy"")"),"Mitsubishi-ի գլխավոր գրասենյակը գտնվում է Ճապոնիայի Տոկիոյում։")</f>
        <v>Mitsubishi-ի գլխավոր գրասենյակը գտնվում է Ճապոնիայի Տոկիոյում։</v>
      </c>
    </row>
    <row r="192">
      <c r="A192" s="1" t="s">
        <v>384</v>
      </c>
      <c r="B192" s="2" t="s">
        <v>385</v>
      </c>
      <c r="C192" s="3" t="str">
        <f>IFERROR(__xludf.DUMMYFUNCTION("GOOGLETRANSLATE(A192,""en"",""hy"")"),"որտեղ է Ջեյ Քաթլերը հիմա")</f>
        <v>որտեղ է Ջեյ Քաթլերը հիմա</v>
      </c>
      <c r="D192" s="3" t="str">
        <f>IFERROR(__xludf.DUMMYFUNCTION("GOOGLETRANSLATE(B192,""en"",""hy"")"),"Ջեյ Քաթլերը ներկայումս ավարտել է պրոֆեսիոնալ ֆուտբոլը:")</f>
        <v>Ջեյ Քաթլերը ներկայումս ավարտել է պրոֆեսիոնալ ֆուտբոլը:</v>
      </c>
    </row>
    <row r="193">
      <c r="A193" s="1" t="s">
        <v>386</v>
      </c>
      <c r="B193" s="2" t="s">
        <v>387</v>
      </c>
      <c r="C193" s="3" t="str">
        <f>IFERROR(__xludf.DUMMYFUNCTION("GOOGLETRANSLATE(A193,""en"",""hy"")"),"ինչ են ԵՄ երկրները")</f>
        <v>ինչ են ԵՄ երկրները</v>
      </c>
      <c r="D193" s="3" t="str">
        <f>IFERROR(__xludf.DUMMYFUNCTION("GOOGLETRANSLATE(B193,""en"",""hy"")"),"Եվրոպական միությունը (ԵՄ) ներկայումս բաղկացած է 27 անդամ երկրներից։")</f>
        <v>Եվրոպական միությունը (ԵՄ) ներկայումս բաղկացած է 27 անդամ երկրներից։</v>
      </c>
    </row>
    <row r="194">
      <c r="A194" s="1" t="s">
        <v>388</v>
      </c>
      <c r="B194" s="2" t="s">
        <v>389</v>
      </c>
      <c r="C194" s="3" t="str">
        <f>IFERROR(__xludf.DUMMYFUNCTION("GOOGLETRANSLATE(A194,""en"",""hy"")"),"ի՞նչն է ազդել Վինսենթ Վան Գոգի աշխատանքի վրա:")</f>
        <v>ի՞նչն է ազդել Վինսենթ Վան Գոգի աշխատանքի վրա:</v>
      </c>
      <c r="D194" s="3" t="str">
        <f>IFERROR(__xludf.DUMMYFUNCTION("GOOGLETRANSLATE(B194,""en"",""hy"")"),"Վինսենթ վան Գոգը կրել է տարբեր արվեստագետների ազդեցությունը, այդ թվում՝ Ժան-Ֆրանսուա Միլեն, ճապոնական տպագրությունը և իմպրեսիոնիզմը։")</f>
        <v>Վինսենթ վան Գոգը կրել է տարբեր արվեստագետների ազդեցությունը, այդ թվում՝ Ժան-Ֆրանսուա Միլեն, ճապոնական տպագրությունը և իմպրեսիոնիզմը։</v>
      </c>
    </row>
    <row r="195">
      <c r="A195" s="1" t="s">
        <v>390</v>
      </c>
      <c r="B195" s="2" t="s">
        <v>391</v>
      </c>
      <c r="C195" s="3" t="str">
        <f>IFERROR(__xludf.DUMMYFUNCTION("GOOGLETRANSLATE(A195,""en"",""hy"")"),"ինչ ժամային գոտիներ կան ԱՄՆ-ում:")</f>
        <v>ինչ ժամային գոտիներ կան ԱՄՆ-ում:</v>
      </c>
      <c r="D195" s="3" t="str">
        <f>IFERROR(__xludf.DUMMYFUNCTION("GOOGLETRANSLATE(B195,""en"",""hy"")"),"ԱՄՆ-ում կան վեց ժամային գոտիներ՝ արևելյան, կենտրոնական, լեռնային, խաղաղօվկիանոսյան, Ալյասկա և հավայան-ալեուտյան:")</f>
        <v>ԱՄՆ-ում կան վեց ժամային գոտիներ՝ արևելյան, կենտրոնական, լեռնային, խաղաղօվկիանոսյան, Ալյասկա և հավայան-ալեուտյան:</v>
      </c>
    </row>
    <row r="196">
      <c r="A196" s="1" t="s">
        <v>392</v>
      </c>
      <c r="B196" s="2" t="s">
        <v>393</v>
      </c>
      <c r="C196" s="3" t="str">
        <f>IFERROR(__xludf.DUMMYFUNCTION("GOOGLETRANSLATE(A196,""en"",""hy"")"),"որո՞նք են ԱՄՆ-ի 5 ամենամեծ քաղաքները:")</f>
        <v>որո՞նք են ԱՄՆ-ի 5 ամենամեծ քաղաքները:</v>
      </c>
      <c r="D196" s="3" t="str">
        <f>IFERROR(__xludf.DUMMYFUNCTION("GOOGLETRANSLATE(B196,""en"",""hy"")"),"ԱՄՆ-ի 5 խոշորագույն քաղաքներն են՝ Նյու Յորքը, Լոս Անջելեսը, Չիկագոն, Հյուսթոնը և Ֆենիքսը։")</f>
        <v>ԱՄՆ-ի 5 խոշորագույն քաղաքներն են՝ Նյու Յորքը, Լոս Անջելեսը, Չիկագոն, Հյուսթոնը և Ֆենիքսը։</v>
      </c>
    </row>
    <row r="197">
      <c r="A197" s="1" t="s">
        <v>394</v>
      </c>
      <c r="B197" s="2" t="s">
        <v>395</v>
      </c>
      <c r="C197" s="3" t="str">
        <f>IFERROR(__xludf.DUMMYFUNCTION("GOOGLETRANSLATE(A197,""en"",""hy"")"),"ինչ լեզվով են խոսում ավստրալիացիները")</f>
        <v>ինչ լեզվով են խոսում ավստրալիացիները</v>
      </c>
      <c r="D197" s="3" t="str">
        <f>IFERROR(__xludf.DUMMYFUNCTION("GOOGLETRANSLATE(B197,""en"",""hy"")"),"Անգլերեն.")</f>
        <v>Անգլերեն.</v>
      </c>
    </row>
    <row r="198">
      <c r="A198" s="1" t="s">
        <v>396</v>
      </c>
      <c r="B198" s="2" t="s">
        <v>397</v>
      </c>
      <c r="C198" s="3" t="str">
        <f>IFERROR(__xludf.DUMMYFUNCTION("GOOGLETRANSLATE(A198,""en"",""hy"")"),"ով է Բեն Ստիլերը խաղում մեգամայնդում:")</f>
        <v>ով է Բեն Ստիլերը խաղում մեգամայնդում:</v>
      </c>
      <c r="D198" s="3" t="str">
        <f>IFERROR(__xludf.DUMMYFUNCTION("GOOGLETRANSLATE(B198,""en"",""hy"")"),"Բեն Սթիլերը հնչյունավորել է Megamind կերպարին Megamind ֆիլմում։")</f>
        <v>Բեն Սթիլերը հնչյունավորել է Megamind կերպարին Megamind ֆիլմում։</v>
      </c>
    </row>
    <row r="199">
      <c r="A199" s="1" t="s">
        <v>398</v>
      </c>
      <c r="B199" s="2" t="s">
        <v>399</v>
      </c>
      <c r="C199" s="3" t="str">
        <f>IFERROR(__xludf.DUMMYFUNCTION("GOOGLETRANSLATE(A199,""en"",""hy"")"),"Ո՞ր երկրներն է կառավարել թագուհի Վիկտորիան:")</f>
        <v>Ո՞ր երկրներն է կառավարել թագուհի Վիկտորիան:</v>
      </c>
      <c r="D199" s="3" t="str">
        <f>IFERROR(__xludf.DUMMYFUNCTION("GOOGLETRANSLATE(B199,""en"",""hy"")"),"Վիկտորյա թագուհին կառավարում էր Մեծ Բրիտանիայի և Իռլանդիայի Միացյալ Թագավորությունը։")</f>
        <v>Վիկտորյա թագուհին կառավարում էր Մեծ Բրիտանիայի և Իռլանդիայի Միացյալ Թագավորությունը։</v>
      </c>
    </row>
    <row r="200">
      <c r="A200" s="1" t="s">
        <v>400</v>
      </c>
      <c r="B200" s="2" t="s">
        <v>401</v>
      </c>
      <c r="C200" s="3" t="str">
        <f>IFERROR(__xludf.DUMMYFUNCTION("GOOGLETRANSLATE(A200,""en"",""hy"")"),"ովքեր են Բեթի Ուայթի ծնողները")</f>
        <v>ովքեր են Բեթի Ուայթի ծնողները</v>
      </c>
      <c r="D200" s="3" t="str">
        <f>IFERROR(__xludf.DUMMYFUNCTION("GOOGLETRANSLATE(B200,""en"",""hy"")"),"Բեթի Ուայթի ծնողներն էին Հորաս Ուայթը և Թես Ուայթը։")</f>
        <v>Բեթի Ուայթի ծնողներն էին Հորաս Ուայթը և Թես Ուայթը։</v>
      </c>
    </row>
    <row r="201">
      <c r="A201" s="1" t="s">
        <v>402</v>
      </c>
      <c r="B201" s="2" t="s">
        <v>403</v>
      </c>
      <c r="C201" s="3" t="str">
        <f>IFERROR(__xludf.DUMMYFUNCTION("GOOGLETRANSLATE(A201,""en"",""hy"")"),"որտե՞ղ է Ջեֆ Դանհեմը դպրոց հաճախել:")</f>
        <v>որտե՞ղ է Ջեֆ Դանհեմը դպրոց հաճախել:</v>
      </c>
      <c r="D201" s="3" t="str">
        <f>IFERROR(__xludf.DUMMYFUNCTION("GOOGLETRANSLATE(B201,""en"",""hy"")"),"Ջեֆ Դանհեմը գնաց Բեյլորի համալսարան:")</f>
        <v>Ջեֆ Դանհեմը գնաց Բեյլորի համալսարան:</v>
      </c>
    </row>
    <row r="202">
      <c r="A202" s="1" t="s">
        <v>404</v>
      </c>
      <c r="B202" s="2" t="s">
        <v>405</v>
      </c>
      <c r="C202" s="3" t="str">
        <f>IFERROR(__xludf.DUMMYFUNCTION("GOOGLETRANSLATE(A202,""en"",""hy"")"),"ո՞ր քոլեջում է քևջումբա սովորել:")</f>
        <v>ո՞ր քոլեջում է քևջումբա սովորել:</v>
      </c>
      <c r="D202" s="3" t="str">
        <f>IFERROR(__xludf.DUMMYFUNCTION("GOOGLETRANSLATE(B202,""en"",""hy"")"),"ՔևՋումբան հաճախել է Կալիֆորնիայի Դևիսի համալսարան:")</f>
        <v>ՔևՋումբան հաճախել է Կալիֆորնիայի Դևիսի համալսարան:</v>
      </c>
    </row>
    <row r="203">
      <c r="A203" s="1" t="s">
        <v>406</v>
      </c>
      <c r="B203" s="2" t="s">
        <v>407</v>
      </c>
      <c r="C203" s="3" t="str">
        <f>IFERROR(__xludf.DUMMYFUNCTION("GOOGLETRANSLATE(A203,""en"",""hy"")"),"ով է Դեյվիդ Ջեյմսը խաղում 2011 թ.")</f>
        <v>ով է Դեյվիդ Ջեյմսը խաղում 2011 թ.</v>
      </c>
      <c r="D203" s="3" t="str">
        <f>IFERROR(__xludf.DUMMYFUNCTION("GOOGLETRANSLATE(B203,""en"",""hy"")"),"Դեյվիդ Ջեյմսը «Բրիստոլ Սիթիում» խաղացել է 2011 թվականին։")</f>
        <v>Դեյվիդ Ջեյմսը «Բրիստոլ Սիթիում» խաղացել է 2011 թվականին։</v>
      </c>
    </row>
    <row r="204">
      <c r="A204" s="1" t="s">
        <v>408</v>
      </c>
      <c r="B204" s="2" t="s">
        <v>409</v>
      </c>
      <c r="C204" s="3" t="str">
        <f>IFERROR(__xludf.DUMMYFUNCTION("GOOGLETRANSLATE(A204,""en"",""hy"")"),"ո՞րն էր 1964-ի տոնկինի անդունդի լուծման նպատակը:")</f>
        <v>ո՞րն էր 1964-ի տոնկինի անդունդի լուծման նպատակը:</v>
      </c>
      <c r="D204" s="3" t="str">
        <f>IFERROR(__xludf.DUMMYFUNCTION("GOOGLETRANSLATE(B204,""en"",""hy"")"),"1964 թվականի Տոնկինի ծոցի բանաձեւի նպատակն էր թույլ տալ ԱՄՆ ռազմական միջամտությունը Վիետնամում:")</f>
        <v>1964 թվականի Տոնկինի ծոցի բանաձեւի նպատակն էր թույլ տալ ԱՄՆ ռազմական միջամտությունը Վիետնամում:</v>
      </c>
    </row>
    <row r="205">
      <c r="A205" s="1" t="s">
        <v>410</v>
      </c>
      <c r="B205" s="2" t="s">
        <v>411</v>
      </c>
      <c r="C205" s="3" t="str">
        <f>IFERROR(__xludf.DUMMYFUNCTION("GOOGLETRANSLATE(A205,""en"",""hy"")"),"Ո՞ր ֆիլմերում է խաղացել Դիանա Ռոսը:")</f>
        <v>Ո՞ր ֆիլմերում է խաղացել Դիանա Ռոսը:</v>
      </c>
      <c r="D205" s="3" t="str">
        <f>IFERROR(__xludf.DUMMYFUNCTION("GOOGLETRANSLATE(B205,""en"",""hy"")"),"Դիանա Ռոսը խաղացել է այնպիսի ֆիլմերում, ինչպիսիք են «Lady Sings the Blues», «Mahogany» և «The Wiz»:")</f>
        <v>Դիանա Ռոսը խաղացել է այնպիսի ֆիլմերում, ինչպիսիք են «Lady Sings the Blues», «Mahogany» և «The Wiz»:</v>
      </c>
    </row>
    <row r="206">
      <c r="A206" s="1" t="s">
        <v>412</v>
      </c>
      <c r="B206" s="2" t="s">
        <v>413</v>
      </c>
      <c r="C206" s="3" t="str">
        <f>IFERROR(__xludf.DUMMYFUNCTION("GOOGLETRANSLATE(A206,""en"",""hy"")"),"ո՞րն է Մինեապոլիսի փոստային կոդը:")</f>
        <v>ո՞րն է Մինեապոլիսի փոստային կոդը:</v>
      </c>
      <c r="D206" s="3" t="str">
        <f>IFERROR(__xludf.DUMMYFUNCTION("GOOGLETRANSLATE(B206,""en"",""hy"")"),"Մինեապոլիսի փոստային կոդը 554xx:")</f>
        <v>Մինեապոլիսի փոստային կոդը 554xx:</v>
      </c>
    </row>
    <row r="207">
      <c r="A207" s="1" t="s">
        <v>414</v>
      </c>
      <c r="B207" s="2" t="s">
        <v>415</v>
      </c>
      <c r="C207" s="3" t="str">
        <f>IFERROR(__xludf.DUMMYFUNCTION("GOOGLETRANSLATE(A207,""en"",""hy"")"),"ո՞ր երկրում է գտնվում արևմտյան ափը:")</f>
        <v>ո՞ր երկրում է գտնվում արևմտյան ափը:</v>
      </c>
      <c r="D207" s="3" t="str">
        <f>IFERROR(__xludf.DUMMYFUNCTION("GOOGLETRANSLATE(B207,""en"",""hy"")"),"Արևմտյան ափը գտնվում է Պաղեստինում։")</f>
        <v>Արևմտյան ափը գտնվում է Պաղեստինում։</v>
      </c>
    </row>
    <row r="208">
      <c r="A208" s="1" t="s">
        <v>416</v>
      </c>
      <c r="B208" s="2" t="s">
        <v>417</v>
      </c>
      <c r="C208" s="3" t="str">
        <f>IFERROR(__xludf.DUMMYFUNCTION("GOOGLETRANSLATE(A208,""en"",""hy"")"),"ով շահեց ոսկե խաղակոշիկը")</f>
        <v>ով շահեց ոսկե խաղակոշիկը</v>
      </c>
      <c r="D208" s="3" t="str">
        <f>IFERROR(__xludf.DUMMYFUNCTION("GOOGLETRANSLATE(B208,""en"",""hy"")"),"Ոսկե խաղակոշիկի հաղթողն այն խաղացողն է, ով ավելի շատ գոլեր է խփում որոշակի մրցաշարում կամ առաջնությունում: Այն տատանվում է կախված այն մրցաշարից կամ լիգայից, որին ակնարկում եք:")</f>
        <v>Ոսկե խաղակոշիկի հաղթողն այն խաղացողն է, ով ավելի շատ գոլեր է խփում որոշակի մրցաշարում կամ առաջնությունում: Այն տատանվում է կախված այն մրցաշարից կամ լիգայից, որին ակնարկում եք:</v>
      </c>
    </row>
    <row r="209">
      <c r="A209" s="1" t="s">
        <v>418</v>
      </c>
      <c r="B209" s="2" t="s">
        <v>419</v>
      </c>
      <c r="C209" s="3" t="str">
        <f>IFERROR(__xludf.DUMMYFUNCTION("GOOGLETRANSLATE(A209,""en"",""hy"")"),"որտեղ է մահացել Ջեյն Մենսֆիլդը")</f>
        <v>որտեղ է մահացել Ջեյն Մենսֆիլդը</v>
      </c>
      <c r="D209" s="3" t="str">
        <f>IFERROR(__xludf.DUMMYFUNCTION("GOOGLETRANSLATE(B209,""en"",""hy"")"),"Ջեյն Մենսֆիլդը մահացել է Լուիզիանայի Սլայդել քաղաքում ավտովթարից։")</f>
        <v>Ջեյն Մենսֆիլդը մահացել է Լուիզիանայի Սլայդել քաղաքում ավտովթարից։</v>
      </c>
    </row>
    <row r="210">
      <c r="A210" s="1" t="s">
        <v>420</v>
      </c>
      <c r="B210" s="2" t="s">
        <v>421</v>
      </c>
      <c r="C210" s="3" t="str">
        <f>IFERROR(__xludf.DUMMYFUNCTION("GOOGLETRANSLATE(A210,""en"",""hy"")"),"որտեղ է գտնվում Թեմզա գետը")</f>
        <v>որտեղ է գտնվում Թեմզա գետը</v>
      </c>
      <c r="D210" s="3" t="str">
        <f>IFERROR(__xludf.DUMMYFUNCTION("GOOGLETRANSLATE(B210,""en"",""hy"")"),"Թեմզա գետը գտնվում է Անգլիայի հարավ-արևելքում։")</f>
        <v>Թեմզա գետը գտնվում է Անգլիայի հարավ-արևելքում։</v>
      </c>
    </row>
    <row r="211">
      <c r="A211" s="1" t="s">
        <v>422</v>
      </c>
      <c r="B211" s="2" t="s">
        <v>423</v>
      </c>
      <c r="C211" s="3" t="str">
        <f>IFERROR(__xludf.DUMMYFUNCTION("GOOGLETRANSLATE(A211,""en"",""hy"")"),"Ե՞րբ են թագավորները վերջին անգամ հաղթել Սթենլիի գավաթը:")</f>
        <v>Ե՞րբ են թագավորները վերջին անգամ հաղթել Սթենլիի գավաթը:</v>
      </c>
      <c r="D211" s="3" t="str">
        <f>IFERROR(__xludf.DUMMYFUNCTION("GOOGLETRANSLATE(B211,""en"",""hy"")"),"Լոս Անջելես Քինգսը վերջին անգամ Սթենլիի գավաթը նվաճել է 2014 թվականին։")</f>
        <v>Լոս Անջելես Քինգսը վերջին անգամ Սթենլիի գավաթը նվաճել է 2014 թվականին։</v>
      </c>
    </row>
    <row r="212">
      <c r="A212" s="1" t="s">
        <v>424</v>
      </c>
      <c r="B212" s="2" t="s">
        <v>425</v>
      </c>
      <c r="C212" s="3" t="str">
        <f>IFERROR(__xludf.DUMMYFUNCTION("GOOGLETRANSLATE(A212,""en"",""hy"")"),"Ո՞ր դպրոց է հաճախել Ուիլյամ Շեքսպիրը:")</f>
        <v>Ո՞ր դպրոց է հաճախել Ուիլյամ Շեքսպիրը:</v>
      </c>
      <c r="D212" s="3" t="str">
        <f>IFERROR(__xludf.DUMMYFUNCTION("GOOGLETRANSLATE(B212,""en"",""hy"")"),"Ուիլյամ Շեքսպիրը հաճախել է Էդուարդ VI թագավորի դպրոցը, որը նաև հայտնի է որպես Ստրատֆորդի քերականական դպրոց։")</f>
        <v>Ուիլյամ Շեքսպիրը հաճախել է Էդուարդ VI թագավորի դպրոցը, որը նաև հայտնի է որպես Ստրատֆորդի քերականական դպրոց։</v>
      </c>
    </row>
    <row r="213">
      <c r="A213" s="1" t="s">
        <v>426</v>
      </c>
      <c r="B213" s="2" t="s">
        <v>427</v>
      </c>
      <c r="C213" s="3" t="str">
        <f>IFERROR(__xludf.DUMMYFUNCTION("GOOGLETRANSLATE(A213,""en"",""hy"")"),"ինչ գումար են նրանք օգտագործում Չիլիում:")</f>
        <v>ինչ գումար են նրանք օգտագործում Չիլիում:</v>
      </c>
      <c r="D213" s="3" t="str">
        <f>IFERROR(__xludf.DUMMYFUNCTION("GOOGLETRANSLATE(B213,""en"",""hy"")"),"Չիլիում օգտագործվող արժույթը չիլիական պեսոն է։")</f>
        <v>Չիլիում օգտագործվող արժույթը չիլիական պեսոն է։</v>
      </c>
    </row>
    <row r="214">
      <c r="A214" s="1" t="s">
        <v>428</v>
      </c>
      <c r="B214" s="2" t="s">
        <v>429</v>
      </c>
      <c r="C214" s="3" t="str">
        <f>IFERROR(__xludf.DUMMYFUNCTION("GOOGLETRANSLATE(A214,""en"",""hy"")"),"ո՞ր քոլեջն է սովորել Պեյթոն Մենինգը:")</f>
        <v>ո՞ր քոլեջն է սովորել Պեյթոն Մենինգը:</v>
      </c>
      <c r="D214" s="3" t="str">
        <f>IFERROR(__xludf.DUMMYFUNCTION("GOOGLETRANSLATE(B214,""en"",""hy"")"),"Պեյթոն Մենինգը հաճախել է Թենեսիի համալսարան:")</f>
        <v>Պեյթոն Մենինգը հաճախել է Թենեսիի համալսարան:</v>
      </c>
    </row>
    <row r="215">
      <c r="A215" s="1" t="s">
        <v>430</v>
      </c>
      <c r="B215" s="2" t="s">
        <v>431</v>
      </c>
      <c r="C215" s="3" t="str">
        <f>IFERROR(__xludf.DUMMYFUNCTION("GOOGLETRANSLATE(A215,""en"",""hy"")"),"որո՞նք են nfl-ի 2 կոնֆերանսները:")</f>
        <v>որո՞նք են nfl-ի 2 կոնֆերանսները:</v>
      </c>
      <c r="D215" s="3" t="str">
        <f>IFERROR(__xludf.DUMMYFUNCTION("GOOGLETRANSLATE(B215,""en"",""hy"")"),"NFL-ի երկու կոնֆերանսներն են՝ AFC (Ամերիկյան ֆուտբոլի կոնֆերանս) և NFC (Ազգային ֆուտբոլի կոնֆերանս):")</f>
        <v>NFL-ի երկու կոնֆերանսներն են՝ AFC (Ամերիկյան ֆուտբոլի կոնֆերանս) և NFC (Ազգային ֆուտբոլի կոնֆերանս):</v>
      </c>
    </row>
    <row r="216">
      <c r="A216" s="1" t="s">
        <v>432</v>
      </c>
      <c r="B216" s="2" t="s">
        <v>433</v>
      </c>
      <c r="C216" s="3" t="str">
        <f>IFERROR(__xludf.DUMMYFUNCTION("GOOGLETRANSLATE(A216,""en"",""hy"")"),"Ե՞րբ է Ջենիֆեր Լոպեսը սկսել կենդանի գույնով:")</f>
        <v>Ե՞րբ է Ջենիֆեր Լոպեսը սկսել կենդանի գույնով:</v>
      </c>
      <c r="D216" s="3" t="str">
        <f>IFERROR(__xludf.DUMMYFUNCTION("GOOGLETRANSLATE(B216,""en"",""hy"")"),"Ջենիֆեր Լոպեսը սկսել է In Living Color-ը 1990 թվականին:")</f>
        <v>Ջենիֆեր Լոպեսը սկսել է In Living Color-ը 1990 թվականին:</v>
      </c>
    </row>
    <row r="217">
      <c r="A217" s="1" t="s">
        <v>434</v>
      </c>
      <c r="B217" s="2" t="s">
        <v>435</v>
      </c>
      <c r="C217" s="3" t="str">
        <f>IFERROR(__xludf.DUMMYFUNCTION("GOOGLETRANSLATE(A217,""en"",""hy"")"),"երբ է Պորտլենդի մարաթոնը:")</f>
        <v>երբ է Պորտլենդի մարաթոնը:</v>
      </c>
      <c r="D217" s="3" t="str">
        <f>IFERROR(__xludf.DUMMYFUNCTION("GOOGLETRANSLATE(B217,""en"",""hy"")"),"Պորտլենդի մարաթոնը սովորաբար անցկացվում է հոկտեմբերին:")</f>
        <v>Պորտլենդի մարաթոնը սովորաբար անցկացվում է հոկտեմբերին:</v>
      </c>
    </row>
    <row r="218">
      <c r="A218" s="1" t="s">
        <v>436</v>
      </c>
      <c r="B218" s="2" t="s">
        <v>437</v>
      </c>
      <c r="C218" s="3" t="str">
        <f>IFERROR(__xludf.DUMMYFUNCTION("GOOGLETRANSLATE(A218,""en"",""hy"")"),"Ի՞նչ կերպար է խաղում Էլենը Նեմոյին գտնելու մեջ:")</f>
        <v>Ի՞նչ կերպար է խաղում Էլենը Նեմոյին գտնելու մեջ:</v>
      </c>
      <c r="D218" s="3" t="str">
        <f>IFERROR(__xludf.DUMMYFUNCTION("GOOGLETRANSLATE(B218,""en"",""hy"")"),"Էլենը խաղում է Դորիի կերպարը «Գտնելով Նեմոյին»:")</f>
        <v>Էլենը խաղում է Դորիի կերպարը «Գտնելով Նեմոյին»:</v>
      </c>
    </row>
    <row r="219">
      <c r="A219" s="1" t="s">
        <v>438</v>
      </c>
      <c r="B219" s="2" t="s">
        <v>439</v>
      </c>
      <c r="C219" s="3" t="str">
        <f>IFERROR(__xludf.DUMMYFUNCTION("GOOGLETRANSLATE(A219,""en"",""hy"")"),"ե՞րբ է վերջին անգամ ny հսկաները եղել սուպեր գավաթում:")</f>
        <v>ե՞րբ է վերջին անգամ ny հսկաները եղել սուպեր գավաթում:</v>
      </c>
      <c r="D219" s="3" t="str">
        <f>IFERROR(__xludf.DUMMYFUNCTION("GOOGLETRANSLATE(B219,""en"",""hy"")"),"The New York Giants-ը վերջին անգամ եղել է Super Bowl-ում 2011-ի սեզոնում:")</f>
        <v>The New York Giants-ը վերջին անգամ եղել է Super Bowl-ում 2011-ի սեզոնում:</v>
      </c>
    </row>
    <row r="220">
      <c r="A220" s="1" t="s">
        <v>440</v>
      </c>
      <c r="B220" s="2" t="s">
        <v>441</v>
      </c>
      <c r="C220" s="3" t="str">
        <f>IFERROR(__xludf.DUMMYFUNCTION("GOOGLETRANSLATE(A220,""en"",""hy"")"),"որո՞նք են Հարրի Փոթերի բոլոր անունները:")</f>
        <v>որո՞նք են Հարրի Փոթերի բոլոր անունները:</v>
      </c>
      <c r="D220" s="3" t="str">
        <f>IFERROR(__xludf.DUMMYFUNCTION("GOOGLETRANSLATE(B220,""en"",""hy"")"),"Հարի Փոթերի սերիալի գլխավոր հերոսի անունը Հարի Փոթեր է։")</f>
        <v>Հարի Փոթերի սերիալի գլխավոր հերոսի անունը Հարի Փոթեր է։</v>
      </c>
    </row>
    <row r="221">
      <c r="A221" s="1" t="s">
        <v>442</v>
      </c>
      <c r="B221" s="2" t="s">
        <v>443</v>
      </c>
      <c r="C221" s="3" t="str">
        <f>IFERROR(__xludf.DUMMYFUNCTION("GOOGLETRANSLATE(A221,""en"",""hy"")"),"ինչում է խաղում Նիք Քենոնը")</f>
        <v>ինչում է խաղում Նիք Քենոնը</v>
      </c>
      <c r="D221" s="3" t="str">
        <f>IFERROR(__xludf.DUMMYFUNCTION("GOOGLETRANSLATE(B221,""en"",""hy"")"),"Նիկ Քենոնը խաղում է տարբեր դերերում, այդ թվում՝ նկարահանվելով ֆիլմերում, հեռուստատեսային շոուներում և վարել այնպիսի հեռուստահաղորդումներ, ինչպիսիք են «Drumline», «Wild 'N Out» և «America's Got Talent»:")</f>
        <v>Նիկ Քենոնը խաղում է տարբեր դերերում, այդ թվում՝ նկարահանվելով ֆիլմերում, հեռուստատեսային շոուներում և վարել այնպիսի հեռուստահաղորդումներ, ինչպիսիք են «Drumline», «Wild 'N Out» և «America's Got Talent»:</v>
      </c>
    </row>
    <row r="222">
      <c r="A222" s="1" t="s">
        <v>444</v>
      </c>
      <c r="B222" s="2" t="s">
        <v>445</v>
      </c>
      <c r="C222" s="3" t="str">
        <f>IFERROR(__xludf.DUMMYFUNCTION("GOOGLETRANSLATE(A222,""en"",""hy"")"),"ինչպիսի՞ կառավարություն ունի Բրազիլիան.")</f>
        <v>ինչպիսի՞ կառավարություն ունի Բրազիլիան.</v>
      </c>
      <c r="D222" s="3" t="str">
        <f>IFERROR(__xludf.DUMMYFUNCTION("GOOGLETRANSLATE(B222,""en"",""hy"")"),"Բրազիլիան ունի դաշնային նախագահական սահմանադրական հանրապետություն։")</f>
        <v>Բրազիլիան ունի դաշնային նախագահական սահմանադրական հանրապետություն։</v>
      </c>
    </row>
    <row r="223">
      <c r="A223" s="1" t="s">
        <v>446</v>
      </c>
      <c r="B223" s="2" t="s">
        <v>447</v>
      </c>
      <c r="C223" s="3" t="str">
        <f>IFERROR(__xludf.DUMMYFUNCTION("GOOGLETRANSLATE(A223,""en"",""hy"")"),"Ո՞ր օդանավակայանն է լավագույնը Միլան թռչելու համար:")</f>
        <v>Ո՞ր օդանավակայանն է լավագույնը Միլան թռչելու համար:</v>
      </c>
      <c r="D223" s="3" t="str">
        <f>IFERROR(__xludf.DUMMYFUNCTION("GOOGLETRANSLATE(B223,""en"",""hy"")"),"Միլան թռչելու լավագույն օդանավակայանը Միլանի Մալպենսա օդանավակայանն է:")</f>
        <v>Միլան թռչելու լավագույն օդանավակայանը Միլանի Մալպենսա օդանավակայանն է:</v>
      </c>
    </row>
    <row r="224">
      <c r="A224" s="1" t="s">
        <v>448</v>
      </c>
      <c r="B224" s="2" t="s">
        <v>449</v>
      </c>
      <c r="C224" s="3" t="str">
        <f>IFERROR(__xludf.DUMMYFUNCTION("GOOGLETRANSLATE(A224,""en"",""hy"")"),"որտե՞ղ է Մաթիաս Շլայդենը դպրոց հաճախել:")</f>
        <v>որտե՞ղ է Մաթիաս Շլայդենը դպրոց հաճախել:</v>
      </c>
      <c r="D224" s="3" t="str">
        <f>IFERROR(__xludf.DUMMYFUNCTION("GOOGLETRANSLATE(B224,""en"",""hy"")"),"Մաթիաս Շլայդենը հաճախել է Յենայի համալսարան:")</f>
        <v>Մաթիաս Շլայդենը հաճախել է Յենայի համալսարան:</v>
      </c>
    </row>
    <row r="225">
      <c r="A225" s="1" t="s">
        <v>450</v>
      </c>
      <c r="B225" s="2" t="s">
        <v>451</v>
      </c>
      <c r="C225" s="3" t="str">
        <f>IFERROR(__xludf.DUMMYFUNCTION("GOOGLETRANSLATE(A225,""en"",""hy"")"),"Ո՞ր շրջանից է Ռիհաննան")</f>
        <v>Ո՞ր շրջանից է Ռիհաննան</v>
      </c>
      <c r="D225" s="3" t="str">
        <f>IFERROR(__xludf.DUMMYFUNCTION("GOOGLETRANSLATE(B225,""en"",""hy"")"),"Ռիհաննան Բարբադոսից է։")</f>
        <v>Ռիհաննան Բարբադոսից է։</v>
      </c>
    </row>
    <row r="226">
      <c r="A226" s="1" t="s">
        <v>452</v>
      </c>
      <c r="B226" s="2" t="s">
        <v>453</v>
      </c>
      <c r="C226" s="3" t="str">
        <f>IFERROR(__xludf.DUMMYFUNCTION("GOOGLETRANSLATE(A226,""en"",""hy"")"),"ինչ է պատահել հայրիկ Յանկիի հետ:")</f>
        <v>ինչ է պատահել հայրիկ Յանկիի հետ:</v>
      </c>
      <c r="D226" s="3" t="str">
        <f>IFERROR(__xludf.DUMMYFUNCTION("GOOGLETRANSLATE(B226,""en"",""hy"")"),"Տվյալներ չկան, որոնք ցույց են տալիս, թե ինչ է տեղի ունեցել հայրիկ Յանկիի հետ:")</f>
        <v>Տվյալներ չկան, որոնք ցույց են տալիս, թե ինչ է տեղի ունեցել հայրիկ Յանկիի հետ:</v>
      </c>
    </row>
    <row r="227">
      <c r="A227" s="1" t="s">
        <v>454</v>
      </c>
      <c r="B227" s="2" t="s">
        <v>455</v>
      </c>
      <c r="C227" s="3" t="str">
        <f>IFERROR(__xludf.DUMMYFUNCTION("GOOGLETRANSLATE(A227,""en"",""hy"")"),"ո՞ր երկիրն է գտնվում Բալկանյան թերակղզում:")</f>
        <v>ո՞ր երկիրն է գտնվում Բալկանյան թերակղզում:</v>
      </c>
      <c r="D227" s="3" t="str">
        <f>IFERROR(__xludf.DUMMYFUNCTION("GOOGLETRANSLATE(B227,""en"",""hy"")"),"Սերբիա.")</f>
        <v>Սերբիա.</v>
      </c>
    </row>
    <row r="228">
      <c r="A228" s="1" t="s">
        <v>456</v>
      </c>
      <c r="B228" s="2" t="s">
        <v>457</v>
      </c>
      <c r="C228" s="3" t="str">
        <f>IFERROR(__xludf.DUMMYFUNCTION("GOOGLETRANSLATE(A228,""en"",""hy"")"),"Ո՞ր 6 նահանգներն են սահմանակից Հարավային Դակոտային:")</f>
        <v>Ո՞ր 6 նահանգներն են սահմանակից Հարավային Դակոտային:</v>
      </c>
      <c r="D228" s="3" t="str">
        <f>IFERROR(__xludf.DUMMYFUNCTION("GOOGLETRANSLATE(B228,""en"",""hy"")"),"Մոնտանա, Հյուսիսային Դակոտա, Մինեսոտա, Այովա, Նեբրասկա, Վայոմինգ:")</f>
        <v>Մոնտանա, Հյուսիսային Դակոտա, Մինեսոտա, Այովա, Նեբրասկա, Վայոմինգ:</v>
      </c>
    </row>
    <row r="229">
      <c r="A229" s="1" t="s">
        <v>458</v>
      </c>
      <c r="B229" s="2" t="s">
        <v>459</v>
      </c>
      <c r="C229" s="3" t="str">
        <f>IFERROR(__xludf.DUMMYFUNCTION("GOOGLETRANSLATE(A229,""en"",""hy"")"),"Որո՞նք են Իսպանիայում խոսվող հիմնական լեզուները:")</f>
        <v>Որո՞նք են Իսպանիայում խոսվող հիմնական լեզուները:</v>
      </c>
      <c r="D229" s="3" t="str">
        <f>IFERROR(__xludf.DUMMYFUNCTION("GOOGLETRANSLATE(B229,""en"",""hy"")"),"Իսպանիայում խոսվող հիմնական լեզուներն են իսպաներենը (կաստիլերեն), կատալոներենը, գալիցերենը և բասկերենը։")</f>
        <v>Իսպանիայում խոսվող հիմնական լեզուներն են իսպաներենը (կաստիլերեն), կատալոներենը, գալիցերենը և բասկերենը։</v>
      </c>
    </row>
    <row r="230">
      <c r="A230" s="1" t="s">
        <v>460</v>
      </c>
      <c r="B230" s="2" t="s">
        <v>461</v>
      </c>
      <c r="C230" s="3" t="str">
        <f>IFERROR(__xludf.DUMMYFUNCTION("GOOGLETRANSLATE(A230,""en"",""hy"")"),"ինչ երգեր է գրել Մոցարտը")</f>
        <v>ինչ երգեր է գրել Մոցարտը</v>
      </c>
      <c r="D230" s="3" t="str">
        <f>IFERROR(__xludf.DUMMYFUNCTION("GOOGLETRANSLATE(B230,""en"",""hy"")"),"Մոցարտը գրել է ավելի քան 600 ստեղծագործություն, այդ թվում՝ սիմֆոնիաներ, կոնցերտներ, օպերաներ, կամերային երաժշտություն և դաշնամուրային սոնատներ։ Նրա ամենահայտնի ստեղծագործություններից են «Eine kleine Nachtmusik», «The Magic Flute» և նրա Ռեքվիեմի պատարագը մ"&amp;"ինորում։")</f>
        <v>Մոցարտը գրել է ավելի քան 600 ստեղծագործություն, այդ թվում՝ սիմֆոնիաներ, կոնցերտներ, օպերաներ, կամերային երաժշտություն և դաշնամուրային սոնատներ։ Նրա ամենահայտնի ստեղծագործություններից են «Eine kleine Nachtmusik», «The Magic Flute» և նրա Ռեքվիեմի պատարագը մինորում։</v>
      </c>
    </row>
    <row r="231">
      <c r="A231" s="1" t="s">
        <v>462</v>
      </c>
      <c r="B231" s="2" t="s">
        <v>463</v>
      </c>
      <c r="C231" s="3" t="str">
        <f>IFERROR(__xludf.DUMMYFUNCTION("GOOGLETRANSLATE(A231,""en"",""hy"")"),"ինչ լեզվով են խոսում թայերեն:")</f>
        <v>ինչ լեզվով են խոսում թայերեն:</v>
      </c>
      <c r="D231" s="3" t="str">
        <f>IFERROR(__xludf.DUMMYFUNCTION("GOOGLETRANSLATE(B231,""en"",""hy"")"),"Թաիլանդում խոսվող լեզուն թայերենն է։")</f>
        <v>Թաիլանդում խոսվող լեզուն թայերենն է։</v>
      </c>
    </row>
    <row r="232">
      <c r="A232" s="1" t="s">
        <v>464</v>
      </c>
      <c r="B232" s="2" t="s">
        <v>465</v>
      </c>
      <c r="C232" s="3" t="str">
        <f>IFERROR(__xludf.DUMMYFUNCTION("GOOGLETRANSLATE(A232,""en"",""hy"")"),"ով է Մոնտանայի նոր սենատորը.")</f>
        <v>ով է Մոնտանայի նոր սենատորը.</v>
      </c>
      <c r="D232" s="3" t="str">
        <f>IFERROR(__xludf.DUMMYFUNCTION("GOOGLETRANSLATE(B232,""en"",""hy"")"),"Ներեցեք, ես իրական ժամանակի տեղեկատվության հասանելիություն չունեմ: Լավագույնը կլինի որոնել վերջին նորությունները կամ ստուգել Մոնտանայի կառավարության պաշտոնական կայքը:")</f>
        <v>Ներեցեք, ես իրական ժամանակի տեղեկատվության հասանելիություն չունեմ: Լավագույնը կլինի որոնել վերջին նորությունները կամ ստուգել Մոնտանայի կառավարության պաշտոնական կայքը:</v>
      </c>
    </row>
    <row r="233">
      <c r="A233" s="1" t="s">
        <v>466</v>
      </c>
      <c r="B233" s="2" t="s">
        <v>467</v>
      </c>
      <c r="C233" s="3" t="str">
        <f>IFERROR(__xludf.DUMMYFUNCTION("GOOGLETRANSLATE(A233,""en"",""hy"")"),"Ո՞ր օդանավակայանը թռչել Հռոմում:")</f>
        <v>Ո՞ր օդանավակայանը թռչել Հռոմում:</v>
      </c>
      <c r="D233" s="3" t="str">
        <f>IFERROR(__xludf.DUMMYFUNCTION("GOOGLETRANSLATE(B233,""en"",""hy"")"),"Հռոմում թռիչքների հիմնական օդանավակայանը Լեոնարդո դա Վինչի-Ֆիումիչինո օդանավակայանն է:")</f>
        <v>Հռոմում թռիչքների հիմնական օդանավակայանը Լեոնարդո դա Վինչի-Ֆիումիչինո օդանավակայանն է:</v>
      </c>
    </row>
    <row r="234">
      <c r="A234" s="1" t="s">
        <v>468</v>
      </c>
      <c r="B234" s="2" t="s">
        <v>469</v>
      </c>
      <c r="C234" s="3" t="str">
        <f>IFERROR(__xludf.DUMMYFUNCTION("GOOGLETRANSLATE(A234,""en"",""hy"")"),"որտեղ են Պոմպեյի ավերակները.")</f>
        <v>որտեղ են Պոմպեյի ավերակները.</v>
      </c>
      <c r="D234" s="3" t="str">
        <f>IFERROR(__xludf.DUMMYFUNCTION("GOOGLETRANSLATE(B234,""en"",""hy"")"),"Պոմպեյի ավերակները գտնվում են Իտալիայի Նեապոլ քաղաքի մոտակայքում։")</f>
        <v>Պոմպեյի ավերակները գտնվում են Իտալիայի Նեապոլ քաղաքի մոտակայքում։</v>
      </c>
    </row>
    <row r="235">
      <c r="A235" s="1" t="s">
        <v>470</v>
      </c>
      <c r="B235" s="2" t="s">
        <v>471</v>
      </c>
      <c r="C235" s="3" t="str">
        <f>IFERROR(__xludf.DUMMYFUNCTION("GOOGLETRANSLATE(A235,""en"",""hy"")"),"ինչ լեզվով են խոսում Աֆղանստանում:")</f>
        <v>ինչ լեզվով են խոսում Աֆղանստանում:</v>
      </c>
      <c r="D235" s="3" t="str">
        <f>IFERROR(__xludf.DUMMYFUNCTION("GOOGLETRANSLATE(B235,""en"",""hy"")"),"Աֆղանստանում խոսվող պաշտոնական լեզուն դարի է։")</f>
        <v>Աֆղանստանում խոսվող պաշտոնական լեզուն դարի է։</v>
      </c>
    </row>
    <row r="236">
      <c r="A236" s="1" t="s">
        <v>472</v>
      </c>
      <c r="B236" s="2" t="s">
        <v>473</v>
      </c>
      <c r="C236" s="3" t="str">
        <f>IFERROR(__xludf.DUMMYFUNCTION("GOOGLETRANSLATE(A236,""en"",""hy"")"),"ի՞նչ լեզվով են խոսում բրազիլական Վիքիպեդիայում:")</f>
        <v>ի՞նչ լեզվով են խոսում բրազիլական Վիքիպեդիայում:</v>
      </c>
      <c r="D236" s="3" t="str">
        <f>IFERROR(__xludf.DUMMYFUNCTION("GOOGLETRANSLATE(B236,""en"",""hy"")"),"Բրազիլիայում խոսվող պաշտոնական լեզուն պորտուգալերենն է։")</f>
        <v>Բրազիլիայում խոսվող պաշտոնական լեզուն պորտուգալերենն է։</v>
      </c>
    </row>
    <row r="237">
      <c r="A237" s="1" t="s">
        <v>474</v>
      </c>
      <c r="B237" s="2" t="s">
        <v>475</v>
      </c>
      <c r="C237" s="3" t="str">
        <f>IFERROR(__xludf.DUMMYFUNCTION("GOOGLETRANSLATE(A237,""en"",""hy"")"),"ո՞ր քաղաքները պետք է այցելեմ Կալիֆորնիայում:")</f>
        <v>ո՞ր քաղաքները պետք է այցելեմ Կալիֆորնիայում:</v>
      </c>
      <c r="D237" s="3" t="str">
        <f>IFERROR(__xludf.DUMMYFUNCTION("GOOGLETRANSLATE(B237,""en"",""hy"")"),"Կալիֆոռնիայում այցելելու որոշ հայտնի քաղաքներ են Սան Ֆրանցիսկոն, Լոս Անջելեսը, Սան Դիեգոն և Սակրամենտոն:")</f>
        <v>Կալիֆոռնիայում այցելելու որոշ հայտնի քաղաքներ են Սան Ֆրանցիսկոն, Լոս Անջելեսը, Սան Դիեգոն և Սակրամենտոն:</v>
      </c>
    </row>
    <row r="238">
      <c r="A238" s="1" t="s">
        <v>476</v>
      </c>
      <c r="B238" s="2" t="s">
        <v>477</v>
      </c>
      <c r="C238" s="3" t="str">
        <f>IFERROR(__xludf.DUMMYFUNCTION("GOOGLETRANSLATE(A238,""en"",""hy"")"),"որտեղ է մեծացել արքայադուստր Լեան:")</f>
        <v>որտեղ է մեծացել արքայադուստր Լեան:</v>
      </c>
      <c r="D238" s="3" t="str">
        <f>IFERROR(__xludf.DUMMYFUNCTION("GOOGLETRANSLATE(B238,""en"",""hy"")"),"Արքայադուստր Լեյան մեծացել է Ալդերաան մոլորակի վրա:")</f>
        <v>Արքայադուստր Լեյան մեծացել է Ալդերաան մոլորակի վրա:</v>
      </c>
    </row>
    <row r="239">
      <c r="A239" s="1" t="s">
        <v>478</v>
      </c>
      <c r="B239" s="2" t="s">
        <v>479</v>
      </c>
      <c r="C239" s="3" t="str">
        <f>IFERROR(__xludf.DUMMYFUNCTION("GOOGLETRANSLATE(A239,""en"",""hy"")"),"ինչպես է Պիտսբուրգի Սթիլերսի գլխավոր մարզիչի անունը:")</f>
        <v>ինչպես է Պիտսբուրգի Սթիլերսի գլխավոր մարզիչի անունը:</v>
      </c>
      <c r="D239" s="3" t="str">
        <f>IFERROR(__xludf.DUMMYFUNCTION("GOOGLETRANSLATE(B239,""en"",""hy"")"),"Մայք Թոմլին.")</f>
        <v>Մայք Թոմլին.</v>
      </c>
    </row>
    <row r="240">
      <c r="A240" s="1" t="s">
        <v>480</v>
      </c>
      <c r="B240" s="2" t="s">
        <v>481</v>
      </c>
      <c r="C240" s="3" t="str">
        <f>IFERROR(__xludf.DUMMYFUNCTION("GOOGLETRANSLATE(A240,""en"",""hy"")"),"Ե՞րբ է փակվում Կանադայի հրաշքների երկիրը:")</f>
        <v>Ե՞րբ է փակվում Կանադայի հրաշքների երկիրը:</v>
      </c>
      <c r="D240" s="3" t="str">
        <f>IFERROR(__xludf.DUMMYFUNCTION("GOOGLETRANSLATE(B240,""en"",""hy"")"),"Կանադայի Հրաշքների աշխարհը սովորաբար փակվում է հոկտեմբերի վերջին կամ նոյեմբերի սկզբին:")</f>
        <v>Կանադայի Հրաշքների աշխարհը սովորաբար փակվում է հոկտեմբերի վերջին կամ նոյեմբերի սկզբին:</v>
      </c>
    </row>
    <row r="241">
      <c r="A241" s="1" t="s">
        <v>482</v>
      </c>
      <c r="B241" s="2" t="s">
        <v>483</v>
      </c>
      <c r="C241" s="3" t="str">
        <f>IFERROR(__xludf.DUMMYFUNCTION("GOOGLETRANSLATE(A241,""en"",""hy"")"),"ե՞րբ են Լեյքերները հաղթել առաջնությունում.")</f>
        <v>ե՞րբ են Լեյքերները հաղթել առաջնությունում.</v>
      </c>
      <c r="D241" s="3" t="str">
        <f>IFERROR(__xludf.DUMMYFUNCTION("GOOGLETRANSLATE(B241,""en"",""hy"")"),"«Լեյքերսը» չեմպիոն է դարձել 2020 թվականին։")</f>
        <v>«Լեյքերսը» չեմպիոն է դարձել 2020 թվականին։</v>
      </c>
    </row>
    <row r="242">
      <c r="A242" s="1" t="s">
        <v>484</v>
      </c>
      <c r="B242" s="2" t="s">
        <v>485</v>
      </c>
      <c r="C242" s="3" t="str">
        <f>IFERROR(__xludf.DUMMYFUNCTION("GOOGLETRANSLATE(A242,""en"",""hy"")"),"ո՞ր տարին էր Սան Ֆրանցիսկոյի մեծ հրդեհը:")</f>
        <v>ո՞ր տարին էր Սան Ֆրանցիսկոյի մեծ հրդեհը:</v>
      </c>
      <c r="D242" s="3" t="str">
        <f>IFERROR(__xludf.DUMMYFUNCTION("GOOGLETRANSLATE(B242,""en"",""hy"")"),"Սան Ֆրանցիսկոյի մեծ հրդեհը տեղի է ունեցել 1906 թ.")</f>
        <v>Սան Ֆրանցիսկոյի մեծ հրդեհը տեղի է ունեցել 1906 թ.</v>
      </c>
    </row>
    <row r="243">
      <c r="A243" s="1" t="s">
        <v>486</v>
      </c>
      <c r="B243" s="2" t="s">
        <v>487</v>
      </c>
      <c r="C243" s="3" t="str">
        <f>IFERROR(__xludf.DUMMYFUNCTION("GOOGLETRANSLATE(A243,""en"",""hy"")"),"ո՞ր երկրներն են սահմանակից Ֆրանսիայի հետ:")</f>
        <v>ո՞ր երկրներն են սահմանակից Ֆրանսիայի հետ:</v>
      </c>
      <c r="D243" s="3" t="str">
        <f>IFERROR(__xludf.DUMMYFUNCTION("GOOGLETRANSLATE(B243,""en"",""hy"")"),"Իսպանիան, Անդորրան, Բելգիան, Լյուքսեմբուրգը, Գերմանիան, Շվեյցարիան, Իտալիան և Մոնակոն սահմանակից են Ֆրանսիային։")</f>
        <v>Իսպանիան, Անդորրան, Բելգիան, Լյուքսեմբուրգը, Գերմանիան, Շվեյցարիան, Իտալիան և Մոնակոն սահմանակից են Ֆրանսիային։</v>
      </c>
    </row>
    <row r="244">
      <c r="A244" s="1" t="s">
        <v>488</v>
      </c>
      <c r="B244" s="2" t="s">
        <v>489</v>
      </c>
      <c r="C244" s="3" t="str">
        <f>IFERROR(__xludf.DUMMYFUNCTION("GOOGLETRANSLATE(A244,""en"",""hy"")"),"ի՞նչ է երգել Պատրիկ Սուեյզը")</f>
        <v>ի՞նչ է երգել Պատրիկ Սուեյզը</v>
      </c>
      <c r="D244" s="3" t="str">
        <f>IFERROR(__xludf.DUMMYFUNCTION("GOOGLETRANSLATE(B244,""en"",""hy"")"),"Պատրիկ Սուեյզը հիմնականում հայտնի էր որպես դերասան, ոչ թե երգիչ: Նա, սակայն, երգեց «Նա նման է քամուն» երգը «Կեղտոտ պար» ֆիլմից:")</f>
        <v>Պատրիկ Սուեյզը հիմնականում հայտնի էր որպես դերասան, ոչ թե երգիչ: Նա, սակայն, երգեց «Նա նման է քամուն» երգը «Կեղտոտ պար» ֆիլմից:</v>
      </c>
    </row>
    <row r="245">
      <c r="A245" s="1" t="s">
        <v>490</v>
      </c>
      <c r="B245" s="2" t="s">
        <v>491</v>
      </c>
      <c r="C245" s="3" t="str">
        <f>IFERROR(__xludf.DUMMYFUNCTION("GOOGLETRANSLATE(A245,""en"",""hy"")"),"Սալվադոր Դալին արվեստի ո՞ր ոճն է:")</f>
        <v>Սալվադոր Դալին արվեստի ո՞ր ոճն է:</v>
      </c>
      <c r="D245" s="3" t="str">
        <f>IFERROR(__xludf.DUMMYFUNCTION("GOOGLETRANSLATE(B245,""en"",""hy"")"),"Սալվադոր Դալին հայտնի է արվեստի սյուրռեալիստական ​​ոճով ստեղծագործություններով:")</f>
        <v>Սալվադոր Դալին հայտնի է արվեստի սյուրռեալիստական ​​ոճով ստեղծագործություններով:</v>
      </c>
    </row>
    <row r="246">
      <c r="A246" s="1" t="s">
        <v>492</v>
      </c>
      <c r="B246" s="2" t="s">
        <v>493</v>
      </c>
      <c r="C246" s="3" t="str">
        <f>IFERROR(__xludf.DUMMYFUNCTION("GOOGLETRANSLATE(A246,""en"",""hy"")"),"Ո՞ր քաղաքից էր Լեոնարդո դա Վինչին:")</f>
        <v>Ո՞ր քաղաքից էր Լեոնարդո դա Վինչին:</v>
      </c>
      <c r="D246" s="3" t="str">
        <f>IFERROR(__xludf.DUMMYFUNCTION("GOOGLETRANSLATE(B246,""en"",""hy"")"),"Լեոնարդո դա Վինչին Իտալիայի Վինչի քաղաքից էր։")</f>
        <v>Լեոնարդո դա Վինչին Իտալիայի Վինչի քաղաքից էր։</v>
      </c>
    </row>
    <row r="247">
      <c r="A247" s="1" t="s">
        <v>494</v>
      </c>
      <c r="B247" s="2" t="s">
        <v>495</v>
      </c>
      <c r="C247" s="3" t="str">
        <f>IFERROR(__xludf.DUMMYFUNCTION("GOOGLETRANSLATE(A247,""en"",""hy"")"),"ինչի՞ց է մահացել Ջորջ Վ.")</f>
        <v>ինչի՞ց է մահացել Ջորջ Վ.</v>
      </c>
      <c r="D247" s="3" t="str">
        <f>IFERROR(__xludf.DUMMYFUNCTION("GOOGLETRANSLATE(B247,""en"",""hy"")"),"Ջորջ V-ը մահացել է բրոնխիտից և սրտի անբավարարությունից։")</f>
        <v>Ջորջ V-ը մահացել է բրոնխիտից և սրտի անբավարարությունից։</v>
      </c>
    </row>
    <row r="248">
      <c r="A248" s="1" t="s">
        <v>496</v>
      </c>
      <c r="B248" s="2" t="s">
        <v>497</v>
      </c>
      <c r="C248" s="3" t="str">
        <f>IFERROR(__xludf.DUMMYFUNCTION("GOOGLETRANSLATE(A248,""en"",""hy"")"),"Որո՞նք են Հարավային Ամերիկայի երեք հիմնական գետերը:")</f>
        <v>Որո՞նք են Հարավային Ամերիկայի երեք հիմնական գետերը:</v>
      </c>
      <c r="D248" s="3" t="str">
        <f>IFERROR(__xludf.DUMMYFUNCTION("GOOGLETRANSLATE(B248,""en"",""hy"")"),"Հարավային Ամերիկայի երեք խոշոր գետերն են Ամազոն գետը, Օրինոկո գետը և Պարանա գետը։")</f>
        <v>Հարավային Ամերիկայի երեք խոշոր գետերն են Ամազոն գետը, Օրինոկո գետը և Պարանա գետը։</v>
      </c>
    </row>
    <row r="249">
      <c r="A249" s="1" t="s">
        <v>498</v>
      </c>
      <c r="B249" s="2" t="s">
        <v>499</v>
      </c>
      <c r="C249" s="3" t="str">
        <f>IFERROR(__xludf.DUMMYFUNCTION("GOOGLETRANSLATE(A249,""en"",""hy"")"),"Ի՞նչ այլ հայտնագործություններ է հայտնաբերել Իսահակ Նյուտոնը:")</f>
        <v>Ի՞նչ այլ հայտնագործություններ է հայտնաբերել Իսահակ Նյուտոնը:</v>
      </c>
      <c r="D249" s="3" t="str">
        <f>IFERROR(__xludf.DUMMYFUNCTION("GOOGLETRANSLATE(B249,""en"",""hy"")"),"Իսահակ Նյուտոնը, բացի իր շարժման և ձգողականության օրենքներից, հայտնաբերեց շատ այլ բաներ: Նրա որոշ այլ նշանավոր հայտնագործություններ ներառում են հաշվարկի մաթեմատիկական սկզբունքները, լույսի սպեկտրի հայեցակարգը և թերմոդինամիկայի օրենքները։")</f>
        <v>Իսահակ Նյուտոնը, բացի իր շարժման և ձգողականության օրենքներից, հայտնաբերեց շատ այլ բաներ: Նրա որոշ այլ նշանավոր հայտնագործություններ ներառում են հաշվարկի մաթեմատիկական սկզբունքները, լույսի սպեկտրի հայեցակարգը և թերմոդինամիկայի օրենքները։</v>
      </c>
    </row>
    <row r="250">
      <c r="A250" s="1" t="s">
        <v>500</v>
      </c>
      <c r="B250" s="2" t="s">
        <v>501</v>
      </c>
      <c r="C250" s="3" t="str">
        <f>IFERROR(__xludf.DUMMYFUNCTION("GOOGLETRANSLATE(A250,""en"",""hy"")"),"ով է սկսել pixar-ը")</f>
        <v>ով է սկսել pixar-ը</v>
      </c>
      <c r="D250" s="3" t="str">
        <f>IFERROR(__xludf.DUMMYFUNCTION("GOOGLETRANSLATE(B250,""en"",""hy"")"),"Էդվին Քաթմուլը, Էլվի Ռեյ Սմիթը և Սթիվ Ջոբսը հիմնել են Pixar Animation Studios-ը։")</f>
        <v>Էդվին Քաթմուլը, Էլվի Ռեյ Սմիթը և Սթիվ Ջոբսը հիմնել են Pixar Animation Studios-ը։</v>
      </c>
    </row>
    <row r="251">
      <c r="A251" s="1" t="s">
        <v>502</v>
      </c>
      <c r="B251" s="2" t="s">
        <v>503</v>
      </c>
      <c r="C251" s="3" t="str">
        <f>IFERROR(__xludf.DUMMYFUNCTION("GOOGLETRANSLATE(A251,""en"",""hy"")"),"ովքե՞ր են Տիան և Թամերան հնձող ծնողները:")</f>
        <v>ովքե՞ր են Տիան և Թամերան հնձող ծնողները:</v>
      </c>
      <c r="D251" s="3" t="str">
        <f>IFERROR(__xludf.DUMMYFUNCTION("GOOGLETRANSLATE(B251,""en"",""hy"")"),"Թիա և Թամերա Մաուրիի ծնողներն են Դարլին Մաուրին և Թիմոթի Մաուրին։")</f>
        <v>Թիա և Թամերա Մաուրիի ծնողներն են Դարլին Մաուրին և Թիմոթի Մաուրին։</v>
      </c>
    </row>
    <row r="252">
      <c r="A252" s="1" t="s">
        <v>504</v>
      </c>
      <c r="B252" s="2" t="s">
        <v>505</v>
      </c>
      <c r="C252" s="3" t="str">
        <f>IFERROR(__xludf.DUMMYFUNCTION("GOOGLETRANSLATE(A252,""en"",""hy"")"),"ո՞ր քաղաքական կուսակցությունն էր Լինքոլնը:")</f>
        <v>ո՞ր քաղաքական կուսակցությունն էր Լինքոլնը:</v>
      </c>
      <c r="D252" s="3" t="str">
        <f>IFERROR(__xludf.DUMMYFUNCTION("GOOGLETRANSLATE(B252,""en"",""hy"")"),"Հանրապետական.")</f>
        <v>Հանրապետական.</v>
      </c>
    </row>
    <row r="253">
      <c r="A253" s="1" t="s">
        <v>506</v>
      </c>
      <c r="B253" s="2" t="s">
        <v>507</v>
      </c>
      <c r="C253" s="3" t="str">
        <f>IFERROR(__xludf.DUMMYFUNCTION("GOOGLETRANSLATE(A253,""en"",""hy"")"),"ի՞նչ կլիներ, եթե Գերմանիան հաղթեր WW1-ում:")</f>
        <v>ի՞նչ կլիներ, եթե Գերմանիան հաղթեր WW1-ում:</v>
      </c>
      <c r="D253" s="3" t="str">
        <f>IFERROR(__xludf.DUMMYFUNCTION("GOOGLETRANSLATE(B253,""en"",""hy"")"),"Եթե ​​Գերմանիան հաղթեր Առաջին համաշխարհային պատերազմում, արդյունքը կլիներ ուժային դինամիկայի զգալի փոփոխություն և աշխարհաքաղաքական և տնտեսական պոտենցիալ տարբեր զարգացումներ: Այնուամենայնիվ, դժվար է կանխատեսել կոնկրետ հետևանքներ, քանի որ դրանք կախված կլինե"&amp;"ն Գերմանիայի և այլ երկրների կողմից ընդունված տարբեր գործոններից և որոշումներից:")</f>
        <v>Եթե ​​Գերմանիան հաղթեր Առաջին համաշխարհային պատերազմում, արդյունքը կլիներ ուժային դինամիկայի զգալի փոփոխություն և աշխարհաքաղաքական և տնտեսական պոտենցիալ տարբեր զարգացումներ: Այնուամենայնիվ, դժվար է կանխատեսել կոնկրետ հետևանքներ, քանի որ դրանք կախված կլինեն Գերմանիայի և այլ երկրների կողմից ընդունված տարբեր գործոններից և որոշումներից:</v>
      </c>
    </row>
    <row r="254">
      <c r="A254" s="1" t="s">
        <v>508</v>
      </c>
      <c r="B254" s="2" t="s">
        <v>509</v>
      </c>
      <c r="C254" s="3" t="str">
        <f>IFERROR(__xludf.DUMMYFUNCTION("GOOGLETRANSLATE(A254,""en"",""hy"")"),"ինչպիսի՞ կառավարություն է Չինաստանը")</f>
        <v>ինչպիսի՞ կառավարություն է Չինաստանը</v>
      </c>
      <c r="D254" s="3" t="str">
        <f>IFERROR(__xludf.DUMMYFUNCTION("GOOGLETRANSLATE(B254,""en"",""hy"")"),"Չինաստանը սոցիալիստական ​​պետություն է՝ միակուսակցական համակարգով։")</f>
        <v>Չինաստանը սոցիալիստական ​​պետություն է՝ միակուսակցական համակարգով։</v>
      </c>
    </row>
    <row r="255">
      <c r="A255" s="1" t="s">
        <v>510</v>
      </c>
      <c r="B255" s="2" t="s">
        <v>511</v>
      </c>
      <c r="C255" s="3" t="str">
        <f>IFERROR(__xludf.DUMMYFUNCTION("GOOGLETRANSLATE(A255,""en"",""hy"")"),"որտեղ է գտնվում Հունաստանի ազգը")</f>
        <v>որտեղ է գտնվում Հունաստանի ազգը</v>
      </c>
      <c r="D255" s="3" t="str">
        <f>IFERROR(__xludf.DUMMYFUNCTION("GOOGLETRANSLATE(B255,""en"",""hy"")"),"Հունաստանը գտնվում է հարավ-արևելյան Եվրոպայում։")</f>
        <v>Հունաստանը գտնվում է հարավ-արևելյան Եվրոպայում։</v>
      </c>
    </row>
    <row r="256">
      <c r="A256" s="1" t="s">
        <v>512</v>
      </c>
      <c r="B256" s="2" t="s">
        <v>513</v>
      </c>
      <c r="C256" s="3" t="str">
        <f>IFERROR(__xludf.DUMMYFUNCTION("GOOGLETRANSLATE(A256,""en"",""hy"")"),"Ո՞ր երեք երկրների հետ է սահմանակից Մեքսիկան:")</f>
        <v>Ո՞ր երեք երկրների հետ է սահմանակից Մեքսիկան:</v>
      </c>
      <c r="D256" s="3" t="str">
        <f>IFERROR(__xludf.DUMMYFUNCTION("GOOGLETRANSLATE(B256,""en"",""hy"")"),"Միացյալ Նահանգներ, Գվատեմալա, Բելիզ.")</f>
        <v>Միացյալ Նահանգներ, Գվատեմալա, Բելիզ.</v>
      </c>
    </row>
    <row r="257">
      <c r="A257" s="1" t="s">
        <v>514</v>
      </c>
      <c r="B257" s="2" t="s">
        <v>515</v>
      </c>
      <c r="C257" s="3" t="str">
        <f>IFERROR(__xludf.DUMMYFUNCTION("GOOGLETRANSLATE(A257,""en"",""hy"")"),"ո՞ր տարին էր Նյու Յորքի անջատումը:")</f>
        <v>ո՞ր տարին էր Նյու Յորքի անջատումը:</v>
      </c>
      <c r="D257" s="3" t="str">
        <f>IFERROR(__xludf.DUMMYFUNCTION("GOOGLETRANSLATE(B257,""en"",""hy"")"),"Նյու Յորքի հոսանքազրկումը տեղի է ունեցել 1977 թվականին։")</f>
        <v>Նյու Յորքի հոսանքազրկումը տեղի է ունեցել 1977 թվականին։</v>
      </c>
    </row>
    <row r="258">
      <c r="A258" s="1" t="s">
        <v>516</v>
      </c>
      <c r="B258" s="2" t="s">
        <v>517</v>
      </c>
      <c r="C258" s="3" t="str">
        <f>IFERROR(__xludf.DUMMYFUNCTION("GOOGLETRANSLATE(A258,""en"",""hy"")"),"ո՞ր երկրներն ունեն անգլերենը որպես մայրենի լեզու:")</f>
        <v>ո՞ր երկրներն ունեն անգլերենը որպես մայրենի լեզու:</v>
      </c>
      <c r="D258" s="3" t="str">
        <f>IFERROR(__xludf.DUMMYFUNCTION("GOOGLETRANSLATE(B258,""en"",""hy"")"),"Անգլերենը որպես մայրենի լեզու ունեցող երկրներն են՝ Միացյալ Նահանգները, Միացյալ Թագավորությունը, Կանադան, Ավստրալիան, Նոր Զելանդիան և Իռլանդիան:")</f>
        <v>Անգլերենը որպես մայրենի լեզու ունեցող երկրներն են՝ Միացյալ Նահանգները, Միացյալ Թագավորությունը, Կանադան, Ավստրալիան, Նոր Զելանդիան և Իռլանդիան:</v>
      </c>
    </row>
    <row r="259">
      <c r="A259" s="1" t="s">
        <v>518</v>
      </c>
      <c r="B259" s="2" t="s">
        <v>519</v>
      </c>
      <c r="C259" s="3" t="str">
        <f>IFERROR(__xludf.DUMMYFUNCTION("GOOGLETRANSLATE(A259,""en"",""hy"")"),"ինչ դիրք է խաղում Ռաֆայել Ֆուրկալը")</f>
        <v>ինչ դիրք է խաղում Ռաֆայել Ֆուրկալը</v>
      </c>
      <c r="D259" s="3" t="str">
        <f>IFERROR(__xludf.DUMMYFUNCTION("GOOGLETRANSLATE(B259,""en"",""hy"")"),"Ռաֆայել Ֆուրկալը խաղում է կարճատևի դերում:")</f>
        <v>Ռաֆայել Ֆուրկալը խաղում է կարճատևի դերում:</v>
      </c>
    </row>
    <row r="260">
      <c r="A260" s="1" t="s">
        <v>520</v>
      </c>
      <c r="B260" s="2" t="s">
        <v>521</v>
      </c>
      <c r="C260" s="3" t="str">
        <f>IFERROR(__xludf.DUMMYFUNCTION("GOOGLETRANSLATE(A260,""en"",""hy"")"),"որո՞նք են ԱՄՆ-ի հիմնական արտահանումները:")</f>
        <v>որո՞նք են ԱՄՆ-ի հիմնական արտահանումները:</v>
      </c>
      <c r="D260" s="3" t="str">
        <f>IFERROR(__xludf.DUMMYFUNCTION("GOOGLETRANSLATE(B260,""en"",""hy"")"),"ԱՄՆ-ի հիմնական արտահանումները ներառում են մեքենաներ, ինքնաթիռներ, տրանսպորտային միջոցներ, էլեկտրական սարքավորումներ, բժշկական սարքավորումներ, դեղագործական արտադրանք, պլաստմասսա և հանքային վառելիք:")</f>
        <v>ԱՄՆ-ի հիմնական արտահանումները ներառում են մեքենաներ, ինքնաթիռներ, տրանսպորտային միջոցներ, էլեկտրական սարքավորումներ, բժշկական սարքավորումներ, դեղագործական արտադրանք, պլաստմասսա և հանքային վառելիք:</v>
      </c>
    </row>
    <row r="261">
      <c r="A261" s="1" t="s">
        <v>522</v>
      </c>
      <c r="B261" s="2" t="s">
        <v>523</v>
      </c>
      <c r="C261" s="3" t="str">
        <f>IFERROR(__xludf.DUMMYFUNCTION("GOOGLETRANSLATE(A261,""en"",""hy"")"),"Ո՞ր շոուներում է նկարահանվել Քելլի Մարտինը:")</f>
        <v>Ո՞ր շոուներում է նկարահանվել Քելլի Մարտինը:</v>
      </c>
      <c r="D261" s="3" t="str">
        <f>IFERROR(__xludf.DUMMYFUNCTION("GOOGLETRANSLATE(B261,""en"",""hy"")"),"Քելլի Մարտինը նկարահանվել է մի քանի հեռուստատեսային շոուներում, այդ թվում՝ «Կյանքը շարունակվում է», «ER» և «Առեղծվածային կինը»:")</f>
        <v>Քելլի Մարտինը նկարահանվել է մի քանի հեռուստատեսային շոուներում, այդ թվում՝ «Կյանքը շարունակվում է», «ER» և «Առեղծվածային կինը»:</v>
      </c>
    </row>
    <row r="262">
      <c r="A262" s="1" t="s">
        <v>524</v>
      </c>
      <c r="B262" s="2" t="s">
        <v>525</v>
      </c>
      <c r="C262" s="3" t="str">
        <f>IFERROR(__xludf.DUMMYFUNCTION("GOOGLETRANSLATE(A262,""en"",""hy"")"),"որտեղ է մեծացել Ռիհաննան")</f>
        <v>որտեղ է մեծացել Ռիհաննան</v>
      </c>
      <c r="D262" s="3" t="str">
        <f>IFERROR(__xludf.DUMMYFUNCTION("GOOGLETRANSLATE(B262,""en"",""hy"")"),"Ռիհաննան մեծացել է Բարբադոսում։")</f>
        <v>Ռիհաննան մեծացել է Բարբադոսում։</v>
      </c>
    </row>
    <row r="263">
      <c r="A263" s="1" t="s">
        <v>526</v>
      </c>
      <c r="B263" s="2" t="s">
        <v>527</v>
      </c>
      <c r="C263" s="3" t="str">
        <f>IFERROR(__xludf.DUMMYFUNCTION("GOOGLETRANSLATE(A263,""en"",""hy"")"),"որտեղ է գտնվում Ուիսլեր լեռը:")</f>
        <v>որտեղ է գտնվում Ուիսլեր լեռը:</v>
      </c>
      <c r="D263" s="3" t="str">
        <f>IFERROR(__xludf.DUMMYFUNCTION("GOOGLETRANSLATE(B263,""en"",""hy"")"),"Whistler Mountain-ը գտնվում է Ուիսլեր քաղաքում, Բրիտանական Կոլումբիա, Կանադա:")</f>
        <v>Whistler Mountain-ը գտնվում է Ուիսլեր քաղաքում, Բրիտանական Կոլումբիա, Կանադա:</v>
      </c>
    </row>
    <row r="264">
      <c r="A264" s="1" t="s">
        <v>528</v>
      </c>
      <c r="B264" s="2" t="s">
        <v>529</v>
      </c>
      <c r="C264" s="3" t="str">
        <f>IFERROR(__xludf.DUMMYFUNCTION("GOOGLETRANSLATE(A264,""en"",""hy"")"),"ինչ արժույթ է ինձ պետք Կուբայում:")</f>
        <v>ինչ արժույթ է ինձ պետք Կուբայում:</v>
      </c>
      <c r="D264" s="3" t="str">
        <f>IFERROR(__xludf.DUMMYFUNCTION("GOOGLETRANSLATE(B264,""en"",""hy"")"),"Կուբայական փոխարկելի պեսո (CUC)")</f>
        <v>Կուբայական փոխարկելի պեսո (CUC)</v>
      </c>
    </row>
    <row r="265">
      <c r="A265" s="1" t="s">
        <v>530</v>
      </c>
      <c r="B265" s="2" t="s">
        <v>531</v>
      </c>
      <c r="C265" s="3" t="str">
        <f>IFERROR(__xludf.DUMMYFUNCTION("GOOGLETRANSLATE(A265,""en"",""hy"")"),"Ո՞ր երկրից է եկել Ջեյմսը:")</f>
        <v>Ո՞ր երկրից է եկել Ջեյմսը:</v>
      </c>
      <c r="D265" s="3" t="str">
        <f>IFERROR(__xludf.DUMMYFUNCTION("GOOGLETRANSLATE(B265,""en"",""hy"")"),"Ջեյմս Կուկը եկել է Անգլիայից։")</f>
        <v>Ջեյմս Կուկը եկել է Անգլիայից։</v>
      </c>
    </row>
    <row r="266">
      <c r="A266" s="1" t="s">
        <v>532</v>
      </c>
      <c r="B266" s="2" t="s">
        <v>533</v>
      </c>
      <c r="C266" s="3" t="str">
        <f>IFERROR(__xludf.DUMMYFUNCTION("GOOGLETRANSLATE(A266,""en"",""hy"")"),"ով է Ջուլիա Ռոբերթսն ամուսնացած 2012թ.")</f>
        <v>ով է Ջուլիա Ռոբերթսն ամուսնացած 2012թ.</v>
      </c>
      <c r="D266" s="3" t="str">
        <f>IFERROR(__xludf.DUMMYFUNCTION("GOOGLETRANSLATE(B266,""en"",""hy"")"),"Ջուլիա Ռոբերթսն ամուսնացել է Դենիել Մոդերի հետ 2002 թվականին։")</f>
        <v>Ջուլիա Ռոբերթսն ամուսնացել է Դենիել Մոդերի հետ 2002 թվականին։</v>
      </c>
    </row>
    <row r="267">
      <c r="A267" s="1" t="s">
        <v>534</v>
      </c>
      <c r="B267" s="2" t="s">
        <v>535</v>
      </c>
      <c r="C267" s="3" t="str">
        <f>IFERROR(__xludf.DUMMYFUNCTION("GOOGLETRANSLATE(A267,""en"",""hy"")"),"Ո՞ր մարզաձևով է հանդես գալիս Ռեբեկա Ադլինգթոնը:")</f>
        <v>Ո՞ր մարզաձևով է հանդես գալիս Ռեբեկա Ադլինգթոնը:</v>
      </c>
      <c r="D267" s="3" t="str">
        <f>IFERROR(__xludf.DUMMYFUNCTION("GOOGLETRANSLATE(B267,""en"",""hy"")"),"լողալ")</f>
        <v>լողալ</v>
      </c>
    </row>
    <row r="268">
      <c r="A268" s="1" t="s">
        <v>536</v>
      </c>
      <c r="B268" s="2" t="s">
        <v>537</v>
      </c>
      <c r="C268" s="3" t="str">
        <f>IFERROR(__xludf.DUMMYFUNCTION("GOOGLETRANSLATE(A268,""en"",""hy"")"),"ե՞րբ է տեղի ունեցել քրիստոնեական եկեղեցու երկրաշարժը.")</f>
        <v>ե՞րբ է տեղի ունեցել քրիստոնեական եկեղեցու երկրաշարժը.</v>
      </c>
      <c r="D268" s="3" t="str">
        <f>IFERROR(__xludf.DUMMYFUNCTION("GOOGLETRANSLATE(B268,""en"",""hy"")"),"Քրայսթչերչի երկրաշարժը տեղի է ունեցել 2011 թվականի փետրվարի 22-ին։")</f>
        <v>Քրայսթչերչի երկրաշարժը տեղի է ունեցել 2011 թվականի փետրվարի 22-ին։</v>
      </c>
    </row>
    <row r="269">
      <c r="A269" s="1" t="s">
        <v>538</v>
      </c>
      <c r="B269" s="2" t="s">
        <v>539</v>
      </c>
      <c r="C269" s="3" t="str">
        <f>IFERROR(__xludf.DUMMYFUNCTION("GOOGLETRANSLATE(A269,""en"",""hy"")"),"ուրիշ ո՞ր երկրների հետ է առևտուր անում Կանադան:")</f>
        <v>ուրիշ ո՞ր երկրների հետ է առևտուր անում Կանադան:</v>
      </c>
      <c r="D269" s="3" t="str">
        <f>IFERROR(__xludf.DUMMYFUNCTION("GOOGLETRANSLATE(B269,""en"",""hy"")"),"Կանադան առևտուր է անում բազմաթիվ երկրների հետ, այդ թվում՝ ԱՄՆ-ի, Չինաստանի, Մեքսիկայի, Ճապոնիայի և Միացյալ Թագավորության:")</f>
        <v>Կանադան առևտուր է անում բազմաթիվ երկրների հետ, այդ թվում՝ ԱՄՆ-ի, Չինաստանի, Մեքսիկայի, Ճապոնիայի և Միացյալ Թագավորության:</v>
      </c>
    </row>
    <row r="270">
      <c r="A270" s="1" t="s">
        <v>540</v>
      </c>
      <c r="B270" s="2" t="s">
        <v>541</v>
      </c>
      <c r="C270" s="3" t="str">
        <f>IFERROR(__xludf.DUMMYFUNCTION("GOOGLETRANSLATE(A270,""en"",""hy"")"),"ինչ տեսնել Սինգապուրում գիշերը.")</f>
        <v>ինչ տեսնել Սինգապուրում գիշերը.</v>
      </c>
      <c r="D270" s="3" t="str">
        <f>IFERROR(__xludf.DUMMYFUNCTION("GOOGLETRANSLATE(B270,""en"",""hy"")"),"Սինգապուրի որոշ հայտնի գիշերային տեսարժան վայրերն են Gardens by the Bay, Marina Bay Sands SkyPark, Clarke Quay և Night Safari:")</f>
        <v>Սինգապուրի որոշ հայտնի գիշերային տեսարժան վայրերն են Gardens by the Bay, Marina Bay Sands SkyPark, Clarke Quay և Night Safari:</v>
      </c>
    </row>
    <row r="271">
      <c r="A271" s="1" t="s">
        <v>542</v>
      </c>
      <c r="B271" s="2" t="s">
        <v>543</v>
      </c>
      <c r="C271" s="3" t="str">
        <f>IFERROR(__xludf.DUMMYFUNCTION("GOOGLETRANSLATE(A271,""en"",""hy"")"),"ով խաղաց մեյսոն կապվելը")</f>
        <v>ով խաղաց մեյսոն կապվելը</v>
      </c>
      <c r="D271" s="3" t="str">
        <f>IFERROR(__xludf.DUMMYFUNCTION("GOOGLETRANSLATE(B271,""en"",""hy"")"),"Ռոբին Ռայթ.")</f>
        <v>Ռոբին Ռայթ.</v>
      </c>
    </row>
    <row r="272">
      <c r="A272" s="1" t="s">
        <v>544</v>
      </c>
      <c r="B272" s="2" t="s">
        <v>545</v>
      </c>
      <c r="C272" s="3" t="str">
        <f>IFERROR(__xludf.DUMMYFUNCTION("GOOGLETRANSLATE(A272,""en"",""hy"")"),"ինչով է ամենահայտնի Ջեյմս Մեդիսոնը:")</f>
        <v>ինչով է ամենահայտնի Ջեյմս Մեդիսոնը:</v>
      </c>
      <c r="D272" s="3" t="str">
        <f>IFERROR(__xludf.DUMMYFUNCTION("GOOGLETRANSLATE(B272,""en"",""hy"")"),"Ջեյմս Մեդիսոնն առավել հայտնի է որպես Միացյալ Նահանգների հիմնադիր հայրերից մեկը և Միացյալ Նահանգների Սահմանադրության գլխավոր ճարտարապետը լինելու համար: Նա նաև ծառայել է որպես Միացյալ Նահանգների չորրորդ նախագահը։")</f>
        <v>Ջեյմս Մեդիսոնն առավել հայտնի է որպես Միացյալ Նահանգների հիմնադիր հայրերից մեկը և Միացյալ Նահանգների Սահմանադրության գլխավոր ճարտարապետը լինելու համար: Նա նաև ծառայել է որպես Միացյալ Նահանգների չորրորդ նախագահը։</v>
      </c>
    </row>
    <row r="273">
      <c r="A273" s="1" t="s">
        <v>546</v>
      </c>
      <c r="B273" s="2" t="s">
        <v>547</v>
      </c>
      <c r="C273" s="3" t="str">
        <f>IFERROR(__xludf.DUMMYFUNCTION("GOOGLETRANSLATE(A273,""en"",""hy"")"),"ում դեմ ապստամբեցին մակաբայները.")</f>
        <v>ում դեմ ապստամբեցին մակաբայները.</v>
      </c>
      <c r="D273" s="3" t="str">
        <f>IFERROR(__xludf.DUMMYFUNCTION("GOOGLETRANSLATE(B273,""en"",""hy"")"),"Մակաբայներն ապստամբեցին Սելևկյան կայսրության դեմ։")</f>
        <v>Մակաբայներն ապստամբեցին Սելևկյան կայսրության դեմ։</v>
      </c>
    </row>
    <row r="274">
      <c r="A274" s="1" t="s">
        <v>548</v>
      </c>
      <c r="B274" s="2" t="s">
        <v>549</v>
      </c>
      <c r="C274" s="3" t="str">
        <f>IFERROR(__xludf.DUMMYFUNCTION("GOOGLETRANSLATE(A274,""en"",""hy"")"),"որտե՞ղ էր հակաէթամ գետի ճակատամարտը:")</f>
        <v>որտե՞ղ էր հակաէթամ գետի ճակատամարտը:</v>
      </c>
      <c r="D274" s="3" t="str">
        <f>IFERROR(__xludf.DUMMYFUNCTION("GOOGLETRANSLATE(B274,""en"",""hy"")"),"Անտիետամ Քրիքի ճակատամարտը տեղի ունեցավ Մերիլենդում։")</f>
        <v>Անտիետամ Քրիքի ճակատամարտը տեղի ունեցավ Մերիլենդում։</v>
      </c>
    </row>
    <row r="275">
      <c r="A275" s="1" t="s">
        <v>550</v>
      </c>
      <c r="B275" s="2" t="s">
        <v>551</v>
      </c>
      <c r="C275" s="3" t="str">
        <f>IFERROR(__xludf.DUMMYFUNCTION("GOOGLETRANSLATE(A275,""en"",""hy"")"),"Ո՞ր պատերազմի ժամանակ էր Աբրահամ Լինքոլնը նախագահ:")</f>
        <v>Ո՞ր պատերազմի ժամանակ էր Աբրահամ Լինքոլնը նախագահ:</v>
      </c>
      <c r="D275" s="3" t="str">
        <f>IFERROR(__xludf.DUMMYFUNCTION("GOOGLETRANSLATE(B275,""en"",""hy"")"),"Ամերիկյան քաղաքացիական պատերազմ.")</f>
        <v>Ամերիկյան քաղաքացիական պատերազմ.</v>
      </c>
    </row>
    <row r="276">
      <c r="A276" s="1" t="s">
        <v>552</v>
      </c>
      <c r="B276" s="2" t="s">
        <v>553</v>
      </c>
      <c r="C276" s="3" t="str">
        <f>IFERROR(__xludf.DUMMYFUNCTION("GOOGLETRANSLATE(A276,""en"",""hy"")"),"ովքեր են Շեքսպիրի ծնողների անունները")</f>
        <v>ովքեր են Շեքսպիրի ծնողների անունները</v>
      </c>
      <c r="D276" s="3" t="str">
        <f>IFERROR(__xludf.DUMMYFUNCTION("GOOGLETRANSLATE(B276,""en"",""hy"")"),"Շեքսպիրի ծնողների անուններն էին Ջոն Շեքսպիր և Մերի Արդեն։")</f>
        <v>Շեքսպիրի ծնողների անուններն էին Ջոն Շեքսպիր և Մերի Արդեն։</v>
      </c>
    </row>
    <row r="277">
      <c r="A277" s="1" t="s">
        <v>554</v>
      </c>
      <c r="B277" s="2" t="s">
        <v>555</v>
      </c>
      <c r="C277" s="3" t="str">
        <f>IFERROR(__xludf.DUMMYFUNCTION("GOOGLETRANSLATE(A277,""en"",""hy"")"),"որտեղից է նա Շակիրայից")</f>
        <v>որտեղից է նա Շակիրայից</v>
      </c>
      <c r="D277" s="3" t="str">
        <f>IFERROR(__xludf.DUMMYFUNCTION("GOOGLETRANSLATE(B277,""en"",""hy"")"),"Շակիրան Կոլումբիայից է։")</f>
        <v>Շակիրան Կոլումբիայից է։</v>
      </c>
    </row>
    <row r="278">
      <c r="A278" s="1" t="s">
        <v>556</v>
      </c>
      <c r="B278" s="2" t="s">
        <v>557</v>
      </c>
      <c r="C278" s="3" t="str">
        <f>IFERROR(__xludf.DUMMYFUNCTION("GOOGLETRANSLATE(A278,""en"",""hy"")"),"ով է խաղում կապիտան Քըրքի դերը 2009 թվականին:")</f>
        <v>ով է խաղում կապիտան Քըրքի դերը 2009 թվականին:</v>
      </c>
      <c r="D278" s="3" t="str">
        <f>IFERROR(__xludf.DUMMYFUNCTION("GOOGLETRANSLATE(B278,""en"",""hy"")"),"Քրիս Փայն.")</f>
        <v>Քրիս Փայն.</v>
      </c>
    </row>
    <row r="279">
      <c r="A279" s="1" t="s">
        <v>558</v>
      </c>
      <c r="B279" s="2" t="s">
        <v>559</v>
      </c>
      <c r="C279" s="3" t="str">
        <f>IFERROR(__xludf.DUMMYFUNCTION("GOOGLETRANSLATE(A279,""en"",""hy"")"),"ում հետ ամուսնացավ Հերան")</f>
        <v>ում հետ ամուսնացավ Հերան</v>
      </c>
      <c r="D279" s="3" t="str">
        <f>IFERROR(__xludf.DUMMYFUNCTION("GOOGLETRANSLATE(B279,""en"",""hy"")"),"Հերան ամուսնացավ Զևսի հետ:")</f>
        <v>Հերան ամուսնացավ Զևսի հետ:</v>
      </c>
    </row>
    <row r="280">
      <c r="A280" s="1" t="s">
        <v>560</v>
      </c>
      <c r="B280" s="2" t="s">
        <v>561</v>
      </c>
      <c r="C280" s="3" t="str">
        <f>IFERROR(__xludf.DUMMYFUNCTION("GOOGLETRANSLATE(A280,""en"",""hy"")"),"Ինչ կիթառ է նվագում Քըրք Համեթը:")</f>
        <v>Ինչ կիթառ է նվագում Քըրք Համեթը:</v>
      </c>
      <c r="D280" s="3" t="str">
        <f>IFERROR(__xludf.DUMMYFUNCTION("GOOGLETRANSLATE(B280,""en"",""hy"")"),"Քըրք Համեթը նվագում է Գիբսոնի կիթառ:")</f>
        <v>Քըրք Համեթը նվագում է Գիբսոնի կիթառ:</v>
      </c>
    </row>
    <row r="281">
      <c r="A281" s="1" t="s">
        <v>562</v>
      </c>
      <c r="B281" s="2" t="s">
        <v>563</v>
      </c>
      <c r="C281" s="3" t="str">
        <f>IFERROR(__xludf.DUMMYFUNCTION("GOOGLETRANSLATE(A281,""en"",""hy"")"),"ինչ լեզվով են խոսում Ֆիլիպիններում:")</f>
        <v>ինչ լեզվով են խոսում Ֆիլիպիններում:</v>
      </c>
      <c r="D281" s="3" t="str">
        <f>IFERROR(__xludf.DUMMYFUNCTION("GOOGLETRANSLATE(B281,""en"",""hy"")"),"Ֆիլիպինների պաշտոնական լեզուն ֆիլիպիներենն է, սակայն անգլերենը լայնորեն խոսվում և հասկացվում է:")</f>
        <v>Ֆիլիպինների պաշտոնական լեզուն ֆիլիպիներենն է, սակայն անգլերենը լայնորեն խոսվում և հասկացվում է:</v>
      </c>
    </row>
    <row r="282">
      <c r="A282" s="1" t="s">
        <v>564</v>
      </c>
      <c r="B282" s="2" t="s">
        <v>565</v>
      </c>
      <c r="C282" s="3" t="str">
        <f>IFERROR(__xludf.DUMMYFUNCTION("GOOGLETRANSLATE(A282,""en"",""hy"")"),"որտեղ է գտնվում Կակադու ազգային պարկը:")</f>
        <v>որտեղ է գտնվում Կակադու ազգային պարկը:</v>
      </c>
      <c r="D282" s="3" t="str">
        <f>IFERROR(__xludf.DUMMYFUNCTION("GOOGLETRANSLATE(B282,""en"",""hy"")"),"Կակադու ազգային պարկը գտնվում է Ավստրալիայում։")</f>
        <v>Կակադու ազգային պարկը գտնվում է Ավստրալիայում։</v>
      </c>
    </row>
    <row r="283">
      <c r="A283" s="1" t="s">
        <v>566</v>
      </c>
      <c r="B283" s="2" t="s">
        <v>567</v>
      </c>
      <c r="C283" s="3" t="str">
        <f>IFERROR(__xludf.DUMMYFUNCTION("GOOGLETRANSLATE(A283,""en"",""hy"")"),"ի՞նչ անել այսօր Դենվերում երեխաների հետ:")</f>
        <v>ի՞նչ անել այսօր Դենվերում երեխաների հետ:</v>
      </c>
      <c r="D283" s="3" t="str">
        <f>IFERROR(__xludf.DUMMYFUNCTION("GOOGLETRANSLATE(B283,""en"",""hy"")"),"Այցելեք Դենվերի կենդանաբանական այգի կամ Դենվերի բնության և գիտության թանգարան:")</f>
        <v>Այցելեք Դենվերի կենդանաբանական այգի կամ Դենվերի բնության և գիտության թանգարան:</v>
      </c>
    </row>
    <row r="284">
      <c r="A284" s="1" t="s">
        <v>568</v>
      </c>
      <c r="B284" s="2" t="s">
        <v>569</v>
      </c>
      <c r="C284" s="3" t="str">
        <f>IFERROR(__xludf.DUMMYFUNCTION("GOOGLETRANSLATE(A284,""en"",""hy"")"),"ինչ գումար է օգտագործում Ջամայկան")</f>
        <v>ինչ գումար է օգտագործում Ջամայկան</v>
      </c>
      <c r="D284" s="3" t="str">
        <f>IFERROR(__xludf.DUMMYFUNCTION("GOOGLETRANSLATE(B284,""en"",""hy"")"),"Ճամայկան օգտագործում է Յամայկայի դոլարը։")</f>
        <v>Ճամայկան օգտագործում է Յամայկայի դոլարը։</v>
      </c>
    </row>
    <row r="285">
      <c r="A285" s="1" t="s">
        <v>570</v>
      </c>
      <c r="B285" s="2" t="s">
        <v>571</v>
      </c>
      <c r="C285" s="3" t="str">
        <f>IFERROR(__xludf.DUMMYFUNCTION("GOOGLETRANSLATE(A285,""en"",""hy"")"),"Ո՞ր տարին է Ուիլյամ Մքքինլին նախագահ դարձել:")</f>
        <v>Ո՞ր տարին է Ուիլյամ Մքքինլին նախագահ դարձել:</v>
      </c>
      <c r="D285" s="3" t="str">
        <f>IFERROR(__xludf.DUMMYFUNCTION("GOOGLETRANSLATE(B285,""en"",""hy"")"),"Ուիլյամ ՄաքՔինլին նախագահ է դարձել 1897 թվականին։")</f>
        <v>Ուիլյամ ՄաքՔինլին նախագահ է դարձել 1897 թվականին։</v>
      </c>
    </row>
    <row r="286">
      <c r="A286" s="1" t="s">
        <v>572</v>
      </c>
      <c r="B286" s="2" t="s">
        <v>573</v>
      </c>
      <c r="C286" s="3" t="str">
        <f>IFERROR(__xludf.DUMMYFUNCTION("GOOGLETRANSLATE(A286,""en"",""hy"")"),"Ո՞ր ամսաթվին է Քենեդին դարձել նախագահ")</f>
        <v>Ո՞ր ամսաթվին է Քենեդին դարձել նախագահ</v>
      </c>
      <c r="D286" s="3" t="str">
        <f>IFERROR(__xludf.DUMMYFUNCTION("GOOGLETRANSLATE(B286,""en"",""hy"")"),"20 հունվարի, 1961 թ.")</f>
        <v>20 հունվարի, 1961 թ.</v>
      </c>
    </row>
    <row r="287">
      <c r="A287" s="1" t="s">
        <v>574</v>
      </c>
      <c r="B287" s="2" t="s">
        <v>575</v>
      </c>
      <c r="C287" s="3" t="str">
        <f>IFERROR(__xludf.DUMMYFUNCTION("GOOGLETRANSLATE(A287,""en"",""hy"")"),"Ո՞ր ժամային գոտում է Կոլորադոն հիմա:")</f>
        <v>Ո՞ր ժամային գոտում է Կոլորադոն հիմա:</v>
      </c>
      <c r="D287" s="3" t="str">
        <f>IFERROR(__xludf.DUMMYFUNCTION("GOOGLETRANSLATE(B287,""en"",""hy"")"),"Լեռնային Ժամային Գոտի.")</f>
        <v>Լեռնային Ժամային Գոտի.</v>
      </c>
    </row>
    <row r="288">
      <c r="A288" s="1" t="s">
        <v>576</v>
      </c>
      <c r="B288" s="2" t="s">
        <v>577</v>
      </c>
      <c r="C288" s="3" t="str">
        <f>IFERROR(__xludf.DUMMYFUNCTION("GOOGLETRANSLATE(A288,""en"",""hy"")"),"ո՞ւմ է պատկանում aston Martin 2012-ը:")</f>
        <v>ո՞ւմ է պատկանում aston Martin 2012-ը:</v>
      </c>
      <c r="D288" s="3" t="str">
        <f>IFERROR(__xludf.DUMMYFUNCTION("GOOGLETRANSLATE(B288,""en"",""hy"")"),"2012 թվականի դրությամբ Aston Martin-ը պատկանում էր Investment Dar և Adeem Investment ընկերություններին:")</f>
        <v>2012 թվականի դրությամբ Aston Martin-ը պատկանում էր Investment Dar և Adeem Investment ընկերություններին:</v>
      </c>
    </row>
    <row r="289">
      <c r="A289" s="1" t="s">
        <v>578</v>
      </c>
      <c r="B289" s="2" t="s">
        <v>579</v>
      </c>
      <c r="C289" s="3" t="str">
        <f>IFERROR(__xludf.DUMMYFUNCTION("GOOGLETRANSLATE(A289,""en"",""hy"")"),"ինչ հիվանդություն է ստացել Ջեք Օսբորնը")</f>
        <v>ինչ հիվանդություն է ստացել Ջեք Օսբորնը</v>
      </c>
      <c r="D289" s="3" t="str">
        <f>IFERROR(__xludf.DUMMYFUNCTION("GOOGLETRANSLATE(B289,""en"",""hy"")"),"Ջեք Օսբորնը բազմակի սկլերոզ ունի։")</f>
        <v>Ջեք Օսբորնը բազմակի սկլերոզ ունի։</v>
      </c>
    </row>
    <row r="290">
      <c r="A290" s="1" t="s">
        <v>580</v>
      </c>
      <c r="B290" s="2" t="s">
        <v>581</v>
      </c>
      <c r="C290" s="3" t="str">
        <f>IFERROR(__xludf.DUMMYFUNCTION("GOOGLETRANSLATE(A290,""en"",""hy"")"),"ինչի՞ են հավատում իսլամականները")</f>
        <v>ինչի՞ են հավատում իսլամականները</v>
      </c>
      <c r="D290" s="3" t="str">
        <f>IFERROR(__xludf.DUMMYFUNCTION("GOOGLETRANSLATE(B290,""en"",""hy"")"),"Մուսուլմանները հավատում են Ալլահի (Աստծո) միասնությանը և որ Մուհամմադը Նրա վերջին և ճշմարիտ առաքյալն է: Նրանք նաև հավատում են Ղուրանին՝ որպես սուրբ գրքի և հետևելով իսլամի հինգ սյուներին, որոնք ներառում են հավատք, աղոթք, բարեգործություն, ծոմապահություն և ո"&amp;"ւխտագնացություն դեպի Մեքքա:")</f>
        <v>Մուսուլմանները հավատում են Ալլահի (Աստծո) միասնությանը և որ Մուհամմադը Նրա վերջին և ճշմարիտ առաքյալն է: Նրանք նաև հավատում են Ղուրանին՝ որպես սուրբ գրքի և հետևելով իսլամի հինգ սյուներին, որոնք ներառում են հավատք, աղոթք, բարեգործություն, ծոմապահություն և ուխտագնացություն դեպի Մեքքա:</v>
      </c>
    </row>
    <row r="291">
      <c r="A291" s="1" t="s">
        <v>582</v>
      </c>
      <c r="B291" s="2" t="s">
        <v>583</v>
      </c>
      <c r="C291" s="3" t="str">
        <f>IFERROR(__xludf.DUMMYFUNCTION("GOOGLETRANSLATE(A291,""en"",""hy"")"),"ո՞ւմ համար է խաղալու Դեյվիդ Բեքհեմը 2013 թվականին.")</f>
        <v>ո՞ւմ համար է խաղալու Դեյվիդ Բեքհեմը 2013 թվականին.</v>
      </c>
      <c r="D291" s="3" t="str">
        <f>IFERROR(__xludf.DUMMYFUNCTION("GOOGLETRANSLATE(B291,""en"",""hy"")"),"Դևիդ Բեքհեմը 2013 թվականին հանդես է եկել ՊՍԺ-ում:")</f>
        <v>Դևիդ Բեքհեմը 2013 թվականին հանդես է եկել ՊՍԺ-ում:</v>
      </c>
    </row>
    <row r="292">
      <c r="A292" s="1" t="s">
        <v>584</v>
      </c>
      <c r="B292" s="2" t="s">
        <v>585</v>
      </c>
      <c r="C292" s="3" t="str">
        <f>IFERROR(__xludf.DUMMYFUNCTION("GOOGLETRANSLATE(A292,""en"",""hy"")"),"ինչ լեզվով են խոսում Թայվանում:")</f>
        <v>ինչ լեզվով են խոսում Թայվանում:</v>
      </c>
      <c r="D292" s="3" t="str">
        <f>IFERROR(__xludf.DUMMYFUNCTION("GOOGLETRANSLATE(B292,""en"",""hy"")"),"Թայվանում խոսվող պաշտոնական լեզուն մանդարին չինարենն է։")</f>
        <v>Թայվանում խոսվող պաշտոնական լեզուն մանդարին չինարենն է։</v>
      </c>
    </row>
    <row r="293">
      <c r="A293" s="1" t="s">
        <v>586</v>
      </c>
      <c r="B293" s="2" t="s">
        <v>587</v>
      </c>
      <c r="C293" s="3" t="str">
        <f>IFERROR(__xludf.DUMMYFUNCTION("GOOGLETRANSLATE(A293,""en"",""hy"")"),"ո՞ւմ են պատկանում տորոնտոյի թխկի տերևները:")</f>
        <v>ո՞ւմ են պատկանում տորոնտոյի թխկի տերևները:</v>
      </c>
      <c r="D293" s="3" t="str">
        <f>IFERROR(__xludf.DUMMYFUNCTION("GOOGLETRANSLATE(B293,""en"",""hy"")"),"Maple Leaf Sports &amp; Entertainment-ը պատկանում է Toronto Maple Leafs-ին:")</f>
        <v>Maple Leaf Sports &amp; Entertainment-ը պատկանում է Toronto Maple Leafs-ին:</v>
      </c>
    </row>
    <row r="294">
      <c r="A294" s="1" t="s">
        <v>588</v>
      </c>
      <c r="B294" s="2" t="s">
        <v>589</v>
      </c>
      <c r="C294" s="3" t="str">
        <f>IFERROR(__xludf.DUMMYFUNCTION("GOOGLETRANSLATE(A294,""en"",""hy"")"),"Ո՞ր շրջանում է Նովատո Կալիֆոռնիան:")</f>
        <v>Ո՞ր շրջանում է Նովատո Կալիֆոռնիան:</v>
      </c>
      <c r="D294" s="3" t="str">
        <f>IFERROR(__xludf.DUMMYFUNCTION("GOOGLETRANSLATE(B294,""en"",""hy"")"),"Մարին շրջան")</f>
        <v>Մարին շրջան</v>
      </c>
    </row>
    <row r="295">
      <c r="A295" s="1" t="s">
        <v>590</v>
      </c>
      <c r="B295" s="2" t="s">
        <v>591</v>
      </c>
      <c r="C295" s="3" t="str">
        <f>IFERROR(__xludf.DUMMYFUNCTION("GOOGLETRANSLATE(A295,""en"",""hy"")"),"որո՞նք են սիկհիզմի հիմնական համոզմունքները:")</f>
        <v>որո՞նք են սիկհիզմի հիմնական համոզմունքները:</v>
      </c>
      <c r="D295" s="3" t="str">
        <f>IFERROR(__xludf.DUMMYFUNCTION("GOOGLETRANSLATE(B295,""en"",""hy"")"),"Սիկհիզմի հիմնական համոզմունքները ներառում են հավատը մեկ Աստծո հանդեպ, բոլոր մարդկանց հավասարությունը, ուրիշներին ծառայելը և ճշմարտացի և ազնիվ կյանք վարելը:")</f>
        <v>Սիկհիզմի հիմնական համոզմունքները ներառում են հավատը մեկ Աստծո հանդեպ, բոլոր մարդկանց հավասարությունը, ուրիշներին ծառայելը և ճշմարտացի և ազնիվ կյանք վարելը:</v>
      </c>
    </row>
    <row r="296">
      <c r="A296" s="1" t="s">
        <v>592</v>
      </c>
      <c r="B296" s="2" t="s">
        <v>593</v>
      </c>
      <c r="C296" s="3" t="str">
        <f>IFERROR(__xludf.DUMMYFUNCTION("GOOGLETRANSLATE(A296,""en"",""hy"")"),"որտեղ է մահացել Էռնանդո Կորտեսը.")</f>
        <v>որտեղ է մահացել Էռնանդո Կորտեսը.</v>
      </c>
      <c r="D296" s="3" t="str">
        <f>IFERROR(__xludf.DUMMYFUNCTION("GOOGLETRANSLATE(B296,""en"",""hy"")"),"Էրնանդո Կորտեսը մահացել է Իսպանիայի Սևիլիա քաղաքում։")</f>
        <v>Էրնանդո Կորտեսը մահացել է Իսպանիայի Սևիլիա քաղաքում։</v>
      </c>
    </row>
    <row r="297">
      <c r="A297" s="1" t="s">
        <v>594</v>
      </c>
      <c r="B297" s="2" t="s">
        <v>595</v>
      </c>
      <c r="C297" s="3" t="str">
        <f>IFERROR(__xludf.DUMMYFUNCTION("GOOGLETRANSLATE(A297,""en"",""hy"")"),"ով էր նաև Լիզ Թեյլորն ամուսնացած:")</f>
        <v>ով էր նաև Լիզ Թեյլորն ամուսնացած:</v>
      </c>
      <c r="D297" s="3" t="str">
        <f>IFERROR(__xludf.DUMMYFUNCTION("GOOGLETRANSLATE(B297,""en"",""hy"")"),"Էլիզաբեթ Թեյլորն ամուսնացել է ընդհանուր առմամբ յոթ անգամ։ Նրա ամուսիններն էին` Կոնրադ Հիլթոն կրտսերը, Մայքլ Ուայլդինգը, Մայք Թոդը, Էդի Ֆիշերը, Ռիչարդ Բերթոնը (երկու անգամ), Ջոն Ուորները և Լարի Ֆորտենսկին:")</f>
        <v>Էլիզաբեթ Թեյլորն ամուսնացել է ընդհանուր առմամբ յոթ անգամ։ Նրա ամուսիններն էին` Կոնրադ Հիլթոն կրտսերը, Մայքլ Ուայլդինգը, Մայք Թոդը, Էդի Ֆիշերը, Ռիչարդ Բերթոնը (երկու անգամ), Ջոն Ուորները և Լարի Ֆորտենսկին:</v>
      </c>
    </row>
    <row r="298">
      <c r="A298" s="1" t="s">
        <v>596</v>
      </c>
      <c r="B298" s="2" t="s">
        <v>597</v>
      </c>
      <c r="C298" s="3" t="str">
        <f>IFERROR(__xludf.DUMMYFUNCTION("GOOGLETRANSLATE(A298,""en"",""hy"")"),"որտեղ էր գտնվում Միջագետքի հնագույն շրջանը:")</f>
        <v>որտեղ էր գտնվում Միջագետքի հնագույն շրջանը:</v>
      </c>
      <c r="D298" s="3" t="str">
        <f>IFERROR(__xludf.DUMMYFUNCTION("GOOGLETRANSLATE(B298,""en"",""hy"")"),"Միջագետքի հնագույն շրջանը գտնվում էր ներկայիս Իրաքում և Սիրիայի, Թուրքիայի և Իրանի որոշ հատվածներում։")</f>
        <v>Միջագետքի հնագույն շրջանը գտնվում էր ներկայիս Իրաքում և Սիրիայի, Թուրքիայի և Իրանի որոշ հատվածներում։</v>
      </c>
    </row>
    <row r="299">
      <c r="A299" s="1" t="s">
        <v>598</v>
      </c>
      <c r="B299" s="2" t="s">
        <v>599</v>
      </c>
      <c r="C299" s="3" t="str">
        <f>IFERROR(__xludf.DUMMYFUNCTION("GOOGLETRANSLATE(A299,""en"",""hy"")"),"ո՞ւմ հետ է եղել բրենդին ամուսնացած իսկական տնային տնտեսուհիների հետ.")</f>
        <v>ո՞ւմ հետ է եղել բրենդին ամուսնացած իսկական տնային տնտեսուհիների հետ.</v>
      </c>
      <c r="D299" s="3" t="str">
        <f>IFERROR(__xludf.DUMMYFUNCTION("GOOGLETRANSLATE(B299,""en"",""hy"")"),"Բրենդի Գլանվիլն ամուսնացած էր դերասան Էդի Սիբրյանի հետ։")</f>
        <v>Բրենդի Գլանվիլն ամուսնացած էր դերասան Էդի Սիբրյանի հետ։</v>
      </c>
    </row>
    <row r="300">
      <c r="A300" s="1" t="s">
        <v>600</v>
      </c>
      <c r="B300" s="2" t="s">
        <v>601</v>
      </c>
      <c r="C300" s="3" t="str">
        <f>IFERROR(__xludf.DUMMYFUNCTION("GOOGLETRANSLATE(A300,""en"",""hy"")"),"Ե՞րբ են charlotte bobcats-ը առաջին անգամ խաղացել nba-ում:")</f>
        <v>Ե՞րբ են charlotte bobcats-ը առաջին անգամ խաղացել nba-ում:</v>
      </c>
      <c r="D300" s="3" t="str">
        <f>IFERROR(__xludf.DUMMYFUNCTION("GOOGLETRANSLATE(B300,""en"",""hy"")"),"Շառլոտ Բոբքեթսն առաջին անգամ խաղացել է NBA-ում 2004-2005 մրցաշրջանում։")</f>
        <v>Շառլոտ Բոբքեթսն առաջին անգամ խաղացել է NBA-ում 2004-2005 մրցաշրջանում։</v>
      </c>
    </row>
    <row r="301">
      <c r="A301" s="1" t="s">
        <v>602</v>
      </c>
      <c r="B301" s="2" t="s">
        <v>603</v>
      </c>
      <c r="C301" s="3" t="str">
        <f>IFERROR(__xludf.DUMMYFUNCTION("GOOGLETRANSLATE(A301,""en"",""hy"")"),"ինչ է գիրքը գրել Հիտլերը բանտում:")</f>
        <v>ինչ է գիրքը գրել Հիտլերը բանտում:</v>
      </c>
      <c r="D301" s="3" t="str">
        <f>IFERROR(__xludf.DUMMYFUNCTION("GOOGLETRANSLATE(B301,""en"",""hy"")"),"Գիրքը, որը Հիտլերը գրել է բանտում, կոչվում է «Mein Kampf»:")</f>
        <v>Գիրքը, որը Հիտլերը գրել է բանտում, կոչվում է «Mein Kampf»:</v>
      </c>
    </row>
    <row r="302">
      <c r="A302" s="1" t="s">
        <v>604</v>
      </c>
      <c r="B302" s="2" t="s">
        <v>605</v>
      </c>
      <c r="C302" s="3" t="str">
        <f>IFERROR(__xludf.DUMMYFUNCTION("GOOGLETRANSLATE(A302,""en"",""hy"")"),"որտեղ է գտնվում Օսմանյան կայսրությունը.")</f>
        <v>որտեղ է գտնվում Օսմանյան կայսրությունը.</v>
      </c>
      <c r="D302" s="3" t="str">
        <f>IFERROR(__xludf.DUMMYFUNCTION("GOOGLETRANSLATE(B302,""en"",""hy"")"),"Օսմանյան կայսրությունը գտնվում էր ժամանակակից Թուրքիայում և Հարավարևելյան Եվրոպայի, Հարավարևմտյան Ասիայի և Հյուսիսային Աֆրիկայի որոշ մասերում։")</f>
        <v>Օսմանյան կայսրությունը գտնվում էր ժամանակակից Թուրքիայում և Հարավարևելյան Եվրոպայի, Հարավարևմտյան Ասիայի և Հյուսիսային Աֆրիկայի որոշ մասերում։</v>
      </c>
    </row>
    <row r="303">
      <c r="A303" s="1" t="s">
        <v>606</v>
      </c>
      <c r="B303" s="2" t="s">
        <v>607</v>
      </c>
      <c r="C303" s="3" t="str">
        <f>IFERROR(__xludf.DUMMYFUNCTION("GOOGLETRANSLATE(A303,""en"",""hy"")"),"ո՞ր քաղաքն է անցկացրել ամառային օլիմպիական խաղերը երկու անգամ.")</f>
        <v>ո՞ր քաղաքն է անցկացրել ամառային օլիմպիական խաղերը երկու անգամ.</v>
      </c>
      <c r="D303" s="3" t="str">
        <f>IFERROR(__xludf.DUMMYFUNCTION("GOOGLETRANSLATE(B303,""en"",""hy"")"),"Լոնդոն.")</f>
        <v>Լոնդոն.</v>
      </c>
    </row>
    <row r="304">
      <c r="A304" s="1" t="s">
        <v>608</v>
      </c>
      <c r="B304" s="2" t="s">
        <v>609</v>
      </c>
      <c r="C304" s="3" t="str">
        <f>IFERROR(__xludf.DUMMYFUNCTION("GOOGLETRANSLATE(A304,""en"",""hy"")"),"ում են պատկանում Green Bay packers-ը:")</f>
        <v>ում են պատկանում Green Bay packers-ը:</v>
      </c>
      <c r="D304" s="3" t="str">
        <f>IFERROR(__xludf.DUMMYFUNCTION("GOOGLETRANSLATE(B304,""en"",""hy"")"),"Green Bay Packers-ը պատկանում է երկրպագուներին:")</f>
        <v>Green Bay Packers-ը պատկանում է երկրպագուներին:</v>
      </c>
    </row>
    <row r="305">
      <c r="A305" s="1" t="s">
        <v>610</v>
      </c>
      <c r="B305" s="2" t="s">
        <v>611</v>
      </c>
      <c r="C305" s="3" t="str">
        <f>IFERROR(__xludf.DUMMYFUNCTION("GOOGLETRANSLATE(A305,""en"",""hy"")"),"ի՞նչը ոգեշնչեց Լենգսթոն Հյուզին բանաստեղծություն գրել:")</f>
        <v>ի՞նչը ոգեշնչեց Լենգսթոն Հյուզին բանաստեղծություն գրել:</v>
      </c>
      <c r="D305" s="3" t="str">
        <f>IFERROR(__xludf.DUMMYFUNCTION("GOOGLETRANSLATE(B305,""en"",""hy"")"),"Լենգսթոն Հյուզը պոեզիա գրելիս ոգեշնչվել է որպես աֆրոամերիկացու իր փորձառությունները, սևամորթ կյանքի պայքարն ու ուրախությունն արտահայտելու իր կիրքը և մարգինալացվածներին և ճնշվածներին ձայն տալու ցանկությունը:")</f>
        <v>Լենգսթոն Հյուզը պոեզիա գրելիս ոգեշնչվել է որպես աֆրոամերիկացու իր փորձառությունները, սևամորթ կյանքի պայքարն ու ուրախությունն արտահայտելու իր կիրքը և մարգինալացվածներին և ճնշվածներին ձայն տալու ցանկությունը:</v>
      </c>
    </row>
    <row r="306">
      <c r="A306" s="1" t="s">
        <v>612</v>
      </c>
      <c r="B306" s="2" t="s">
        <v>613</v>
      </c>
      <c r="C306" s="3" t="str">
        <f>IFERROR(__xludf.DUMMYFUNCTION("GOOGLETRANSLATE(A306,""en"",""hy"")"),"ինչ լեզուներ կան Շվեյցարիայում:")</f>
        <v>ինչ լեզուներ կան Շվեյցարիայում:</v>
      </c>
      <c r="D306" s="3" t="str">
        <f>IFERROR(__xludf.DUMMYFUNCTION("GOOGLETRANSLATE(B306,""en"",""hy"")"),"Շվեյցարիայի պաշտոնական լեզուներն են գերմաներենը, ֆրանսերենը, իտալերենը և ռոմանշերենը։")</f>
        <v>Շվեյցարիայի պաշտոնական լեզուներն են գերմաներենը, ֆրանսերենը, իտալերենը և ռոմանշերենը։</v>
      </c>
    </row>
    <row r="307">
      <c r="A307" s="1" t="s">
        <v>614</v>
      </c>
      <c r="B307" s="2" t="s">
        <v>615</v>
      </c>
      <c r="C307" s="3" t="str">
        <f>IFERROR(__xludf.DUMMYFUNCTION("GOOGLETRANSLATE(A307,""en"",""hy"")"),"ե՞րբ է վերջին անգամ օրիոլները հաղթական սեզոն ունեցել:")</f>
        <v>ե՞րբ է վերջին անգամ օրիոլները հաղթական սեզոն ունեցել:</v>
      </c>
      <c r="D307" s="3" t="str">
        <f>IFERROR(__xludf.DUMMYFUNCTION("GOOGLETRANSLATE(B307,""en"",""hy"")"),"Վերջին անգամ Orioles-ը հաղթական մրցաշրջան է անցկացրել 2016 թվականին:")</f>
        <v>Վերջին անգամ Orioles-ը հաղթական մրցաշրջան է անցկացրել 2016 թվականին:</v>
      </c>
    </row>
    <row r="308">
      <c r="A308" s="1" t="s">
        <v>616</v>
      </c>
      <c r="B308" s="2" t="s">
        <v>617</v>
      </c>
      <c r="C308" s="3" t="str">
        <f>IFERROR(__xludf.DUMMYFUNCTION("GOOGLETRANSLATE(A308,""en"",""hy"")"),"ինչ է արտահանում Ավստրալիան")</f>
        <v>ինչ է արտահանում Ավստրալիան</v>
      </c>
      <c r="D308" s="3" t="str">
        <f>IFERROR(__xludf.DUMMYFUNCTION("GOOGLETRANSLATE(B308,""en"",""hy"")"),"Ավստրալիան արտահանում է մի շարք ապրանքներ, ներառյալ հանքանյութեր, մետաղներ, գյուղատնտեսական ապրանքներ, մեքենաներ և ծառայություններ:")</f>
        <v>Ավստրալիան արտահանում է մի շարք ապրանքներ, ներառյալ հանքանյութեր, մետաղներ, գյուղատնտեսական ապրանքներ, մեքենաներ և ծառայություններ:</v>
      </c>
    </row>
    <row r="309">
      <c r="A309" s="1" t="s">
        <v>618</v>
      </c>
      <c r="B309" s="2" t="s">
        <v>619</v>
      </c>
      <c r="C309" s="3" t="str">
        <f>IFERROR(__xludf.DUMMYFUNCTION("GOOGLETRANSLATE(A309,""en"",""hy"")"),"որտեղ է մահացել Հենրի Նոքսը")</f>
        <v>որտեղ է մահացել Հենրի Նոքսը</v>
      </c>
      <c r="D309" s="3" t="str">
        <f>IFERROR(__xludf.DUMMYFUNCTION("GOOGLETRANSLATE(B309,""en"",""hy"")"),"Հենրի Նոքսը մահացել է ԱՄՆ-ի Մեն նահանգի Թոմասթոն քաղաքում:")</f>
        <v>Հենրի Նոքսը մահացել է ԱՄՆ-ի Մեն նահանգի Թոմասթոն քաղաքում:</v>
      </c>
    </row>
    <row r="310">
      <c r="A310" s="1" t="s">
        <v>620</v>
      </c>
      <c r="B310" s="2" t="s">
        <v>621</v>
      </c>
      <c r="C310" s="3" t="str">
        <f>IFERROR(__xludf.DUMMYFUNCTION("GOOGLETRANSLATE(A310,""en"",""hy"")"),"ով էր iceni ցեղի թագուհին:")</f>
        <v>ով էր iceni ցեղի թագուհին:</v>
      </c>
      <c r="D310" s="3" t="str">
        <f>IFERROR(__xludf.DUMMYFUNCTION("GOOGLETRANSLATE(B310,""en"",""hy"")"),"Բուդիկա.")</f>
        <v>Բուդիկա.</v>
      </c>
    </row>
    <row r="311">
      <c r="A311" s="1" t="s">
        <v>622</v>
      </c>
      <c r="B311" s="2" t="s">
        <v>623</v>
      </c>
      <c r="C311" s="3" t="str">
        <f>IFERROR(__xludf.DUMMYFUNCTION("GOOGLETRANSLATE(A311,""en"",""hy"")"),"ինչ է իսլամի առաջին մարգարեի անունը:")</f>
        <v>ինչ է իսլամի առաջին մարգարեի անունը:</v>
      </c>
      <c r="D311" s="3" t="str">
        <f>IFERROR(__xludf.DUMMYFUNCTION("GOOGLETRANSLATE(B311,""en"",""hy"")"),"Իսլամի առաջին մարգարեի անունը Մուհամմադ է։")</f>
        <v>Իսլամի առաջին մարգարեի անունը Մուհամմադ է։</v>
      </c>
    </row>
    <row r="312">
      <c r="A312" s="1" t="s">
        <v>624</v>
      </c>
      <c r="B312" s="2" t="s">
        <v>625</v>
      </c>
      <c r="C312" s="3" t="str">
        <f>IFERROR(__xludf.DUMMYFUNCTION("GOOGLETRANSLATE(A312,""en"",""hy"")"),"ով է ամուսնացած Գարի Թրյուդոյի հետ")</f>
        <v>ով է ամուսնացած Գարի Թրյուդոյի հետ</v>
      </c>
      <c r="D312" s="3" t="str">
        <f>IFERROR(__xludf.DUMMYFUNCTION("GOOGLETRANSLATE(B312,""en"",""hy"")"),"Ջեյն Փոլի")</f>
        <v>Ջեյն Փոլի</v>
      </c>
    </row>
    <row r="313">
      <c r="A313" s="1" t="s">
        <v>626</v>
      </c>
      <c r="B313" s="2" t="s">
        <v>627</v>
      </c>
      <c r="C313" s="3" t="str">
        <f>IFERROR(__xludf.DUMMYFUNCTION("GOOGLETRANSLATE(A313,""en"",""hy"")"),"որտեղի՞ց է Նորվեգիան ստանում իրենց նավթը:")</f>
        <v>որտեղի՞ց է Նորվեգիան ստանում իրենց նավթը:</v>
      </c>
      <c r="D313" s="3" t="str">
        <f>IFERROR(__xludf.DUMMYFUNCTION("GOOGLETRANSLATE(B313,""en"",""hy"")"),"Նորվեգիան նավթը ստանում է Հյուսիսային ծովից։")</f>
        <v>Նորվեգիան նավթը ստանում է Հյուսիսային ծովից։</v>
      </c>
    </row>
    <row r="314">
      <c r="A314" s="1" t="s">
        <v>628</v>
      </c>
      <c r="B314" s="2" t="s">
        <v>629</v>
      </c>
      <c r="C314" s="3" t="str">
        <f>IFERROR(__xludf.DUMMYFUNCTION("GOOGLETRANSLATE(A314,""en"",""hy"")"),"ինչ լեզվով են խոսում Հյուսիսային Իռլանդիայում:")</f>
        <v>ինչ լեզվով են խոսում Հյուսիսային Իռլանդիայում:</v>
      </c>
      <c r="D314" s="3" t="str">
        <f>IFERROR(__xludf.DUMMYFUNCTION("GOOGLETRANSLATE(B314,""en"",""hy"")"),"անգլերեն և իռլանդերեն:")</f>
        <v>անգլերեն և իռլանդերեն:</v>
      </c>
    </row>
    <row r="315">
      <c r="A315" s="1" t="s">
        <v>630</v>
      </c>
      <c r="B315" s="2" t="s">
        <v>631</v>
      </c>
      <c r="C315" s="3" t="str">
        <f>IFERROR(__xludf.DUMMYFUNCTION("GOOGLETRANSLATE(A315,""en"",""hy"")"),"ո՞ր երկրներն են կազմում մայրցամաքային Եվրոպան:")</f>
        <v>ո՞ր երկրներն են կազմում մայրցամաքային Եվրոպան:</v>
      </c>
      <c r="D315" s="3" t="str">
        <f>IFERROR(__xludf.DUMMYFUNCTION("GOOGLETRANSLATE(B315,""en"",""hy"")"),"Մայրցամաքային Եվրոպան կազմող երկրներն են՝ Պորտուգալիան, Իսպանիան, Ֆրանսիան, Բելգիան, Նիդեռլանդները, Լյուքսեմբուրգը, Գերմանիան, Շվեյցարիան, Լիխտենշտեյնը, Իտալիան, Մոնակոն, Ավստրիան, Սլովենիան, Խորվաթիան, Բոսնիա և Հերցեգովինան, Սերբիան, Չեռնոգորիան, Ալբանիա"&amp;"ն, Հյուսիսային Մակեդոնիան, Հունաստան, Բուլղարիա, Ռումինիա, Մոլդովա, Ուկրաինա, Բելառուս, Լեհաստան, Սլովակիա, Չեխիա, Հունգարիա և Լիտվա:")</f>
        <v>Մայրցամաքային Եվրոպան կազմող երկրներն են՝ Պորտուգալիան, Իսպանիան, Ֆրանսիան, Բելգիան, Նիդեռլանդները, Լյուքսեմբուրգը, Գերմանիան, Շվեյցարիան, Լիխտենշտեյնը, Իտալիան, Մոնակոն, Ավստրիան, Սլովենիան, Խորվաթիան, Բոսնիա և Հերցեգովինան, Սերբիան, Չեռնոգորիան, Ալբանիան, Հյուսիսային Մակեդոնիան, Հունաստան, Բուլղարիա, Ռումինիա, Մոլդովա, Ուկրաինա, Բելառուս, Լեհաստան, Սլովակիա, Չեխիա, Հունգարիա և Լիտվա:</v>
      </c>
    </row>
    <row r="316">
      <c r="A316" s="1" t="s">
        <v>632</v>
      </c>
      <c r="B316" s="2" t="s">
        <v>633</v>
      </c>
      <c r="C316" s="3" t="str">
        <f>IFERROR(__xludf.DUMMYFUNCTION("GOOGLETRANSLATE(A316,""en"",""hy"")"),"ի՞նչ ընդհանրություն ունեն Աբրահամական կրոնները:")</f>
        <v>ի՞նչ ընդհանրություն ունեն Աբրահամական կրոնները:</v>
      </c>
      <c r="D316" s="3" t="str">
        <f>IFERROR(__xludf.DUMMYFUNCTION("GOOGLETRANSLATE(B316,""en"",""hy"")"),"Աբրահամական կրոնները, ներառյալ հուդայականությունը, քրիստոնեությունը և իսլամը, կիսում են հավատքը մեկ Աստծո գոյության և մարգարեների կարևորության վերաբերյալ, ինչպիսիք են Աբրահամը և Մովսեսը:")</f>
        <v>Աբրահամական կրոնները, ներառյալ հուդայականությունը, քրիստոնեությունը և իսլամը, կիսում են հավատքը մեկ Աստծո գոյության և մարգարեների կարևորության վերաբերյալ, ինչպիսիք են Աբրահամը և Մովսեսը:</v>
      </c>
    </row>
    <row r="317">
      <c r="A317" s="1" t="s">
        <v>634</v>
      </c>
      <c r="B317" s="2" t="s">
        <v>635</v>
      </c>
      <c r="C317" s="3" t="str">
        <f>IFERROR(__xludf.DUMMYFUNCTION("GOOGLETRANSLATE(A317,""en"",""hy"")"),"ինչ է երգել Ջոնի Քրոուֆորդը")</f>
        <v>ինչ է երգել Ջոնի Քրոուֆորդը</v>
      </c>
      <c r="D317" s="3" t="str">
        <f>IFERROR(__xludf.DUMMYFUNCTION("GOOGLETRANSLATE(B317,""en"",""hy"")"),"Ջոնի Քրոուֆորդը երգել է «Սինդիի ծննդյան օրը» երգը։")</f>
        <v>Ջոնի Քրոուֆորդը երգել է «Սինդիի ծննդյան օրը» երգը։</v>
      </c>
    </row>
    <row r="318">
      <c r="A318" s="1" t="s">
        <v>636</v>
      </c>
      <c r="B318" s="2" t="s">
        <v>637</v>
      </c>
      <c r="C318" s="3" t="str">
        <f>IFERROR(__xludf.DUMMYFUNCTION("GOOGLETRANSLATE(A318,""en"",""hy"")"),"ի՞նչ է արել Աբրահամ Լինքոլնը նախքան նախագահ դառնալը:")</f>
        <v>ի՞նչ է արել Աբրահամ Լինքոլնը նախքան նախագահ դառնալը:</v>
      </c>
      <c r="D318" s="3" t="str">
        <f>IFERROR(__xludf.DUMMYFUNCTION("GOOGLETRANSLATE(B318,""en"",""hy"")"),"Մինչ նախագահ դառնալը Աբրահամ Լինքոլնը իրավաբան էր և ԱՄՆ Ներկայացուցիչների պալատի անդամ:")</f>
        <v>Մինչ նախագահ դառնալը Աբրահամ Լինքոլնը իրավաբան էր և ԱՄՆ Ներկայացուցիչների պալատի անդամ:</v>
      </c>
    </row>
    <row r="319">
      <c r="A319" s="1" t="s">
        <v>638</v>
      </c>
      <c r="B319" s="2" t="s">
        <v>639</v>
      </c>
      <c r="C319" s="3" t="str">
        <f>IFERROR(__xludf.DUMMYFUNCTION("GOOGLETRANSLATE(A319,""en"",""hy"")"),"Ո՞ր մարզաձևով է հանդես գալիս Սալի Փիրսոնը:")</f>
        <v>Ո՞ր մարզաձևով է հանդես գալիս Սալի Փիրսոնը:</v>
      </c>
      <c r="D319" s="3" t="str">
        <f>IFERROR(__xludf.DUMMYFUNCTION("GOOGLETRANSLATE(B319,""en"",""hy"")"),"Սալի Փիրսոնը մրցում է աթլետիկայում։")</f>
        <v>Սալի Փիրսոնը մրցում է աթլետիկայում։</v>
      </c>
    </row>
    <row r="320">
      <c r="A320" s="1" t="s">
        <v>640</v>
      </c>
      <c r="B320" s="2" t="s">
        <v>641</v>
      </c>
      <c r="C320" s="3" t="str">
        <f>IFERROR(__xludf.DUMMYFUNCTION("GOOGLETRANSLATE(A320,""en"",""hy"")"),"որտեղ է գտնվում Ատլանտա Տեխասը:")</f>
        <v>որտեղ է գտնվում Ատլանտա Տեխասը:</v>
      </c>
      <c r="D320" s="3" t="str">
        <f>IFERROR(__xludf.DUMMYFUNCTION("GOOGLETRANSLATE(B320,""en"",""hy"")"),"Ատլանտա, Տեխաս, գտնվում է ԱՄՆ-ում։")</f>
        <v>Ատլանտա, Տեխաս, գտնվում է ԱՄՆ-ում։</v>
      </c>
    </row>
    <row r="321">
      <c r="A321" s="1" t="s">
        <v>642</v>
      </c>
      <c r="B321" s="2" t="s">
        <v>643</v>
      </c>
      <c r="C321" s="3" t="str">
        <f>IFERROR(__xludf.DUMMYFUNCTION("GOOGLETRANSLATE(A321,""en"",""hy"")"),"Էլթոն Ջոնն ու՞մ հետ ամուսնացավ առաջինը:")</f>
        <v>Էլթոն Ջոնն ու՞մ հետ ամուսնացավ առաջինը:</v>
      </c>
      <c r="D321" s="3" t="str">
        <f>IFERROR(__xludf.DUMMYFUNCTION("GOOGLETRANSLATE(B321,""en"",""hy"")"),"Էլթոն Ջոնը նախ ամուսնացել է Ռենատե Բլաուելի հետ։")</f>
        <v>Էլթոն Ջոնը նախ ամուսնացել է Ռենատե Բլաուելի հետ։</v>
      </c>
    </row>
    <row r="322">
      <c r="A322" s="1" t="s">
        <v>644</v>
      </c>
      <c r="B322" s="2" t="s">
        <v>645</v>
      </c>
      <c r="C322" s="3" t="str">
        <f>IFERROR(__xludf.DUMMYFUNCTION("GOOGLETRANSLATE(A322,""en"",""hy"")"),"որտեղից է Թոմ Քրուզը")</f>
        <v>որտեղից է Թոմ Քրուզը</v>
      </c>
      <c r="D322" s="3" t="str">
        <f>IFERROR(__xludf.DUMMYFUNCTION("GOOGLETRANSLATE(B322,""en"",""hy"")"),"Թոմ Քրուզը Սիրակուզից է, Նյու Յորք, ԱՄՆ:")</f>
        <v>Թոմ Քրուզը Սիրակուզից է, Նյու Յորք, ԱՄՆ:</v>
      </c>
    </row>
    <row r="323">
      <c r="A323" s="1" t="s">
        <v>646</v>
      </c>
      <c r="B323" s="2" t="s">
        <v>647</v>
      </c>
      <c r="C323" s="3" t="str">
        <f>IFERROR(__xludf.DUMMYFUNCTION("GOOGLETRANSLATE(A323,""en"",""hy"")"),"ինչ ֆիլմերում է հայտնվել Մադոննան.")</f>
        <v>ինչ ֆիլմերում է հայտնվել Մադոննան.</v>
      </c>
      <c r="D323" s="3" t="str">
        <f>IFERROR(__xludf.DUMMYFUNCTION("GOOGLETRANSLATE(B323,""en"",""hy"")"),"Որոշ ֆիլմեր, որոնցում նկարահանվել է Մադոննան, ներառում են «Հուսահատորեն փնտրում Սյուզանին», «Էվիտա» և «Սեփական լիգան»:")</f>
        <v>Որոշ ֆիլմեր, որոնցում նկարահանվել է Մադոննան, ներառում են «Հուսահատորեն փնտրում Սյուզանին», «Էվիտա» և «Սեփական լիգան»:</v>
      </c>
    </row>
    <row r="324">
      <c r="A324" s="1" t="s">
        <v>648</v>
      </c>
      <c r="B324" s="2" t="s">
        <v>649</v>
      </c>
      <c r="C324" s="3" t="str">
        <f>IFERROR(__xludf.DUMMYFUNCTION("GOOGLETRANSLATE(A324,""en"",""hy"")"),"որտեղ է այժմ ապրում Լելանդ Չեփմենը:")</f>
        <v>որտեղ է այժմ ապրում Լելանդ Չեփմենը:</v>
      </c>
      <c r="D324" s="3" t="str">
        <f>IFERROR(__xludf.DUMMYFUNCTION("GOOGLETRANSLATE(B324,""en"",""hy"")"),"Ներողություն եմ խնդրում, բայց ես մուտք չունեմ անհատների անձնական տվյալներին, եթե դրանք ինձ հետ չեն կիսվել մեր զրույցի ընթացքում:")</f>
        <v>Ներողություն եմ խնդրում, բայց ես մուտք չունեմ անհատների անձնական տվյալներին, եթե դրանք ինձ հետ չեն կիսվել մեր զրույցի ընթացքում:</v>
      </c>
    </row>
    <row r="325">
      <c r="A325" s="1" t="s">
        <v>650</v>
      </c>
      <c r="B325" s="2" t="s">
        <v>651</v>
      </c>
      <c r="C325" s="3" t="str">
        <f>IFERROR(__xludf.DUMMYFUNCTION("GOOGLETRANSLATE(A325,""en"",""hy"")"),"որտեղ էր գտնվում հռոմեական կոլիզեյը:")</f>
        <v>որտեղ էր գտնվում հռոմեական կոլիզեյը:</v>
      </c>
      <c r="D325" s="3" t="str">
        <f>IFERROR(__xludf.DUMMYFUNCTION("GOOGLETRANSLATE(B325,""en"",""hy"")"),"Հռոմեական Կոլիզեյը գտնվում էր Իտալիայի Հռոմ քաղաքում։")</f>
        <v>Հռոմեական Կոլիզեյը գտնվում էր Իտալիայի Հռոմ քաղաքում։</v>
      </c>
    </row>
    <row r="326">
      <c r="A326" s="1" t="s">
        <v>652</v>
      </c>
      <c r="B326" s="2" t="s">
        <v>653</v>
      </c>
      <c r="C326" s="3" t="str">
        <f>IFERROR(__xludf.DUMMYFUNCTION("GOOGLETRANSLATE(A326,""en"",""hy"")"),"Ո՞ր ամսաթվին է տեղի ունեցել Աբրահամ Լինքոլնի երդմնակալության արարողությունը:")</f>
        <v>Ո՞ր ամսաթվին է տեղի ունեցել Աբրահամ Լինքոլնի երդմնակալության արարողությունը:</v>
      </c>
      <c r="D326" s="3" t="str">
        <f>IFERROR(__xludf.DUMMYFUNCTION("GOOGLETRANSLATE(B326,""en"",""hy"")"),"4 մարտի 1861 թ.")</f>
        <v>4 մարտի 1861 թ.</v>
      </c>
    </row>
    <row r="327">
      <c r="A327" s="1" t="s">
        <v>654</v>
      </c>
      <c r="B327" s="2" t="s">
        <v>655</v>
      </c>
      <c r="C327" s="3" t="str">
        <f>IFERROR(__xludf.DUMMYFUNCTION("GOOGLETRANSLATE(A327,""en"",""hy"")"),"Ի՞նչ գյուտ է հորինել Հենրի Ֆորդը:")</f>
        <v>Ի՞նչ գյուտ է հորինել Հենրի Ֆորդը:</v>
      </c>
      <c r="D327" s="3" t="str">
        <f>IFERROR(__xludf.DUMMYFUNCTION("GOOGLETRANSLATE(B327,""en"",""hy"")"),"Հենրի Ֆորդը հորինել է ավտոմեքենան և հավաքման գիծը:")</f>
        <v>Հենրի Ֆորդը հորինել է ավտոմեքենան և հավաքման գիծը:</v>
      </c>
    </row>
    <row r="328">
      <c r="A328" s="1" t="s">
        <v>656</v>
      </c>
      <c r="B328" s="2" t="s">
        <v>657</v>
      </c>
      <c r="C328" s="3" t="str">
        <f>IFERROR(__xludf.DUMMYFUNCTION("GOOGLETRANSLATE(A328,""en"",""hy"")"),"Ո՞ր ժամային գոտու տակ է գտնվում Նյու Յորքը:")</f>
        <v>Ո՞ր ժամային գոտու տակ է գտնվում Նյու Յորքը:</v>
      </c>
      <c r="D328" s="3" t="str">
        <f>IFERROR(__xludf.DUMMYFUNCTION("GOOGLETRANSLATE(B328,""en"",""hy"")"),"Նյու Յորքը գտնվում է Արևելյան ժամային գոտու ներքո:")</f>
        <v>Նյու Յորքը գտնվում է Արևելյան ժամային գոտու ներքո:</v>
      </c>
    </row>
    <row r="329">
      <c r="A329" s="1" t="s">
        <v>658</v>
      </c>
      <c r="B329" s="2" t="s">
        <v>659</v>
      </c>
      <c r="C329" s="3" t="str">
        <f>IFERROR(__xludf.DUMMYFUNCTION("GOOGLETRANSLATE(A329,""en"",""hy"")"),"Ե՞րբ են մայաները կանխատեսել աշխարհի վերջը:")</f>
        <v>Ե՞րբ են մայաները կանխատեսել աշխարհի վերջը:</v>
      </c>
      <c r="D329" s="3" t="str">
        <f>IFERROR(__xludf.DUMMYFUNCTION("GOOGLETRANSLATE(B329,""en"",""hy"")"),"Մայաները չէին գուշակել աշխարհի վերջը.")</f>
        <v>Մայաները չէին գուշակել աշխարհի վերջը.</v>
      </c>
    </row>
    <row r="330">
      <c r="A330" s="1" t="s">
        <v>660</v>
      </c>
      <c r="B330" s="2" t="s">
        <v>661</v>
      </c>
      <c r="C330" s="3" t="str">
        <f>IFERROR(__xludf.DUMMYFUNCTION("GOOGLETRANSLATE(A330,""en"",""hy"")"),"ինչ է այն գրքի անունը, որը գրել է Հիտլերը բանտում:")</f>
        <v>ինչ է այն գրքի անունը, որը գրել է Հիտլերը բանտում:</v>
      </c>
      <c r="D330" s="3" t="str">
        <f>IFERROR(__xludf.DUMMYFUNCTION("GOOGLETRANSLATE(B330,""en"",""hy"")"),"Գրքի անունը, որը Հիտլերը գրել է բանտում գտնվելու ժամանակ, «Mein Kampf» է։")</f>
        <v>Գրքի անունը, որը Հիտլերը գրել է բանտում գտնվելու ժամանակ, «Mein Kampf» է։</v>
      </c>
    </row>
    <row r="331">
      <c r="A331" s="1" t="s">
        <v>662</v>
      </c>
      <c r="B331" s="2" t="s">
        <v>663</v>
      </c>
      <c r="C331" s="3" t="str">
        <f>IFERROR(__xludf.DUMMYFUNCTION("GOOGLETRANSLATE(A331,""en"",""hy"")"),"ով է բարձրաձայնել մեգին օդաչուի մեջ:")</f>
        <v>ով է բարձրաձայնել մեգին օդաչուի մեջ:</v>
      </c>
      <c r="D331" s="3" t="str">
        <f>IFERROR(__xludf.DUMMYFUNCTION("GOOGLETRANSLATE(B331,""en"",""hy"")"),"Լեյսի Չաբերտ.")</f>
        <v>Լեյսի Չաբերտ.</v>
      </c>
    </row>
    <row r="332">
      <c r="A332" s="1" t="s">
        <v>664</v>
      </c>
      <c r="B332" s="2" t="s">
        <v>665</v>
      </c>
      <c r="C332" s="3" t="str">
        <f>IFERROR(__xludf.DUMMYFUNCTION("GOOGLETRANSLATE(A332,""en"",""hy"")"),"ի՞նչ է անում Ալբերտ Էյնշտեյնը մաթեմատիկայի համար:")</f>
        <v>ի՞նչ է անում Ալբերտ Էյնշտեյնը մաթեմատիկայի համար:</v>
      </c>
      <c r="D332" s="3" t="str">
        <f>IFERROR(__xludf.DUMMYFUNCTION("GOOGLETRANSLATE(B332,""en"",""hy"")"),"Ալբերտ Էյնշտեյնը նշանակալի ներդրում է ունեցել տեսական ֆիզիկայի ոլորտում, մասնավորապես՝ իր հարաբերականության տեսությամբ, այլ ոչ թե բուն մաթեմատիկայի:")</f>
        <v>Ալբերտ Էյնշտեյնը նշանակալի ներդրում է ունեցել տեսական ֆիզիկայի ոլորտում, մասնավորապես՝ իր հարաբերականության տեսությամբ, այլ ոչ թե բուն մաթեմատիկայի:</v>
      </c>
    </row>
    <row r="333">
      <c r="A333" s="1" t="s">
        <v>666</v>
      </c>
      <c r="B333" s="2" t="s">
        <v>667</v>
      </c>
      <c r="C333" s="3" t="str">
        <f>IFERROR(__xludf.DUMMYFUNCTION("GOOGLETRANSLATE(A333,""en"",""hy"")"),"որտեղ է սովորել Բաշար Ասադը")</f>
        <v>որտեղ է սովորել Բաշար Ասադը</v>
      </c>
      <c r="D333" s="3" t="str">
        <f>IFERROR(__xludf.DUMMYFUNCTION("GOOGLETRANSLATE(B333,""en"",""hy"")"),"Բաշար ալ-Ասադը ակնաբուժություն է սովորել Դամասկոսի համալսարանում։")</f>
        <v>Բաշար ալ-Ասադը ակնաբուժություն է սովորել Դամասկոսի համալսարանում։</v>
      </c>
    </row>
    <row r="334">
      <c r="A334" s="1" t="s">
        <v>668</v>
      </c>
      <c r="B334" s="2" t="s">
        <v>669</v>
      </c>
      <c r="C334" s="3" t="str">
        <f>IFERROR(__xludf.DUMMYFUNCTION("GOOGLETRANSLATE(A334,""en"",""hy"")"),"ով է խաղում Լոյս Լեյն Սուպերմենի վերադարձում:")</f>
        <v>ով է խաղում Լոյս Լեյն Սուպերմենի վերադարձում:</v>
      </c>
      <c r="D334" s="3" t="str">
        <f>IFERROR(__xludf.DUMMYFUNCTION("GOOGLETRANSLATE(B334,""en"",""hy"")"),"Քեյթ Բոսվորթ.")</f>
        <v>Քեյթ Բոսվորթ.</v>
      </c>
    </row>
    <row r="335">
      <c r="A335" s="1" t="s">
        <v>670</v>
      </c>
      <c r="B335" s="2" t="s">
        <v>671</v>
      </c>
      <c r="C335" s="3" t="str">
        <f>IFERROR(__xludf.DUMMYFUNCTION("GOOGLETRANSLATE(A335,""en"",""hy"")"),"ի՞նչ է արել Ջոզեֆ Լիստերը գիտության համար:")</f>
        <v>ի՞նչ է արել Ջոզեֆ Լիստերը գիտության համար:</v>
      </c>
      <c r="D335" s="3" t="str">
        <f>IFERROR(__xludf.DUMMYFUNCTION("GOOGLETRANSLATE(B335,""en"",""hy"")"),"Ջոզեֆ Լիստերը հեղափոխություն արեց վիրաբուժության մեջ՝ ներմուծելով հակասեպտիկ տեխնիկա, ներառյալ կարբոլաթթվի օգտագործումը վիրաբուժական գործիքների և վերքերի մաքրման համար, ինչը զգալիորեն նվազեցրեց վարակվելու և մահացության ռիսկը:")</f>
        <v>Ջոզեֆ Լիստերը հեղափոխություն արեց վիրաբուժության մեջ՝ ներմուծելով հակասեպտիկ տեխնիկա, ներառյալ կարբոլաթթվի օգտագործումը վիրաբուժական գործիքների և վերքերի մաքրման համար, ինչը զգալիորեն նվազեցրեց վարակվելու և մահացության ռիսկը:</v>
      </c>
    </row>
    <row r="336">
      <c r="A336" s="1" t="s">
        <v>672</v>
      </c>
      <c r="B336" s="2" t="s">
        <v>673</v>
      </c>
      <c r="C336" s="3" t="str">
        <f>IFERROR(__xludf.DUMMYFUNCTION("GOOGLETRANSLATE(A336,""en"",""hy"")"),"ով է ընտանիքի տղայից stewie griffin-ի ձայնը:")</f>
        <v>ով է ընտանիքի տղայից stewie griffin-ի ձայնը:</v>
      </c>
      <c r="D336" s="3" t="str">
        <f>IFERROR(__xludf.DUMMYFUNCTION("GOOGLETRANSLATE(B336,""en"",""hy"")"),"Սեթ ՄակՖարլեյն.")</f>
        <v>Սեթ ՄակՖարլեյն.</v>
      </c>
    </row>
    <row r="337">
      <c r="A337" s="1" t="s">
        <v>674</v>
      </c>
      <c r="B337" s="2" t="s">
        <v>675</v>
      </c>
      <c r="C337" s="3" t="str">
        <f>IFERROR(__xludf.DUMMYFUNCTION("GOOGLETRANSLATE(A337,""en"",""hy"")"),"ով է օգտագործում նոր թագավոր Ջեյմս Աստվածաշունչը:")</f>
        <v>ով է օգտագործում նոր թագավոր Ջեյմս Աստվածաշունչը:</v>
      </c>
      <c r="D337" s="3" t="str">
        <f>IFERROR(__xludf.DUMMYFUNCTION("GOOGLETRANSLATE(B337,""en"",""hy"")"),"Քրիստոնյաները, ովքեր նախընտրում են Նոր Թագավոր Ջեյմս տարբերակը (NKJV) որպես Աստվածաշնչի թարգմանության իրենց ընտրությունը:")</f>
        <v>Քրիստոնյաները, ովքեր նախընտրում են Նոր Թագավոր Ջեյմս տարբերակը (NKJV) որպես Աստվածաշնչի թարգմանության իրենց ընտրությունը:</v>
      </c>
    </row>
    <row r="338">
      <c r="A338" s="1" t="s">
        <v>676</v>
      </c>
      <c r="B338" s="2" t="s">
        <v>677</v>
      </c>
      <c r="C338" s="3" t="str">
        <f>IFERROR(__xludf.DUMMYFUNCTION("GOOGLETRANSLATE(A338,""en"",""hy"")"),"ի՞նչ ֆիլմեր է նկարահանել Չարլի Չապլինը")</f>
        <v>ի՞նչ ֆիլմեր է նկարահանել Չարլի Չապլինը</v>
      </c>
      <c r="D338" s="3" t="str">
        <f>IFERROR(__xludf.DUMMYFUNCTION("GOOGLETRANSLATE(B338,""en"",""hy"")"),"Չարլի Չապլինը նկարահանել է մի քանի ֆիլմեր, այդ թվում՝ «The Kid», «The Gold Rush», «City Lights», «Modern Times», «The Great Dictator» և այլն։")</f>
        <v>Չարլի Չապլինը նկարահանել է մի քանի ֆիլմեր, այդ թվում՝ «The Kid», «The Gold Rush», «City Lights», «Modern Times», «The Great Dictator» և այլն։</v>
      </c>
    </row>
    <row r="339">
      <c r="A339" s="1" t="s">
        <v>678</v>
      </c>
      <c r="B339" s="2" t="s">
        <v>679</v>
      </c>
      <c r="C339" s="3" t="str">
        <f>IFERROR(__xludf.DUMMYFUNCTION("GOOGLETRANSLATE(A339,""en"",""hy"")"),"ո՞վ է իրական կյանքում հանդիպում Լի Միշելին:")</f>
        <v>ո՞վ է իրական կյանքում հանդիպում Լի Միշելին:</v>
      </c>
      <c r="D339" s="3" t="str">
        <f>IFERROR(__xludf.DUMMYFUNCTION("GOOGLETRANSLATE(B339,""en"",""hy"")"),"2021 թվականի դրությամբ Լեա Միքելեն ամուսնացած է Զանդի Ռայխի հետ։")</f>
        <v>2021 թվականի դրությամբ Լեա Միքելեն ամուսնացած է Զանդի Ռայխի հետ։</v>
      </c>
    </row>
    <row r="340">
      <c r="A340" s="1" t="s">
        <v>680</v>
      </c>
      <c r="B340" s="2" t="s">
        <v>681</v>
      </c>
      <c r="C340" s="3" t="str">
        <f>IFERROR(__xludf.DUMMYFUNCTION("GOOGLETRANSLATE(A340,""en"",""hy"")"),"Ե՞րբ Ջո Ուոլշը թողեց արծիվներին:")</f>
        <v>Ե՞րբ Ջո Ուոլշը թողեց արծիվներին:</v>
      </c>
      <c r="D340" s="3" t="str">
        <f>IFERROR(__xludf.DUMMYFUNCTION("GOOGLETRANSLATE(B340,""en"",""hy"")"),"Ջո Ուոլշը չի լքել «Արծիվները»:")</f>
        <v>Ջո Ուոլշը չի լքել «Արծիվները»:</v>
      </c>
    </row>
    <row r="341">
      <c r="A341" s="1" t="s">
        <v>682</v>
      </c>
      <c r="B341" s="2" t="s">
        <v>683</v>
      </c>
      <c r="C341" s="3" t="str">
        <f>IFERROR(__xludf.DUMMYFUNCTION("GOOGLETRANSLATE(A341,""en"",""hy"")"),"Ե՞րբ է գրվել երաժշտական ​​«Աննի»-ն:")</f>
        <v>Ե՞րբ է գրվել երաժշտական ​​«Աննի»-ն:</v>
      </c>
      <c r="D341" s="3" t="str">
        <f>IFERROR(__xludf.DUMMYFUNCTION("GOOGLETRANSLATE(B341,""en"",""hy"")"),"«Էննի» մյուզիքլը գրվել է 1977 թվականին։")</f>
        <v>«Էննի» մյուզիքլը գրվել է 1977 թվականին։</v>
      </c>
    </row>
    <row r="342">
      <c r="A342" s="1" t="s">
        <v>684</v>
      </c>
      <c r="B342" s="2" t="s">
        <v>685</v>
      </c>
      <c r="C342" s="3" t="str">
        <f>IFERROR(__xludf.DUMMYFUNCTION("GOOGLETRANSLATE(A342,""en"",""hy"")"),"ինչ պետք է տեսնել Լոնդոնում.")</f>
        <v>ինչ պետք է տեսնել Լոնդոնում.</v>
      </c>
      <c r="D342" s="3" t="str">
        <f>IFERROR(__xludf.DUMMYFUNCTION("GOOGLETRANSLATE(B342,""en"",""hy"")"),"Լոնդոնի որոշ հայտնի տեսարժան վայրերը ներառում են Լոնդոնի աշտարակը, Բուքինգհեմյան պալատը, Բրիտանական թանգարանը և Լոնդոնի աչքը:")</f>
        <v>Լոնդոնի որոշ հայտնի տեսարժան վայրերը ներառում են Լոնդոնի աշտարակը, Բուքինգհեմյան պալատը, Բրիտանական թանգարանը և Լոնդոնի աչքը:</v>
      </c>
    </row>
    <row r="343">
      <c r="A343" s="1" t="s">
        <v>686</v>
      </c>
      <c r="B343" s="2" t="s">
        <v>687</v>
      </c>
      <c r="C343" s="3" t="str">
        <f>IFERROR(__xludf.DUMMYFUNCTION("GOOGLETRANSLATE(A343,""en"",""hy"")"),"ո՞վ է հիմա աշխատում Բիլի Բինը:")</f>
        <v>ո՞վ է հիմա աշխատում Բիլի Բինը:</v>
      </c>
      <c r="D343" s="3" t="str">
        <f>IFERROR(__xludf.DUMMYFUNCTION("GOOGLETRANSLATE(B343,""en"",""hy"")"),"Բիլլի Բինը ներկայումս աշխատում է Oakland Athletics-ում:")</f>
        <v>Բիլլի Բինը ներկայումս աշխատում է Oakland Athletics-ում:</v>
      </c>
    </row>
    <row r="344">
      <c r="A344" s="1" t="s">
        <v>688</v>
      </c>
      <c r="B344" s="2" t="s">
        <v>689</v>
      </c>
      <c r="C344" s="3" t="str">
        <f>IFERROR(__xludf.DUMMYFUNCTION("GOOGLETRANSLATE(A344,""en"",""hy"")"),"Ի՞նչ ենթաատոմային մասնիկներ է հայտնաբերել Ջջ Թոմսոնը:")</f>
        <v>Ի՞նչ ենթաատոմային մասնիկներ է հայտնաբերել Ջջ Թոմսոնը:</v>
      </c>
      <c r="D344" s="3" t="str">
        <f>IFERROR(__xludf.DUMMYFUNCTION("GOOGLETRANSLATE(B344,""en"",""hy"")"),"Ջեյ Ջեյ Թոմսոնը հայտնաբերել է էլեկտրոնը։")</f>
        <v>Ջեյ Ջեյ Թոմսոնը հայտնաբերել է էլեկտրոնը։</v>
      </c>
    </row>
    <row r="345">
      <c r="A345" s="1" t="s">
        <v>690</v>
      </c>
      <c r="B345" s="2" t="s">
        <v>691</v>
      </c>
      <c r="C345" s="3" t="str">
        <f>IFERROR(__xludf.DUMMYFUNCTION("GOOGLETRANSLATE(A345,""en"",""hy"")"),"ինչ ֆիլմերում է նկարահանվել Թեյլոր Լոթները")</f>
        <v>ինչ ֆիլմերում է նկարահանվել Թեյլոր Լոթները</v>
      </c>
      <c r="D345" s="3" t="str">
        <f>IFERROR(__xludf.DUMMYFUNCTION("GOOGLETRANSLATE(B345,""en"",""hy"")"),"Թեյլոր Լոթները նկարահանվել է այնպիսի ֆիլմերում, ինչպիսիք են «Մթնշաղ», «Մթնշաղի սագա. Նոր լուսին», «Մթնշաղի սագա. խավարում», «Մթնշաղի սագա. 2», «Առևանգում» և «Վալենտինի օրը»:")</f>
        <v>Թեյլոր Լոթները նկարահանվել է այնպիսի ֆիլմերում, ինչպիսիք են «Մթնշաղ», «Մթնշաղի սագա. Նոր լուսին», «Մթնշաղի սագա. խավարում», «Մթնշաղի սագա. 2», «Առևանգում» և «Վալենտինի օրը»:</v>
      </c>
    </row>
    <row r="346">
      <c r="A346" s="1" t="s">
        <v>692</v>
      </c>
      <c r="B346" s="2" t="s">
        <v>693</v>
      </c>
      <c r="C346" s="3" t="str">
        <f>IFERROR(__xludf.DUMMYFUNCTION("GOOGLETRANSLATE(A346,""en"",""hy"")"),"ովքեր են եղել Անակին Սքայուոքերի ծնողները:")</f>
        <v>ովքեր են եղել Անակին Սքայուոքերի ծնողները:</v>
      </c>
      <c r="D346" s="3" t="str">
        <f>IFERROR(__xludf.DUMMYFUNCTION("GOOGLETRANSLATE(B346,""en"",""hy"")"),"Անակին Սքայուոքերի մայրը Շմի Սքայուոքերն էր։")</f>
        <v>Անակին Սքայուոքերի մայրը Շմի Սքայուոքերն էր։</v>
      </c>
    </row>
    <row r="347">
      <c r="A347" s="1" t="s">
        <v>694</v>
      </c>
      <c r="B347" s="2" t="s">
        <v>695</v>
      </c>
      <c r="C347" s="3" t="str">
        <f>IFERROR(__xludf.DUMMYFUNCTION("GOOGLETRANSLATE(A347,""en"",""hy"")"),"Ո՞ր երկրից է Նատալի անունը:")</f>
        <v>Ո՞ր երկրից է Նատալի անունը:</v>
      </c>
      <c r="D347" s="3" t="str">
        <f>IFERROR(__xludf.DUMMYFUNCTION("GOOGLETRANSLATE(B347,""en"",""hy"")"),"Նատալի անունը ֆրանսիական ծագում ունի։")</f>
        <v>Նատալի անունը ֆրանսիական ծագում ունի։</v>
      </c>
    </row>
    <row r="348">
      <c r="A348" s="1" t="s">
        <v>696</v>
      </c>
      <c r="B348" s="2" t="s">
        <v>697</v>
      </c>
      <c r="C348" s="3" t="str">
        <f>IFERROR(__xludf.DUMMYFUNCTION("GOOGLETRANSLATE(A348,""en"",""hy"")"),"ով է նվագել Ալադինի ձայնը")</f>
        <v>ով է նվագել Ալադինի ձայնը</v>
      </c>
      <c r="D348" s="3" t="str">
        <f>IFERROR(__xludf.DUMMYFUNCTION("GOOGLETRANSLATE(B348,""en"",""hy"")"),"Սքոթ Վայնգեր.")</f>
        <v>Սքոթ Վայնգեր.</v>
      </c>
    </row>
    <row r="349">
      <c r="A349" s="1" t="s">
        <v>698</v>
      </c>
      <c r="B349" s="2" t="s">
        <v>699</v>
      </c>
      <c r="C349" s="3" t="str">
        <f>IFERROR(__xludf.DUMMYFUNCTION("GOOGLETRANSLATE(A349,""en"",""hy"")"),"Ինչի՞ց է մահացել Դեյլ Վարհարդը:")</f>
        <v>Ինչի՞ց է մահացել Դեյլ Վարհարդը:</v>
      </c>
      <c r="D349" s="3" t="str">
        <f>IFERROR(__xludf.DUMMYFUNCTION("GOOGLETRANSLATE(B349,""en"",""hy"")"),"Դեյլ Էռնհարդը մահացել է գանգի բազիլային կոտրվածքից:")</f>
        <v>Դեյլ Էռնհարդը մահացել է գանգի բազիլային կոտրվածքից:</v>
      </c>
    </row>
    <row r="350">
      <c r="A350" s="1" t="s">
        <v>700</v>
      </c>
      <c r="B350" s="2" t="s">
        <v>701</v>
      </c>
      <c r="C350" s="3" t="str">
        <f>IFERROR(__xludf.DUMMYFUNCTION("GOOGLETRANSLATE(A350,""en"",""hy"")"),"ո՞ր տարում Մայամի Հիթը հաղթեց առաջնությունը:")</f>
        <v>ո՞ր տարում Մայամի Հիթը հաղթեց առաջնությունը:</v>
      </c>
      <c r="D350" s="3" t="str">
        <f>IFERROR(__xludf.DUMMYFUNCTION("GOOGLETRANSLATE(B350,""en"",""hy"")"),"2020 թվականին «Մայամի Հիթը» նվաճեց չեմպիոնի տիտղոսը։")</f>
        <v>2020 թվականին «Մայամի Հիթը» նվաճեց չեմպիոնի տիտղոսը։</v>
      </c>
    </row>
    <row r="351">
      <c r="A351" s="1" t="s">
        <v>702</v>
      </c>
      <c r="B351" s="2" t="s">
        <v>703</v>
      </c>
      <c r="C351" s="3" t="str">
        <f>IFERROR(__xludf.DUMMYFUNCTION("GOOGLETRANSLATE(A351,""en"",""hy"")"),"ինչպիսի՞ իշխանություն ուներ Բենիտո Մուսոլինին.")</f>
        <v>ինչպիսի՞ իշխանություն ուներ Բենիտո Մուսոլինին.</v>
      </c>
      <c r="D351" s="3" t="str">
        <f>IFERROR(__xludf.DUMMYFUNCTION("GOOGLETRANSLATE(B351,""en"",""hy"")"),"Բենիտո Մուսոլինին ուներ ֆաշիստական ​​կառավարություն.")</f>
        <v>Բենիտո Մուսոլինին ուներ ֆաշիստական ​​կառավարություն.</v>
      </c>
    </row>
    <row r="352">
      <c r="A352" s="1" t="s">
        <v>704</v>
      </c>
      <c r="B352" s="2" t="s">
        <v>705</v>
      </c>
      <c r="C352" s="3" t="str">
        <f>IFERROR(__xludf.DUMMYFUNCTION("GOOGLETRANSLATE(A352,""en"",""hy"")"),"ով էր Դիոկղետիանոս կայսրը")</f>
        <v>ով էր Դիոկղետիանոս կայսրը</v>
      </c>
      <c r="D352" s="3" t="str">
        <f>IFERROR(__xludf.DUMMYFUNCTION("GOOGLETRANSLATE(B352,""en"",""hy"")"),"Դիոկղետիանոս կայսրը հռոմեական կայսր էր, որը կառավարել է 284-ից 305 թվականներին։")</f>
        <v>Դիոկղետիանոս կայսրը հռոմեական կայսր էր, որը կառավարել է 284-ից 305 թվականներին։</v>
      </c>
    </row>
    <row r="353">
      <c r="A353" s="1" t="s">
        <v>706</v>
      </c>
      <c r="B353" s="2" t="s">
        <v>707</v>
      </c>
      <c r="C353" s="3" t="str">
        <f>IFERROR(__xludf.DUMMYFUNCTION("GOOGLETRANSLATE(A353,""en"",""hy"")"),"ով է Չելսի Քեյնը")</f>
        <v>ով է Չելսի Քեյնը</v>
      </c>
      <c r="D353" s="3" t="str">
        <f>IFERROR(__xludf.DUMMYFUNCTION("GOOGLETRANSLATE(B353,""en"",""hy"")"),"Չելսի Քեյնը ամերիկացի դերասանուհի և երգչուհի է։")</f>
        <v>Չելսի Քեյնը ամերիկացի դերասանուհի և երգչուհի է։</v>
      </c>
    </row>
    <row r="354">
      <c r="A354" s="1" t="s">
        <v>708</v>
      </c>
      <c r="B354" s="2" t="s">
        <v>709</v>
      </c>
      <c r="C354" s="3" t="str">
        <f>IFERROR(__xludf.DUMMYFUNCTION("GOOGLETRANSLATE(A354,""en"",""hy"")"),"ով է Դարվինը և որն է նրա տեսությունը:")</f>
        <v>ով է Դարվինը և որն է նրա տեսությունը:</v>
      </c>
      <c r="D354" s="3" t="str">
        <f>IFERROR(__xludf.DUMMYFUNCTION("GOOGLETRANSLATE(B354,""en"",""hy"")"),"Չարլզ Դարվինը բրիտանացի բնագետ և կենսաբան էր: Նրա տեսությունը, որը հայտնի է որպես բնական ընտրության էվոլյուցիայի տեսություն, առաջարկում է, որ տեսակները զարգանում են ժամանակի ընթացքում բնական ընտրության գործընթացի միջոցով, որտեղ իրենց միջավայրին ավելի հարմ"&amp;"ար հատկություններ ունեցող անհատներն ավելի հավանական է, որ գոյատևեն և վերարտադրվեն:")</f>
        <v>Չարլզ Դարվինը բրիտանացի բնագետ և կենսաբան էր: Նրա տեսությունը, որը հայտնի է որպես բնական ընտրության էվոլյուցիայի տեսություն, առաջարկում է, որ տեսակները զարգանում են ժամանակի ընթացքում բնական ընտրության գործընթացի միջոցով, որտեղ իրենց միջավայրին ավելի հարմար հատկություններ ունեցող անհատներն ավելի հավանական է, որ գոյատևեն և վերարտադրվեն:</v>
      </c>
    </row>
    <row r="355">
      <c r="A355" s="1" t="s">
        <v>710</v>
      </c>
      <c r="B355" s="2" t="s">
        <v>711</v>
      </c>
      <c r="C355" s="3" t="str">
        <f>IFERROR(__xludf.DUMMYFUNCTION("GOOGLETRANSLATE(A355,""en"",""hy"")"),"ինչ է սովորել Օբաման դպրոցում.")</f>
        <v>ինչ է սովորել Օբաման դպրոցում.</v>
      </c>
      <c r="D355" s="3" t="str">
        <f>IFERROR(__xludf.DUMMYFUNCTION("GOOGLETRANSLATE(B355,""en"",""hy"")"),"Բարաք Օբաման դպրոցում քաղաքագիտություն է սովորել։")</f>
        <v>Բարաք Օբաման դպրոցում քաղաքագիտություն է սովորել։</v>
      </c>
    </row>
    <row r="356">
      <c r="A356" s="1" t="s">
        <v>712</v>
      </c>
      <c r="B356" s="2" t="s">
        <v>713</v>
      </c>
      <c r="C356" s="3" t="str">
        <f>IFERROR(__xludf.DUMMYFUNCTION("GOOGLETRANSLATE(A356,""en"",""hy"")"),"որտեղ է բեյսբոլ խաղացել դեյոն Սանդերսը:")</f>
        <v>որտեղ է բեյսբոլ խաղացել դեյոն Սանդերսը:</v>
      </c>
      <c r="D356" s="3" t="str">
        <f>IFERROR(__xludf.DUMMYFUNCTION("GOOGLETRANSLATE(B356,""en"",""hy"")"),"Դեյոն Սանդերսը բեյսբոլ է խաղացել մի քանի թիմերի համար, այդ թվում՝ «Ատլանտա Բրեյվս» և «Նյու Յորք Յանկիներ»:")</f>
        <v>Դեյոն Սանդերսը բեյսբոլ է խաղացել մի քանի թիմերի համար, այդ թվում՝ «Ատլանտա Բրեյվս» և «Նյու Յորք Յանկիներ»:</v>
      </c>
    </row>
    <row r="357">
      <c r="A357" s="1" t="s">
        <v>714</v>
      </c>
      <c r="B357" s="2" t="s">
        <v>715</v>
      </c>
      <c r="C357" s="3" t="str">
        <f>IFERROR(__xludf.DUMMYFUNCTION("GOOGLETRANSLATE(A357,""en"",""hy"")"),"ով է Օրեգոնի նոր նահանգապետը")</f>
        <v>ով է Օրեգոնի նոր նահանգապետը</v>
      </c>
      <c r="D357" s="3" t="str">
        <f>IFERROR(__xludf.DUMMYFUNCTION("GOOGLETRANSLATE(B357,""en"",""hy"")"),"2021 թվականի նոյեմբերին իմ գիտելիքների ավարտի ամսաթվի դրությամբ Օրեգոնի ներկայիս նահանգապետը Քեյթ Բրաունն է: Խնդրում ենք ստուգել արդի աղբյուրներից:")</f>
        <v>2021 թվականի նոյեմբերին իմ գիտելիքների ավարտի ամսաթվի դրությամբ Օրեգոնի ներկայիս նահանգապետը Քեյթ Բրաունն է: Խնդրում ենք ստուգել արդի աղբյուրներից:</v>
      </c>
    </row>
    <row r="358">
      <c r="A358" s="1" t="s">
        <v>716</v>
      </c>
      <c r="B358" s="2" t="s">
        <v>717</v>
      </c>
      <c r="C358" s="3" t="str">
        <f>IFERROR(__xludf.DUMMYFUNCTION("GOOGLETRANSLATE(A358,""en"",""hy"")"),"ո՞ր մայրցամաքի մաս է կազմում Հարավային Աֆրիկան:")</f>
        <v>ո՞ր մայրցամաքի մաս է կազմում Հարավային Աֆրիկան:</v>
      </c>
      <c r="D358" s="3" t="str">
        <f>IFERROR(__xludf.DUMMYFUNCTION("GOOGLETRANSLATE(B358,""en"",""hy"")"),"Աֆրիկա")</f>
        <v>Աֆրիկա</v>
      </c>
    </row>
    <row r="359">
      <c r="A359" s="1" t="s">
        <v>718</v>
      </c>
      <c r="B359" s="2" t="s">
        <v>719</v>
      </c>
      <c r="C359" s="3" t="str">
        <f>IFERROR(__xludf.DUMMYFUNCTION("GOOGLETRANSLATE(A359,""en"",""hy"")"),"ով էր Մայքլ Ջեքսոնի լավագույն ընկերը")</f>
        <v>ով էր Մայքլ Ջեքսոնի լավագույն ընկերը</v>
      </c>
      <c r="D359" s="3" t="str">
        <f>IFERROR(__xludf.DUMMYFUNCTION("GOOGLETRANSLATE(B359,""en"",""hy"")"),"Մայքլ Ջեքսոնի լավագույն ընկերը Էլիզաբեթ Թեյլորն էր։")</f>
        <v>Մայքլ Ջեքսոնի լավագույն ընկերը Էլիզաբեթ Թեյլորն էր։</v>
      </c>
    </row>
    <row r="360">
      <c r="A360" s="1" t="s">
        <v>720</v>
      </c>
      <c r="B360" s="2" t="s">
        <v>721</v>
      </c>
      <c r="C360" s="3" t="str">
        <f>IFERROR(__xludf.DUMMYFUNCTION("GOOGLETRANSLATE(A360,""en"",""hy"")"),"Ի՞նչ ֆիլմեր է նկարահանվել Թեյլոր Լոթները 2011 թվականին:")</f>
        <v>Ի՞նչ ֆիլմեր է նկարահանվել Թեյլոր Լոթները 2011 թվականին:</v>
      </c>
      <c r="D360" s="3" t="str">
        <f>IFERROR(__xludf.DUMMYFUNCTION("GOOGLETRANSLATE(B360,""en"",""hy"")"),"2011 թվականին Թեյլոր Լոթները նկարահանվել է «Առևանգում» ֆիլմում։")</f>
        <v>2011 թվականին Թեյլոր Լոթները նկարահանվել է «Առևանգում» ֆիլմում։</v>
      </c>
    </row>
    <row r="361">
      <c r="A361" s="1" t="s">
        <v>722</v>
      </c>
      <c r="B361" s="2" t="s">
        <v>723</v>
      </c>
      <c r="C361" s="3" t="str">
        <f>IFERROR(__xludf.DUMMYFUNCTION("GOOGLETRANSLATE(A361,""en"",""hy"")"),"որտեղ է բնակվում Ավստրալիայի վարչապետը.")</f>
        <v>որտեղ է բնակվում Ավստրալիայի վարչապետը.</v>
      </c>
      <c r="D361" s="3" t="str">
        <f>IFERROR(__xludf.DUMMYFUNCTION("GOOGLETRANSLATE(B361,""en"",""hy"")"),"Ավստրալիայի վարչապետը բնակվում է Ավստրալիայի մայրաքաղաք Կանբերայում։")</f>
        <v>Ավստրալիայի վարչապետը բնակվում է Ավստրալիայի մայրաքաղաք Կանբերայում։</v>
      </c>
    </row>
    <row r="362">
      <c r="A362" s="1" t="s">
        <v>724</v>
      </c>
      <c r="B362" s="2" t="s">
        <v>725</v>
      </c>
      <c r="C362" s="3" t="str">
        <f>IFERROR(__xludf.DUMMYFUNCTION("GOOGLETRANSLATE(A362,""en"",""hy"")"),"ինչի՞ համար է Քեյթ Ուինսլեթը օսկար ստացել.")</f>
        <v>ինչի՞ համար է Քեյթ Ուինսլեթը օսկար ստացել.</v>
      </c>
      <c r="D362" s="3" t="str">
        <f>IFERROR(__xludf.DUMMYFUNCTION("GOOGLETRANSLATE(B362,""en"",""hy"")"),"Քեյթ Ուինսլեթը «Օսկար»-ի է արժանացել «Ընթերցողը» ֆիլմում իր խաղի համար։")</f>
        <v>Քեյթ Ուինսլեթը «Օսկար»-ի է արժանացել «Ընթերցողը» ֆիլմում իր խաղի համար։</v>
      </c>
    </row>
    <row r="363">
      <c r="A363" s="1" t="s">
        <v>726</v>
      </c>
      <c r="B363" s="2" t="s">
        <v>727</v>
      </c>
      <c r="C363" s="3" t="str">
        <f>IFERROR(__xludf.DUMMYFUNCTION("GOOGLETRANSLATE(A363,""en"",""hy"")"),"Ո՞ր ընկերությունում է աշխատել Հենրի Ֆորդը:")</f>
        <v>Ո՞ր ընկերությունում է աշխատել Հենրի Ֆորդը:</v>
      </c>
      <c r="D363" s="3" t="str">
        <f>IFERROR(__xludf.DUMMYFUNCTION("GOOGLETRANSLATE(B363,""en"",""hy"")"),"Հենրի Ֆորդն աշխատում էր Դետրոյթի ավտոմոբիլային ընկերությունում, որը հետագայում վերակազմավորվեց և դարձավ Հենրի Ֆորդ ընկերություն։")</f>
        <v>Հենրի Ֆորդն աշխատում էր Դետրոյթի ավտոմոբիլային ընկերությունում, որը հետագայում վերակազմավորվեց և դարձավ Հենրի Ֆորդ ընկերություն։</v>
      </c>
    </row>
    <row r="364">
      <c r="A364" s="1" t="s">
        <v>728</v>
      </c>
      <c r="B364" s="2" t="s">
        <v>729</v>
      </c>
      <c r="C364" s="3" t="str">
        <f>IFERROR(__xludf.DUMMYFUNCTION("GOOGLETRANSLATE(A364,""en"",""hy"")"),"ի՞նչ է պատահել Թոմաս Կրոմվելի երեխաներին.")</f>
        <v>ի՞նչ է պատահել Թոմաս Կրոմվելի երեխաներին.</v>
      </c>
      <c r="D364" s="3" t="str">
        <f>IFERROR(__xludf.DUMMYFUNCTION("GOOGLETRANSLATE(B364,""en"",""hy"")"),"Թոմաս Կրոմվելի երեխաները որբ մնացին 1540 թվականին իրենց հոր մահապատժից հետո։ Նրա որդուն՝ Գրեգորի Կրոմվելին, հաջողվեց վերականգնել Հենրի VIII թագավորի արքունիքի բարեհաճությունը և համեմատաբար հաջող կյանք վարեց։ Նրա դուստրը՝ Էնն Կրոմվելը, ամուսնացավ Էդվարդ Սե"&amp;"յմուր անունով ազնվականի հետ և մահացավ ծննդաբերության ժամանակ 1529 թվականին։")</f>
        <v>Թոմաս Կրոմվելի երեխաները որբ մնացին 1540 թվականին իրենց հոր մահապատժից հետո։ Նրա որդուն՝ Գրեգորի Կրոմվելին, հաջողվեց վերականգնել Հենրի VIII թագավորի արքունիքի բարեհաճությունը և համեմատաբար հաջող կյանք վարեց։ Նրա դուստրը՝ Էնն Կրոմվելը, ամուսնացավ Էդվարդ Սեյմուր անունով ազնվականի հետ և մահացավ ծննդաբերության ժամանակ 1529 թվականին։</v>
      </c>
    </row>
    <row r="365">
      <c r="A365" s="1" t="s">
        <v>730</v>
      </c>
      <c r="B365" s="2" t="s">
        <v>731</v>
      </c>
      <c r="C365" s="3" t="str">
        <f>IFERROR(__xludf.DUMMYFUNCTION("GOOGLETRANSLATE(A365,""en"",""hy"")"),"որտեղ է գտնվում Հնդկական օվկիանոսը")</f>
        <v>որտեղ է գտնվում Հնդկական օվկիանոսը</v>
      </c>
      <c r="D365" s="3" t="str">
        <f>IFERROR(__xludf.DUMMYFUNCTION("GOOGLETRANSLATE(B365,""en"",""hy"")"),"Հնդկական օվկիանոսը գտնվում է Աֆրիկայի, Ասիայի, Ավստրալիայի և Անտարկտիդայի միջև։")</f>
        <v>Հնդկական օվկիանոսը գտնվում է Աֆրիկայի, Ասիայի, Ավստրալիայի և Անտարկտիդայի միջև։</v>
      </c>
    </row>
    <row r="366">
      <c r="A366" s="1" t="s">
        <v>732</v>
      </c>
      <c r="B366" s="2" t="s">
        <v>733</v>
      </c>
      <c r="C366" s="3" t="str">
        <f>IFERROR(__xludf.DUMMYFUNCTION("GOOGLETRANSLATE(A366,""en"",""hy"")"),"ո՞ր թվականին է ստեղծվել նավատորմի պետը:")</f>
        <v>ո՞ր թվականին է ստեղծվել նավատորմի պետը:</v>
      </c>
      <c r="D366" s="3" t="str">
        <f>IFERROR(__xludf.DUMMYFUNCTION("GOOGLETRANSLATE(B366,""en"",""hy"")"),"Նավատորմի պետը ստեղծվել է 1776 թ.")</f>
        <v>Նավատորմի պետը ստեղծվել է 1776 թ.</v>
      </c>
    </row>
    <row r="367">
      <c r="A367" s="1" t="s">
        <v>734</v>
      </c>
      <c r="B367" s="2" t="s">
        <v>735</v>
      </c>
      <c r="C367" s="3" t="str">
        <f>IFERROR(__xludf.DUMMYFUNCTION("GOOGLETRANSLATE(A367,""en"",""hy"")"),"ո՞ր տարում օրիոլները հաղթեցին 100 խաղ:")</f>
        <v>ո՞ր տարում օրիոլները հաղթեցին 100 խաղ:</v>
      </c>
      <c r="D367" s="3" t="str">
        <f>IFERROR(__xludf.DUMMYFUNCTION("GOOGLETRANSLATE(B367,""en"",""hy"")"),"Օրիոլները 1970 թվականին հաղթել են 100 խաղում։")</f>
        <v>Օրիոլները 1970 թվականին հաղթել են 100 խաղում։</v>
      </c>
    </row>
    <row r="368">
      <c r="A368" s="1" t="s">
        <v>736</v>
      </c>
      <c r="B368" s="2" t="s">
        <v>737</v>
      </c>
      <c r="C368" s="3" t="str">
        <f>IFERROR(__xludf.DUMMYFUNCTION("GOOGLETRANSLATE(A368,""en"",""hy"")"),"ով էր Մարիամի մայրը")</f>
        <v>ով էր Մարիամի մայրը</v>
      </c>
      <c r="D368" s="3" t="str">
        <f>IFERROR(__xludf.DUMMYFUNCTION("GOOGLETRANSLATE(B368,""en"",""hy"")"),"Մերիի մայրը Մերին էր։")</f>
        <v>Մերիի մայրը Մերին էր։</v>
      </c>
    </row>
    <row r="369">
      <c r="A369" s="1" t="s">
        <v>738</v>
      </c>
      <c r="B369" s="2" t="s">
        <v>739</v>
      </c>
      <c r="C369" s="3" t="str">
        <f>IFERROR(__xludf.DUMMYFUNCTION("GOOGLETRANSLATE(A369,""en"",""hy"")"),"որտեղ է գտնվում ամերիկյան էքսպրեսը")</f>
        <v>որտեղ է գտնվում ամերիկյան էքսպրեսը</v>
      </c>
      <c r="D369" s="3" t="str">
        <f>IFERROR(__xludf.DUMMYFUNCTION("GOOGLETRANSLATE(B369,""en"",""hy"")"),"American Express-ը գտնվում է Նյու Յորք քաղաքում, ԱՄՆ:")</f>
        <v>American Express-ը գտնվում է Նյու Յորք քաղաքում, ԱՄՆ:</v>
      </c>
    </row>
    <row r="370">
      <c r="A370" s="1" t="s">
        <v>740</v>
      </c>
      <c r="B370" s="2" t="s">
        <v>741</v>
      </c>
      <c r="C370" s="3" t="str">
        <f>IFERROR(__xludf.DUMMYFUNCTION("GOOGLETRANSLATE(A370,""en"",""hy"")"),"ինչպես են կոչվում չինական փողերը")</f>
        <v>ինչպես են կոչվում չինական փողերը</v>
      </c>
      <c r="D370" s="3" t="str">
        <f>IFERROR(__xludf.DUMMYFUNCTION("GOOGLETRANSLATE(B370,""en"",""hy"")"),"Չինաստանի արժույթը կոչվում է չինական յուան ​​(CNY):")</f>
        <v>Չինաստանի արժույթը կոչվում է չինական յուան ​​(CNY):</v>
      </c>
    </row>
    <row r="371">
      <c r="A371" s="1" t="s">
        <v>742</v>
      </c>
      <c r="B371" s="2" t="s">
        <v>743</v>
      </c>
      <c r="C371" s="3" t="str">
        <f>IFERROR(__xludf.DUMMYFUNCTION("GOOGLETRANSLATE(A371,""en"",""hy"")"),"ինչպիսի՞ն է այսօր Իսպանիայի կառավարությունը:")</f>
        <v>ինչպիսի՞ն է այսօր Իսպանիայի կառավարությունը:</v>
      </c>
      <c r="D371" s="3" t="str">
        <f>IFERROR(__xludf.DUMMYFUNCTION("GOOGLETRANSLATE(B371,""en"",""hy"")"),"Իսպանիայի կառավարությունն այսօր խորհրդարանական սահմանադրական միապետություն է։")</f>
        <v>Իսպանիայի կառավարությունն այսօր խորհրդարանական սահմանադրական միապետություն է։</v>
      </c>
    </row>
    <row r="372">
      <c r="A372" s="1" t="s">
        <v>744</v>
      </c>
      <c r="B372" s="2" t="s">
        <v>745</v>
      </c>
      <c r="C372" s="3" t="str">
        <f>IFERROR(__xludf.DUMMYFUNCTION("GOOGLETRANSLATE(A372,""en"",""hy"")"),"որտեղ է գտնվում Հովարդի համալսարանը:")</f>
        <v>որտեղ է գտնվում Հովարդի համալսարանը:</v>
      </c>
      <c r="D372" s="3" t="str">
        <f>IFERROR(__xludf.DUMMYFUNCTION("GOOGLETRANSLATE(B372,""en"",""hy"")"),"Վաշինգտոն, D.C.")</f>
        <v>Վաշինգտոն, D.C.</v>
      </c>
    </row>
    <row r="373">
      <c r="A373" s="1" t="s">
        <v>746</v>
      </c>
      <c r="B373" s="2" t="s">
        <v>747</v>
      </c>
      <c r="C373" s="3" t="str">
        <f>IFERROR(__xludf.DUMMYFUNCTION("GOOGLETRANSLATE(A373,""en"",""hy"")"),"որտե՞ղ է վաճառվել Terrell Oweens-ը:")</f>
        <v>որտե՞ղ է վաճառվել Terrell Oweens-ը:</v>
      </c>
      <c r="D373" s="3" t="str">
        <f>IFERROR(__xludf.DUMMYFUNCTION("GOOGLETRANSLATE(B373,""en"",""hy"")"),"Թերել Օուենսը փոխանակվել է Ֆիլադելֆիա Իգլսում:")</f>
        <v>Թերել Օուենսը փոխանակվել է Ֆիլադելֆիա Իգլսում:</v>
      </c>
    </row>
    <row r="374">
      <c r="A374" s="1" t="s">
        <v>748</v>
      </c>
      <c r="B374" s="2" t="s">
        <v>749</v>
      </c>
      <c r="C374" s="3" t="str">
        <f>IFERROR(__xludf.DUMMYFUNCTION("GOOGLETRANSLATE(A374,""en"",""hy"")"),"ինչպես են կաթոլիկները անվանում իրենց աստվածը:")</f>
        <v>ինչպես են կաթոլիկները անվանում իրենց աստվածը:</v>
      </c>
      <c r="D374" s="3" t="str">
        <f>IFERROR(__xludf.DUMMYFUNCTION("GOOGLETRANSLATE(B374,""en"",""hy"")"),"Կաթոլիկներն իրենց Աստծուն անվանում են «Աստված» կամ «Տեր»:")</f>
        <v>Կաթոլիկներն իրենց Աստծուն անվանում են «Աստված» կամ «Տեր»:</v>
      </c>
    </row>
    <row r="375">
      <c r="A375" s="1" t="s">
        <v>750</v>
      </c>
      <c r="B375" s="2" t="s">
        <v>751</v>
      </c>
      <c r="C375" s="3" t="str">
        <f>IFERROR(__xludf.DUMMYFUNCTION("GOOGLETRANSLATE(A375,""en"",""hy"")"),"ո՞րն է Ալյասկայի նահանգի մայրաքաղաքը:")</f>
        <v>ո՞րն է Ալյասկայի նահանգի մայրաքաղաքը:</v>
      </c>
      <c r="D375" s="3" t="str">
        <f>IFERROR(__xludf.DUMMYFUNCTION("GOOGLETRANSLATE(B375,""en"",""hy"")"),"Ջունո.")</f>
        <v>Ջունո.</v>
      </c>
    </row>
    <row r="376">
      <c r="A376" s="1" t="s">
        <v>752</v>
      </c>
      <c r="B376" s="2" t="s">
        <v>753</v>
      </c>
      <c r="C376" s="3" t="str">
        <f>IFERROR(__xludf.DUMMYFUNCTION("GOOGLETRANSLATE(A376,""en"",""hy"")"),"ինչ էր Խորհրդային Միությունը")</f>
        <v>ինչ էր Խորհրդային Միությունը</v>
      </c>
      <c r="D376" s="3" t="str">
        <f>IFERROR(__xludf.DUMMYFUNCTION("GOOGLETRANSLATE(B376,""en"",""hy"")"),"Խորհրդային Միությունը կոմունիստական ​​երկիր էր, որը գոյություն է ունեցել 1922-ից 1991 թվականներին։")</f>
        <v>Խորհրդային Միությունը կոմունիստական ​​երկիր էր, որը գոյություն է ունեցել 1922-ից 1991 թվականներին։</v>
      </c>
    </row>
    <row r="377">
      <c r="A377" s="1" t="s">
        <v>754</v>
      </c>
      <c r="B377" s="2" t="s">
        <v>755</v>
      </c>
      <c r="C377" s="3" t="str">
        <f>IFERROR(__xludf.DUMMYFUNCTION("GOOGLETRANSLATE(A377,""en"",""hy"")"),"Ո՞ր քոլեջ է սովորել Ջեֆ Քորվինը:")</f>
        <v>Ո՞ր քոլեջ է սովորել Ջեֆ Քորվինը:</v>
      </c>
      <c r="D377" s="3" t="str">
        <f>IFERROR(__xludf.DUMMYFUNCTION("GOOGLETRANSLATE(B377,""en"",""hy"")"),"Ջեֆ Քորվինը հաճախել է Մասաչուսեթսի Ամհերսթի համալսարան:")</f>
        <v>Ջեֆ Քորվինը հաճախել է Մասաչուսեթսի Ամհերսթի համալսարան:</v>
      </c>
    </row>
    <row r="378">
      <c r="A378" s="1" t="s">
        <v>756</v>
      </c>
      <c r="B378" s="2" t="s">
        <v>757</v>
      </c>
      <c r="C378" s="3" t="str">
        <f>IFERROR(__xludf.DUMMYFUNCTION("GOOGLETRANSLATE(A378,""en"",""hy"")"),"ով է խոսում ֆարսի")</f>
        <v>ով է խոսում ֆարսի</v>
      </c>
      <c r="D378" s="3" t="str">
        <f>IFERROR(__xludf.DUMMYFUNCTION("GOOGLETRANSLATE(B378,""en"",""hy"")"),"Իրանցիները, աֆղանները, տաջիկները և Իրաքի, Պակիստանի և Ուզբեկստանի որոշ համայնքներ խոսում են պարսկերեն (պարսկերեն)։")</f>
        <v>Իրանցիները, աֆղանները, տաջիկները և Իրաքի, Պակիստանի և Ուզբեկստանի որոշ համայնքներ խոսում են պարսկերեն (պարսկերեն)։</v>
      </c>
    </row>
    <row r="379">
      <c r="A379" s="1" t="s">
        <v>758</v>
      </c>
      <c r="B379" s="2" t="s">
        <v>759</v>
      </c>
      <c r="C379" s="3" t="str">
        <f>IFERROR(__xludf.DUMMYFUNCTION("GOOGLETRANSLATE(A379,""en"",""hy"")"),"ում կողմից է հայտնաբերվել Նեպտունը:")</f>
        <v>ում կողմից է հայտնաբերվել Նեպտունը:</v>
      </c>
      <c r="D379" s="3" t="str">
        <f>IFERROR(__xludf.DUMMYFUNCTION("GOOGLETRANSLATE(B379,""en"",""hy"")"),"Նեպտունը հայտնաբերել են Ուրբեն Լե Վերիերը և Յոհան Գալը:")</f>
        <v>Նեպտունը հայտնաբերել են Ուրբեն Լե Վերիերը և Յոհան Գալը:</v>
      </c>
    </row>
    <row r="380">
      <c r="A380" s="1" t="s">
        <v>760</v>
      </c>
      <c r="B380" s="2" t="s">
        <v>761</v>
      </c>
      <c r="C380" s="3" t="str">
        <f>IFERROR(__xludf.DUMMYFUNCTION("GOOGLETRANSLATE(A380,""en"",""hy"")"),"ովքեր էին Ռուսաստանի հիմնական առևտրային գործընկերները.")</f>
        <v>ովքեր էին Ռուսաստանի հիմնական առևտրային գործընկերները.</v>
      </c>
      <c r="D380" s="3" t="str">
        <f>IFERROR(__xludf.DUMMYFUNCTION("GOOGLETRANSLATE(B380,""en"",""hy"")"),"Ռուսաստանի որոշ խոշոր առևտրային գործընկերներից են Չինաստանը, Գերմանիան, Նիդեռլանդները, Իտալիան և Թուրքիան:")</f>
        <v>Ռուսաստանի որոշ խոշոր առևտրային գործընկերներից են Չինաստանը, Գերմանիան, Նիդեռլանդները, Իտալիան և Թուրքիան:</v>
      </c>
    </row>
    <row r="381">
      <c r="A381" s="1" t="s">
        <v>762</v>
      </c>
      <c r="B381" s="2" t="s">
        <v>763</v>
      </c>
      <c r="C381" s="3" t="str">
        <f>IFERROR(__xludf.DUMMYFUNCTION("GOOGLETRANSLATE(A381,""en"",""hy"")"),"ինչի՞ց է իրականում մահացել Քորի Հայմը:")</f>
        <v>ինչի՞ց է իրականում մահացել Քորի Հայմը:</v>
      </c>
      <c r="D381" s="3" t="str">
        <f>IFERROR(__xludf.DUMMYFUNCTION("GOOGLETRANSLATE(B381,""en"",""hy"")"),"Քորի Հայմը մահացել է թոքաբորբից։")</f>
        <v>Քորի Հայմը մահացել է թոքաբորբից։</v>
      </c>
    </row>
    <row r="382">
      <c r="A382" s="1" t="s">
        <v>764</v>
      </c>
      <c r="B382" s="2" t="s">
        <v>765</v>
      </c>
      <c r="C382" s="3" t="str">
        <f>IFERROR(__xludf.DUMMYFUNCTION("GOOGLETRANSLATE(A382,""en"",""hy"")"),"որտեղի՞ց է ծագել Պավլովան:")</f>
        <v>որտեղի՞ց է ծագել Պավլովան:</v>
      </c>
      <c r="D382" s="3" t="str">
        <f>IFERROR(__xludf.DUMMYFUNCTION("GOOGLETRANSLATE(B382,""en"",""hy"")"),"Պավլովան ծագել է Նոր Զելանդիայում։")</f>
        <v>Պավլովան ծագել է Նոր Զելանդիայում։</v>
      </c>
    </row>
    <row r="383">
      <c r="A383" s="1" t="s">
        <v>766</v>
      </c>
      <c r="B383" s="2" t="s">
        <v>767</v>
      </c>
      <c r="C383" s="3" t="str">
        <f>IFERROR(__xludf.DUMMYFUNCTION("GOOGLETRANSLATE(A383,""en"",""hy"")"),"որտեղ է մահացել Նատանիել Հոոոորնը")</f>
        <v>որտեղ է մահացել Նատանիել Հոոոորնը</v>
      </c>
      <c r="D383" s="3" t="str">
        <f>IFERROR(__xludf.DUMMYFUNCTION("GOOGLETRANSLATE(B383,""en"",""hy"")"),"Նաթանիել Հոթորնը մահացել է Նյու Հեմփշիր նահանգի Պլիմութ քաղաքում:")</f>
        <v>Նաթանիել Հոթորնը մահացել է Նյու Հեմփշիր նահանգի Պլիմութ քաղաքում:</v>
      </c>
    </row>
    <row r="384">
      <c r="A384" s="1" t="s">
        <v>768</v>
      </c>
      <c r="B384" s="2" t="s">
        <v>769</v>
      </c>
      <c r="C384" s="3" t="str">
        <f>IFERROR(__xludf.DUMMYFUNCTION("GOOGLETRANSLATE(A384,""en"",""hy"")"),"որտե՞ղ է Ջեք Ջոնսոնը սովորել ավագ դպրոցում:")</f>
        <v>որտե՞ղ է Ջեք Ջոնսոնը սովորել ավագ դպրոցում:</v>
      </c>
      <c r="D384" s="3" t="str">
        <f>IFERROR(__xludf.DUMMYFUNCTION("GOOGLETRANSLATE(B384,""en"",""hy"")"),"Ջեք Ջոնսոնը սովորել է Հավայան կղզիների Կահուկու ավագ դպրոցում:")</f>
        <v>Ջեք Ջոնսոնը սովորել է Հավայան կղզիների Կահուկու ավագ դպրոցում:</v>
      </c>
    </row>
    <row r="385">
      <c r="A385" s="1" t="s">
        <v>770</v>
      </c>
      <c r="B385" s="2" t="s">
        <v>771</v>
      </c>
      <c r="C385" s="3" t="str">
        <f>IFERROR(__xludf.DUMMYFUNCTION("GOOGLETRANSLATE(A385,""en"",""hy"")"),"ով խաղաց Մաքսի Ջոնսի գլխավոր հիվանդանոցում:")</f>
        <v>ով խաղաց Մաքսի Ջոնսի գլխավոր հիվանդանոցում:</v>
      </c>
      <c r="D385" s="3" t="str">
        <f>IFERROR(__xludf.DUMMYFUNCTION("GOOGLETRANSLATE(B385,""en"",""hy"")"),"Քիրստեն Սթորմսը գլխավոր հիվանդանոցում մարմնավորել է Մաքսի Ջոնսին:")</f>
        <v>Քիրստեն Սթորմսը գլխավոր հիվանդանոցում մարմնավորել է Մաքսի Ջոնսին:</v>
      </c>
    </row>
    <row r="386">
      <c r="A386" s="1" t="s">
        <v>772</v>
      </c>
      <c r="B386" s="2" t="s">
        <v>773</v>
      </c>
      <c r="C386" s="3" t="str">
        <f>IFERROR(__xludf.DUMMYFUNCTION("GOOGLETRANSLATE(A386,""en"",""hy"")"),"ո՞ր ռազմական դպրոցում է սովորել բանաստեղծը")</f>
        <v>ո՞ր ռազմական դպրոցում է սովորել բանաստեղծը</v>
      </c>
      <c r="D386" s="3" t="str">
        <f>IFERROR(__xludf.DUMMYFUNCTION("GOOGLETRANSLATE(B386,""en"",""hy"")"),"Պոն հաճախել է Միացյալ Նահանգների ռազմական ակադեմիա (Վեսթ Փոյնթ):")</f>
        <v>Պոն հաճախել է Միացյալ Նահանգների ռազմական ակադեմիա (Վեսթ Փոյնթ):</v>
      </c>
    </row>
    <row r="387">
      <c r="A387" s="1" t="s">
        <v>774</v>
      </c>
      <c r="B387" s="2" t="s">
        <v>775</v>
      </c>
      <c r="C387" s="3" t="str">
        <f>IFERROR(__xludf.DUMMYFUNCTION("GOOGLETRANSLATE(A387,""en"",""hy"")"),"ինչ են բուդդայական աստվածները")</f>
        <v>ինչ են բուդդայական աստվածները</v>
      </c>
      <c r="D387" s="3" t="str">
        <f>IFERROR(__xludf.DUMMYFUNCTION("GOOGLETRANSLATE(B387,""en"",""hy"")"),"Բուդդայականությունը չի ճանաչում աստվածների հայեցակարգը այնպես, ինչպես մյուս կրոնները: Փոխարենը, այն կենտրոնանում է սկզբունքների և ուսմունքների վրա՝ օգնելու անհատներին հասնել լուսավորության:")</f>
        <v>Բուդդայականությունը չի ճանաչում աստվածների հայեցակարգը այնպես, ինչպես մյուս կրոնները: Փոխարենը, այն կենտրոնանում է սկզբունքների և ուսմունքների վրա՝ օգնելու անհատներին հասնել լուսավորության:</v>
      </c>
    </row>
    <row r="388">
      <c r="A388" s="1" t="s">
        <v>776</v>
      </c>
      <c r="B388" s="2" t="s">
        <v>777</v>
      </c>
      <c r="C388" s="3" t="str">
        <f>IFERROR(__xludf.DUMMYFUNCTION("GOOGLETRANSLATE(A388,""en"",""hy"")"),"ո՞վ է ազդել վոլֆգանգ պատրաստուս Մոցարտի վրա:")</f>
        <v>ո՞վ է ազդել վոլֆգանգ պատրաստուս Մոցարտի վրա:</v>
      </c>
      <c r="D388" s="3" t="str">
        <f>IFERROR(__xludf.DUMMYFUNCTION("GOOGLETRANSLATE(B388,""en"",""hy"")"),"Վոլֆգանգ Ամադեուս Մոցարտի վրա հիմնական ազդեցություններից մեկը եղել է նրա հայրը՝ Լեոպոլդ Մոցարտը։")</f>
        <v>Վոլֆգանգ Ամադեուս Մոցարտի վրա հիմնական ազդեցություններից մեկը եղել է նրա հայրը՝ Լեոպոլդ Մոցարտը։</v>
      </c>
    </row>
    <row r="389">
      <c r="A389" s="1" t="s">
        <v>778</v>
      </c>
      <c r="B389" s="2" t="s">
        <v>779</v>
      </c>
      <c r="C389" s="3" t="str">
        <f>IFERROR(__xludf.DUMMYFUNCTION("GOOGLETRANSLATE(A389,""en"",""hy"")"),"Ե՞րբ է վերջին անգամ հաղթել դալասի կովբոյների սուպերգավաթը:")</f>
        <v>Ե՞րբ է վերջին անգամ հաղթել դալասի կովբոյների սուպերգավաթը:</v>
      </c>
      <c r="D389" s="3" t="str">
        <f>IFERROR(__xludf.DUMMYFUNCTION("GOOGLETRANSLATE(B389,""en"",""hy"")"),"Dallas Cowboys Super Bowl-ի վերջին հաղթանակը եղել է 1996 թվականին:")</f>
        <v>Dallas Cowboys Super Bowl-ի վերջին հաղթանակը եղել է 1996 թվականին:</v>
      </c>
    </row>
    <row r="390">
      <c r="A390" s="1" t="s">
        <v>780</v>
      </c>
      <c r="B390" s="2" t="s">
        <v>781</v>
      </c>
      <c r="C390" s="3" t="str">
        <f>IFERROR(__xludf.DUMMYFUNCTION("GOOGLETRANSLATE(A390,""en"",""hy"")"),"ի՞նչ լեզվով են խոսում Իսլանդիայի Վիքիպեդիայում:")</f>
        <v>ի՞նչ լեզվով են խոսում Իսլանդիայի Վիքիպեդիայում:</v>
      </c>
      <c r="D390" s="3" t="str">
        <f>IFERROR(__xludf.DUMMYFUNCTION("GOOGLETRANSLATE(B390,""en"",""hy"")"),"Իսլանդիայում խոսվող պաշտոնական լեզուն իսլանդերենն է։")</f>
        <v>Իսլանդիայում խոսվող պաշտոնական լեզուն իսլանդերենն է։</v>
      </c>
    </row>
    <row r="391">
      <c r="A391" s="1" t="s">
        <v>782</v>
      </c>
      <c r="B391" s="2" t="s">
        <v>783</v>
      </c>
      <c r="C391" s="3" t="str">
        <f>IFERROR(__xludf.DUMMYFUNCTION("GOOGLETRANSLATE(A391,""en"",""hy"")"),"Ե՞րբ է ծնվել երանելի Կաթերին։")</f>
        <v>Ե՞րբ է ծնվել երանելի Կաթերին։</v>
      </c>
      <c r="D391" s="3" t="str">
        <f>IFERROR(__xludf.DUMMYFUNCTION("GOOGLETRANSLATE(B391,""en"",""hy"")"),"Երանելի Կաթերին ծնվել է 1656 թվականի հուլիսի 17-ին։")</f>
        <v>Երանելի Կաթերին ծնվել է 1656 թվականի հուլիսի 17-ին։</v>
      </c>
    </row>
    <row r="392">
      <c r="A392" s="1" t="s">
        <v>784</v>
      </c>
      <c r="B392" s="2" t="s">
        <v>785</v>
      </c>
      <c r="C392" s="3" t="str">
        <f>IFERROR(__xludf.DUMMYFUNCTION("GOOGLETRANSLATE(A392,""en"",""hy"")"),"Ե՞րբ են տեղի ունեցել Բալիի ռմբակոծությունները:")</f>
        <v>Ե՞րբ են տեղի ունեցել Բալիի ռմբակոծությունները:</v>
      </c>
      <c r="D392" s="3" t="str">
        <f>IFERROR(__xludf.DUMMYFUNCTION("GOOGLETRANSLATE(B392,""en"",""hy"")"),"Բալիի պայթյունները տեղի են ունեցել 2002 թվականի հոկտեմբերի 12-ին։")</f>
        <v>Բալիի պայթյունները տեղի են ունեցել 2002 թվականի հոկտեմբերի 12-ին։</v>
      </c>
    </row>
    <row r="393">
      <c r="A393" s="1" t="s">
        <v>786</v>
      </c>
      <c r="B393" s="2" t="s">
        <v>787</v>
      </c>
      <c r="C393" s="3" t="str">
        <f>IFERROR(__xludf.DUMMYFUNCTION("GOOGLETRANSLATE(A393,""en"",""hy"")"),"ինչպիսի՞ն է քաղաքական համակարգը Հարավային Աֆրիկայում:")</f>
        <v>ինչպիսի՞ն է քաղաքական համակարգը Հարավային Աֆրիկայում:</v>
      </c>
      <c r="D393" s="3" t="str">
        <f>IFERROR(__xludf.DUMMYFUNCTION("GOOGLETRANSLATE(B393,""en"",""hy"")"),"Հարավային Աֆրիկայում քաղաքական համակարգը խորհրդարանական ժողովրդավարություն է:")</f>
        <v>Հարավային Աֆրիկայում քաղաքական համակարգը խորհրդարանական ժողովրդավարություն է:</v>
      </c>
    </row>
    <row r="394">
      <c r="A394" s="1" t="s">
        <v>788</v>
      </c>
      <c r="B394" s="2" t="s">
        <v>789</v>
      </c>
      <c r="C394" s="3" t="str">
        <f>IFERROR(__xludf.DUMMYFUNCTION("GOOGLETRANSLATE(A394,""en"",""hy"")"),"որն է արժույթը Խորվաթիայում 2012 թ.")</f>
        <v>որն է արժույթը Խորվաթիայում 2012 թ.</v>
      </c>
      <c r="D394" s="3" t="str">
        <f>IFERROR(__xludf.DUMMYFUNCTION("GOOGLETRANSLATE(B394,""en"",""hy"")"),"2012 թվականին Խորվաթիայում արժույթը խորվաթական կունան էր։")</f>
        <v>2012 թվականին Խորվաթիայում արժույթը խորվաթական կունան էր։</v>
      </c>
    </row>
    <row r="395">
      <c r="A395" s="1" t="s">
        <v>790</v>
      </c>
      <c r="B395" s="2" t="s">
        <v>791</v>
      </c>
      <c r="C395" s="3" t="str">
        <f>IFERROR(__xludf.DUMMYFUNCTION("GOOGLETRANSLATE(A395,""en"",""hy"")"),"որտե՞ղ է Ջո Մոնտանան սովորել ավագ դպրոցում:")</f>
        <v>որտե՞ղ է Ջո Մոնտանան սովորել ավագ դպրոցում:</v>
      </c>
      <c r="D395" s="3" t="str">
        <f>IFERROR(__xludf.DUMMYFUNCTION("GOOGLETRANSLATE(B395,""en"",""hy"")"),"Ջո Մոնտանան գնաց Ռինգգոլդ ավագ դպրոց:")</f>
        <v>Ջո Մոնտանան գնաց Ռինգգոլդ ավագ դպրոց:</v>
      </c>
    </row>
    <row r="396">
      <c r="A396" s="1" t="s">
        <v>792</v>
      </c>
      <c r="B396" s="2" t="s">
        <v>793</v>
      </c>
      <c r="C396" s="3" t="str">
        <f>IFERROR(__xludf.DUMMYFUNCTION("GOOGLETRANSLATE(A396,""en"",""hy"")"),"ո՞ր գործերով է Գերագույն դատարանն իրավասու նախնական իրավասության մեջ:")</f>
        <v>ո՞ր գործերով է Գերագույն դատարանն իրավասու նախնական իրավասության մեջ:</v>
      </c>
      <c r="D396" s="3" t="str">
        <f>IFERROR(__xludf.DUMMYFUNCTION("GOOGLETRANSLATE(B396,""en"",""hy"")"),"Գերագույն դատարանն ունի սկզբնական իրավասություն դեսպանների, հանրային նախարարների և պետությունների միջև վեճերի հետ կապված գործերով:")</f>
        <v>Գերագույն դատարանն ունի սկզբնական իրավասություն դեսպանների, հանրային նախարարների և պետությունների միջև վեճերի հետ կապված գործերով:</v>
      </c>
    </row>
    <row r="397">
      <c r="A397" s="1" t="s">
        <v>794</v>
      </c>
      <c r="B397" s="2" t="s">
        <v>795</v>
      </c>
      <c r="C397" s="3" t="str">
        <f>IFERROR(__xludf.DUMMYFUNCTION("GOOGLETRANSLATE(A397,""en"",""hy"")"),"որտեղ է Պաղեստինի ազգը.")</f>
        <v>որտեղ է Պաղեստինի ազգը.</v>
      </c>
      <c r="D397" s="3" t="str">
        <f>IFERROR(__xludf.DUMMYFUNCTION("GOOGLETRANSLATE(B397,""en"",""hy"")"),"Պաղեստին ազգը գտնվում է Մերձավոր Արևելքում, հիմնականում այն ​​տարածաշրջանում, որը հայտնի է որպես պաղեստինյան տարածքներ, որոնք ներառում են Արևմտյան ափը և Գազայի հատվածը:")</f>
        <v>Պաղեստին ազգը գտնվում է Մերձավոր Արևելքում, հիմնականում այն ​​տարածաշրջանում, որը հայտնի է որպես պաղեստինյան տարածքներ, որոնք ներառում են Արևմտյան ափը և Գազայի հատվածը:</v>
      </c>
    </row>
    <row r="398">
      <c r="A398" s="1" t="s">
        <v>796</v>
      </c>
      <c r="B398" s="2" t="s">
        <v>797</v>
      </c>
      <c r="C398" s="3" t="str">
        <f>IFERROR(__xludf.DUMMYFUNCTION("GOOGLETRANSLATE(A398,""en"",""hy"")"),"ինչ են հունական տիտանները")</f>
        <v>ինչ են հունական տիտանները</v>
      </c>
      <c r="D398" s="3" t="str">
        <f>IFERROR(__xludf.DUMMYFUNCTION("GOOGLETRANSLATE(B398,""en"",""hy"")"),"Հունական տիտանները հունական դիցաբանության մեջ հզոր և անմահ էակների ռասա էին: Նրանք Ուրանի (Երկնքի) և Գայայի (Երկիր) զավակներն էին և կառավարում էին աշխարհը մինչև աստվածների իշխանության գալը:")</f>
        <v>Հունական տիտանները հունական դիցաբանության մեջ հզոր և անմահ էակների ռասա էին: Նրանք Ուրանի (Երկնքի) և Գայայի (Երկիր) զավակներն էին և կառավարում էին աշխարհը մինչև աստվածների իշխանության գալը:</v>
      </c>
    </row>
    <row r="399">
      <c r="A399" s="1" t="s">
        <v>798</v>
      </c>
      <c r="B399" s="2" t="s">
        <v>799</v>
      </c>
      <c r="C399" s="3" t="str">
        <f>IFERROR(__xludf.DUMMYFUNCTION("GOOGLETRANSLATE(A399,""en"",""hy"")"),"ո՞ր երկրներն են հիմնականում խոսում անգլերեն:")</f>
        <v>ո՞ր երկրներն են հիմնականում խոսում անգլերեն:</v>
      </c>
      <c r="D399" s="3" t="str">
        <f>IFERROR(__xludf.DUMMYFUNCTION("GOOGLETRANSLATE(B399,""en"",""hy"")"),"Հիմնական երկրները, որտեղ խոսում են անգլերենը, Միացյալ Նահանգներն են, Միացյալ Թագավորությունը, Կանադան, Ավստրալիան և Նոր Զելանդիան, ի թիվս այլոց:")</f>
        <v>Հիմնական երկրները, որտեղ խոսում են անգլերենը, Միացյալ Նահանգներն են, Միացյալ Թագավորությունը, Կանադան, Ավստրալիան և Նոր Զելանդիան, ի թիվս այլոց:</v>
      </c>
    </row>
    <row r="400">
      <c r="A400" s="1" t="s">
        <v>800</v>
      </c>
      <c r="B400" s="2" t="s">
        <v>801</v>
      </c>
      <c r="C400" s="3" t="str">
        <f>IFERROR(__xludf.DUMMYFUNCTION("GOOGLETRANSLATE(A400,""en"",""hy"")"),"ինչ նահանգների է հպվում Միսուրի գետը:")</f>
        <v>ինչ նահանգների է հպվում Միսուրի գետը:</v>
      </c>
      <c r="D400" s="3" t="str">
        <f>IFERROR(__xludf.DUMMYFUNCTION("GOOGLETRANSLATE(B400,""en"",""hy"")"),"Միսսուրի գետը հպվում է Մոնտանա, Հյուսիսային Դակոտա, Հարավային Դակոտա, Նեբրասկա, Այովա, Կանզաս և Միսսուրի նահանգներին:")</f>
        <v>Միսսուրի գետը հպվում է Մոնտանա, Հյուսիսային Դակոտա, Հարավային Դակոտա, Նեբրասկա, Այովա, Կանզաս և Միսսուրի նահանգներին:</v>
      </c>
    </row>
    <row r="401">
      <c r="A401" s="1" t="s">
        <v>802</v>
      </c>
      <c r="B401" s="2" t="s">
        <v>803</v>
      </c>
      <c r="C401" s="3" t="str">
        <f>IFERROR(__xludf.DUMMYFUNCTION("GOOGLETRANSLATE(A401,""en"",""hy"")"),"ինչ կա Լիվերպուլում Անգլիայում")</f>
        <v>ինչ կա Լիվերպուլում Անգլիայում</v>
      </c>
      <c r="D401" s="3" t="str">
        <f>IFERROR(__xludf.DUMMYFUNCTION("GOOGLETRANSLATE(B401,""en"",""hy"")"),"Անգլիայի Լիվերպուլը հայտնի է իր հարուստ երաժշտական ​​պատմությամբ՝ լինելով The Beatles-ի ծննդավայրը: Այստեղ են գտնվում նաև մի շարք նշանավոր թանգարաններ, արվեստի պատկերասրահներ և տեսարժան վայրեր, ինչպիսիք են Թագավորական Ալբերտ նավահանգիստը և Լիվերպուլի տաճա"&amp;"րը:")</f>
        <v>Անգլիայի Լիվերպուլը հայտնի է իր հարուստ երաժշտական ​​պատմությամբ՝ լինելով The Beatles-ի ծննդավայրը: Այստեղ են գտնվում նաև մի շարք նշանավոր թանգարաններ, արվեստի պատկերասրահներ և տեսարժան վայրեր, ինչպիսիք են Թագավորական Ալբերտ նավահանգիստը և Լիվերպուլի տաճարը:</v>
      </c>
    </row>
    <row r="402">
      <c r="A402" s="1" t="s">
        <v>804</v>
      </c>
      <c r="B402" s="2" t="s">
        <v>805</v>
      </c>
      <c r="C402" s="3" t="str">
        <f>IFERROR(__xludf.DUMMYFUNCTION("GOOGLETRANSLATE(A402,""en"",""hy"")"),"ո՞ր նահանգում է գտնվում Հարվարդի քոլեջը:")</f>
        <v>ո՞ր նահանգում է գտնվում Հարվարդի քոլեջը:</v>
      </c>
      <c r="D402" s="3" t="str">
        <f>IFERROR(__xludf.DUMMYFUNCTION("GOOGLETRANSLATE(B402,""en"",""hy"")"),"Հարվարդի քոլեջը գտնվում է Մասաչուսեթսում։")</f>
        <v>Հարվարդի քոլեջը գտնվում է Մասաչուսեթսում։</v>
      </c>
    </row>
    <row r="403">
      <c r="A403" s="1" t="s">
        <v>806</v>
      </c>
      <c r="B403" s="2" t="s">
        <v>807</v>
      </c>
      <c r="C403" s="3" t="str">
        <f>IFERROR(__xludf.DUMMYFUNCTION("GOOGLETRANSLATE(A403,""en"",""hy"")"),"որտեղ էր Լեոնարդո դա Վինչին, երբ մահացավ:")</f>
        <v>որտեղ էր Լեոնարդո դա Վինչին, երբ մահացավ:</v>
      </c>
      <c r="D403" s="3" t="str">
        <f>IFERROR(__xludf.DUMMYFUNCTION("GOOGLETRANSLATE(B403,""en"",""hy"")"),"Լեոնարդո դա Վինչին մահացել է Ֆրանսիայի Ամբուազ քաղաքում։")</f>
        <v>Լեոնարդո դա Վինչին մահացել է Ֆրանսիայի Ամբուազ քաղաքում։</v>
      </c>
    </row>
    <row r="404">
      <c r="A404" s="1" t="s">
        <v>808</v>
      </c>
      <c r="B404" s="2" t="s">
        <v>809</v>
      </c>
      <c r="C404" s="3" t="str">
        <f>IFERROR(__xludf.DUMMYFUNCTION("GOOGLETRANSLATE(A404,""en"",""hy"")"),"ինչ փողեր են օգտագործում ճապոնացիները")</f>
        <v>ինչ փողեր են օգտագործում ճապոնացիները</v>
      </c>
      <c r="D404" s="3" t="str">
        <f>IFERROR(__xludf.DUMMYFUNCTION("GOOGLETRANSLATE(B404,""en"",""hy"")"),"Ճապոնացիները որպես արժույթ օգտագործում են ճապոնական իենը:")</f>
        <v>Ճապոնացիները որպես արժույթ օգտագործում են ճապոնական իենը:</v>
      </c>
    </row>
    <row r="405">
      <c r="A405" s="1" t="s">
        <v>810</v>
      </c>
      <c r="B405" s="2" t="s">
        <v>811</v>
      </c>
      <c r="C405" s="3" t="str">
        <f>IFERROR(__xludf.DUMMYFUNCTION("GOOGLETRANSLATE(A405,""en"",""hy"")"),"ո՞րն է ժամային գոտին Օկլահոմա Սիթիում:")</f>
        <v>ո՞րն է ժամային գոտին Օկլահոմա Սիթիում:</v>
      </c>
      <c r="D405" s="3" t="str">
        <f>IFERROR(__xludf.DUMMYFUNCTION("GOOGLETRANSLATE(B405,""en"",""hy"")"),"Օկլահոմա Սիթիում ժամային գոտին Կենտրոնական ստանդարտ ժամանակն է (CST):")</f>
        <v>Օկլահոմա Սիթիում ժամային գոտին Կենտրոնական ստանդարտ ժամանակն է (CST):</v>
      </c>
    </row>
    <row r="406">
      <c r="A406" s="1" t="s">
        <v>812</v>
      </c>
      <c r="B406" s="2" t="s">
        <v>813</v>
      </c>
      <c r="C406" s="3" t="str">
        <f>IFERROR(__xludf.DUMMYFUNCTION("GOOGLETRANSLATE(A406,""en"",""hy"")"),"ինչն է սպանել Ուիթնի Հյուսթոնին")</f>
        <v>ինչն է սպանել Ուիթնի Հյուսթոնին</v>
      </c>
      <c r="D406" s="3" t="str">
        <f>IFERROR(__xludf.DUMMYFUNCTION("GOOGLETRANSLATE(B406,""en"",""hy"")"),"Ուիթնի Հյուսթոնը մահացել է պատահական ջրահեղձման հետևանքով սրտի հիվանդության և կոկաինի օգտագործման հետևանքով, ինչը նպաստել է նրա մահվանը:")</f>
        <v>Ուիթնի Հյուսթոնը մահացել է պատահական ջրահեղձման հետևանքով սրտի հիվանդության և կոկաինի օգտագործման հետևանքով, ինչը նպաստել է նրա մահվանը:</v>
      </c>
    </row>
    <row r="407">
      <c r="A407" s="1" t="s">
        <v>814</v>
      </c>
      <c r="B407" s="2" t="s">
        <v>815</v>
      </c>
      <c r="C407" s="3" t="str">
        <f>IFERROR(__xludf.DUMMYFUNCTION("GOOGLETRANSLATE(A407,""en"",""hy"")"),"ինչպիսի՞ կառավարություն ուներ Մալիի կայսրությունը:")</f>
        <v>ինչպիսի՞ կառավարություն ուներ Մալիի կայսրությունը:</v>
      </c>
      <c r="D407" s="3" t="str">
        <f>IFERROR(__xludf.DUMMYFUNCTION("GOOGLETRANSLATE(B407,""en"",""hy"")"),"Մալիի կայսրությունն ուներ կենտրոնացված կառավարություն, որը ղեկավարում էր հզոր թագավորը, որը կոչվում էր Մանսա:")</f>
        <v>Մալիի կայսրությունն ուներ կենտրոնացված կառավարություն, որը ղեկավարում էր հզոր թագավորը, որը կոչվում էր Մանսա:</v>
      </c>
    </row>
    <row r="408">
      <c r="A408" s="1" t="s">
        <v>816</v>
      </c>
      <c r="B408" s="2" t="s">
        <v>817</v>
      </c>
      <c r="C408" s="3" t="str">
        <f>IFERROR(__xludf.DUMMYFUNCTION("GOOGLETRANSLATE(A408,""en"",""hy"")"),"ո՞րն է իսրայելցիների կրոնը:")</f>
        <v>ո՞րն է իսրայելցիների կրոնը:</v>
      </c>
      <c r="D408" s="3" t="str">
        <f>IFERROR(__xludf.DUMMYFUNCTION("GOOGLETRANSLATE(B408,""en"",""hy"")"),"Իսրայելի ժողովրդի կրոնը հիմնականում հուդայականությունն է:")</f>
        <v>Իսրայելի ժողովրդի կրոնը հիմնականում հուդայականությունն է:</v>
      </c>
    </row>
    <row r="409">
      <c r="A409" s="1" t="s">
        <v>818</v>
      </c>
      <c r="B409" s="2" t="s">
        <v>819</v>
      </c>
      <c r="C409" s="3" t="str">
        <f>IFERROR(__xludf.DUMMYFUNCTION("GOOGLETRANSLATE(A409,""en"",""hy"")"),"ինչ է Սուրբ Հելենոս լեռը:")</f>
        <v>ինչ է Սուրբ Հելենոս լեռը:</v>
      </c>
      <c r="D409" s="3" t="str">
        <f>IFERROR(__xludf.DUMMYFUNCTION("GOOGLETRANSLATE(B409,""en"",""hy"")"),"Սուրբ Հելենս լեռը գործող հրաբուխ է, որը գտնվում է ԱՄՆ Վաշինգտոն նահանգում։")</f>
        <v>Սուրբ Հելենս լեռը գործող հրաբուխ է, որը գտնվում է ԱՄՆ Վաշինգտոն նահանգում։</v>
      </c>
    </row>
    <row r="410">
      <c r="A410" s="1" t="s">
        <v>820</v>
      </c>
      <c r="B410" s="2" t="s">
        <v>821</v>
      </c>
      <c r="C410" s="3" t="str">
        <f>IFERROR(__xludf.DUMMYFUNCTION("GOOGLETRANSLATE(A410,""en"",""hy"")"),"Ո՞ր օդանավակայանն է Սենթ Լյուսիա-ի sandals grande ամենամոտ:")</f>
        <v>Ո՞ր օդանավակայանն է Սենթ Լյուսիա-ի sandals grande ամենամոտ:</v>
      </c>
      <c r="D410" s="3" t="str">
        <f>IFERROR(__xludf.DUMMYFUNCTION("GOOGLETRANSLATE(B410,""en"",""hy"")"),"Hewanorra միջազգային օդանավակայանը Սենթ Լյուսիայի Sandals Grande-ին ամենամոտ օդանավակայանն է:")</f>
        <v>Hewanorra միջազգային օդանավակայանը Սենթ Լյուսիայի Sandals Grande-ին ամենամոտ օդանավակայանն է:</v>
      </c>
    </row>
    <row r="411">
      <c r="A411" s="1" t="s">
        <v>822</v>
      </c>
      <c r="B411" s="2" t="s">
        <v>823</v>
      </c>
      <c r="C411" s="3" t="str">
        <f>IFERROR(__xludf.DUMMYFUNCTION("GOOGLETRANSLATE(A411,""en"",""hy"")"),"ո՞ր երկիրն է գտնվում ԱՄՆ-ից հյուսիս")</f>
        <v>ո՞ր երկիրն է գտնվում ԱՄՆ-ից հյուսիս</v>
      </c>
      <c r="D411" s="3" t="str">
        <f>IFERROR(__xludf.DUMMYFUNCTION("GOOGLETRANSLATE(B411,""en"",""hy"")"),"Կանադա.")</f>
        <v>Կանադա.</v>
      </c>
    </row>
    <row r="412">
      <c r="A412" s="1" t="s">
        <v>824</v>
      </c>
      <c r="B412" s="2" t="s">
        <v>825</v>
      </c>
      <c r="C412" s="3" t="str">
        <f>IFERROR(__xludf.DUMMYFUNCTION("GOOGLETRANSLATE(A412,""en"",""hy"")"),"որտեղ է խաղում Դրյու Գորդոնը")</f>
        <v>որտեղ է խաղում Դրյու Գորդոնը</v>
      </c>
      <c r="D412" s="3" t="str">
        <f>IFERROR(__xludf.DUMMYFUNCTION("GOOGLETRANSLATE(B412,""en"",""hy"")"),"Դրյու Գորդոնը ներկայումս խաղում է իտալական Pallacanestro Virtus Roma-ում:")</f>
        <v>Դրյու Գորդոնը ներկայումս խաղում է իտալական Pallacanestro Virtus Roma-ում:</v>
      </c>
    </row>
    <row r="413">
      <c r="A413" s="1" t="s">
        <v>826</v>
      </c>
      <c r="B413" s="2" t="s">
        <v>827</v>
      </c>
      <c r="C413" s="3" t="str">
        <f>IFERROR(__xludf.DUMMYFUNCTION("GOOGLETRANSLATE(A413,""en"",""hy"")"),"ով է եղել Ռուսաստանի առաջին նախագահը.")</f>
        <v>ով է եղել Ռուսաստանի առաջին նախագահը.</v>
      </c>
      <c r="D413" s="3" t="str">
        <f>IFERROR(__xludf.DUMMYFUNCTION("GOOGLETRANSLATE(B413,""en"",""hy"")"),"Բորիս Ելցին.")</f>
        <v>Բորիս Ելցին.</v>
      </c>
    </row>
    <row r="414">
      <c r="A414" s="1" t="s">
        <v>828</v>
      </c>
      <c r="B414" s="2" t="s">
        <v>829</v>
      </c>
      <c r="C414" s="3" t="str">
        <f>IFERROR(__xludf.DUMMYFUNCTION("GOOGLETRANSLATE(A414,""en"",""hy"")"),"ինչ լեզվով են խոսում Նիդեռլանդներում:")</f>
        <v>ինչ լեզվով են խոսում Նիդեռլանդներում:</v>
      </c>
      <c r="D414" s="3" t="str">
        <f>IFERROR(__xludf.DUMMYFUNCTION("GOOGLETRANSLATE(B414,""en"",""hy"")"),"հոլանդերեն.")</f>
        <v>հոլանդերեն.</v>
      </c>
    </row>
    <row r="415">
      <c r="A415" s="1" t="s">
        <v>830</v>
      </c>
      <c r="B415" s="2" t="s">
        <v>831</v>
      </c>
      <c r="C415" s="3" t="str">
        <f>IFERROR(__xludf.DUMMYFUNCTION("GOOGLETRANSLATE(A415,""en"",""hy"")"),"ինչ լեզվով է խոսում Չինաստանը:")</f>
        <v>ինչ լեզվով է խոսում Չինաստանը:</v>
      </c>
      <c r="D415" s="3" t="str">
        <f>IFERROR(__xludf.DUMMYFUNCTION("GOOGLETRANSLATE(B415,""en"",""hy"")"),"Մանդարին չինարեն.")</f>
        <v>Մանդարին չինարեն.</v>
      </c>
    </row>
    <row r="416">
      <c r="A416" s="1" t="s">
        <v>832</v>
      </c>
      <c r="B416" s="2" t="s">
        <v>833</v>
      </c>
      <c r="C416" s="3" t="str">
        <f>IFERROR(__xludf.DUMMYFUNCTION("GOOGLETRANSLATE(A416,""en"",""hy"")"),"աշխարհի ո՞ր երկրներն են խոսում ֆրանսերեն:")</f>
        <v>աշխարհի ո՞ր երկրներն են խոսում ֆրանսերեն:</v>
      </c>
      <c r="D416" s="3" t="str">
        <f>IFERROR(__xludf.DUMMYFUNCTION("GOOGLETRANSLATE(B416,""en"",""hy"")"),"Կանադա, Բելգիա, Շվեյցարիա, Փղոսկրի Ափ, Կոնգոյի Դեմոկրատական ​​Հանրապետություն, Կամերուն, Բուրկինա Ֆասո, Նիգեր, Սենեգալ, Մալի, Ռուանդա, Մադագասկար, Գվինեա, Հաիթի, Չադ, Բենին, Տոգո, Կենտրոնական Աֆրիկյան Հանրապետություն, Կոնգոյի Հանրապետություն, Գաբոն, Կոմոր"&amp;"ներ , Ջիբութի, Հասարակածային Գվինեա, Լյուքսեմբուրգ, Վանուատու, Սեյշելներ, Մոնակո և Ֆրանսիայի անդրծովյան տարածքներ։")</f>
        <v>Կանադա, Բելգիա, Շվեյցարիա, Փղոսկրի Ափ, Կոնգոյի Դեմոկրատական ​​Հանրապետություն, Կամերուն, Բուրկինա Ֆասո, Նիգեր, Սենեգալ, Մալի, Ռուանդա, Մադագասկար, Գվինեա, Հաիթի, Չադ, Բենին, Տոգո, Կենտրոնական Աֆրիկյան Հանրապետություն, Կոնգոյի Հանրապետություն, Գաբոն, Կոմորներ , Ջիբութի, Հասարակածային Գվինեա, Լյուքսեմբուրգ, Վանուատու, Սեյշելներ, Մոնակո և Ֆրանսիայի անդրծովյան տարածքներ։</v>
      </c>
    </row>
    <row r="417">
      <c r="A417" s="1" t="s">
        <v>834</v>
      </c>
      <c r="B417" s="2" t="s">
        <v>835</v>
      </c>
      <c r="C417" s="3" t="str">
        <f>IFERROR(__xludf.DUMMYFUNCTION("GOOGLETRANSLATE(A417,""en"",""hy"")"),"ով է Էսթեր Հիքսը")</f>
        <v>ով է Էսթեր Հիքսը</v>
      </c>
      <c r="D417" s="3" t="str">
        <f>IFERROR(__xludf.DUMMYFUNCTION("GOOGLETRANSLATE(B417,""en"",""hy"")"),"Էսթեր Հիքսը ամերիկացի ոգեշնչող բանախոս է և հեղինակ, ով հեռարձակում է ոչ ֆիզիկական անձանց մի խումբ, որոնք հայտնի են որպես «Աբրահամ»:")</f>
        <v>Էսթեր Հիքսը ամերիկացի ոգեշնչող բանախոս է և հեղինակ, ով հեռարձակում է ոչ ֆիզիկական անձանց մի խումբ, որոնք հայտնի են որպես «Աբրահամ»:</v>
      </c>
    </row>
    <row r="418">
      <c r="A418" s="1" t="s">
        <v>836</v>
      </c>
      <c r="B418" s="2" t="s">
        <v>837</v>
      </c>
      <c r="C418" s="3" t="str">
        <f>IFERROR(__xludf.DUMMYFUNCTION("GOOGLETRANSLATE(A418,""en"",""hy"")"),"ինչ է անում Մայքլ Վիկը")</f>
        <v>ինչ է անում Մայքլ Վիկը</v>
      </c>
      <c r="D418" s="3" t="str">
        <f>IFERROR(__xludf.DUMMYFUNCTION("GOOGLETRANSLATE(B418,""en"",""hy"")"),"Մայքլ Վիկը նախկին պրոֆեսիոնալ ֆուտբոլիստ է։")</f>
        <v>Մայքլ Վիկը նախկին պրոֆեսիոնալ ֆուտբոլիստ է։</v>
      </c>
    </row>
    <row r="419">
      <c r="A419" s="1" t="s">
        <v>838</v>
      </c>
      <c r="B419" s="2" t="s">
        <v>839</v>
      </c>
      <c r="C419" s="3" t="str">
        <f>IFERROR(__xludf.DUMMYFUNCTION("GOOGLETRANSLATE(A419,""en"",""hy"")"),"ո՞ր նահանգում է գտնվում Յոհանեսբուրգը")</f>
        <v>ո՞ր նահանգում է գտնվում Յոհանեսբուրգը</v>
      </c>
      <c r="D419" s="3" t="str">
        <f>IFERROR(__xludf.DUMMYFUNCTION("GOOGLETRANSLATE(B419,""en"",""hy"")"),"Գաուտենգ նահանգ.")</f>
        <v>Գաուտենգ նահանգ.</v>
      </c>
    </row>
    <row r="420">
      <c r="A420" s="1" t="s">
        <v>840</v>
      </c>
      <c r="B420" s="2" t="s">
        <v>841</v>
      </c>
      <c r="C420" s="3" t="str">
        <f>IFERROR(__xludf.DUMMYFUNCTION("GOOGLETRANSLATE(A420,""en"",""hy"")"),"որտեղ էր Ջոն Լենոնը կանգնած, երբ նրան գնդակահարեցին:")</f>
        <v>որտեղ էր Ջոն Լենոնը կանգնած, երբ նրան գնդակահարեցին:</v>
      </c>
      <c r="D420" s="3" t="str">
        <f>IFERROR(__xludf.DUMMYFUNCTION("GOOGLETRANSLATE(B420,""en"",""hy"")"),"Ջոն Լենոնը կանգնած է եղել Նյու Յորքի իր բնակելի շենքի՝ The Dakota-ի մոտ, երբ նրան կրակել են:")</f>
        <v>Ջոն Լենոնը կանգնած է եղել Նյու Յորքի իր բնակելի շենքի՝ The Dakota-ի մոտ, երբ նրան կրակել են:</v>
      </c>
    </row>
    <row r="421">
      <c r="A421" s="1" t="s">
        <v>842</v>
      </c>
      <c r="B421" s="2" t="s">
        <v>843</v>
      </c>
      <c r="C421" s="3" t="str">
        <f>IFERROR(__xludf.DUMMYFUNCTION("GOOGLETRANSLATE(A421,""en"",""hy"")"),"ժամը քանիսին են փակվում Ատլանտյան Սիթի բարերը:")</f>
        <v>ժամը քանիսին են փակվում Ատլանտյան Սիթի բարերը:</v>
      </c>
      <c r="D421" s="3" t="str">
        <f>IFERROR(__xludf.DUMMYFUNCTION("GOOGLETRANSLATE(B421,""en"",""hy"")"),"Ատլանտիկ Սիթիի բարերը սովորաբար փակվում են առավոտյան ժամը 3:00-ին:")</f>
        <v>Ատլանտիկ Սիթիի բարերը սովորաբար փակվում են առավոտյան ժամը 3:00-ին:</v>
      </c>
    </row>
    <row r="422">
      <c r="A422" s="1" t="s">
        <v>844</v>
      </c>
      <c r="B422" s="2" t="s">
        <v>845</v>
      </c>
      <c r="C422" s="3" t="str">
        <f>IFERROR(__xludf.DUMMYFUNCTION("GOOGLETRANSLATE(A422,""en"",""hy"")"),"ո՞ր պետությունն էր ներկայացնում Ալ Գորը")</f>
        <v>ո՞ր պետությունն էր ներկայացնում Ալ Գորը</v>
      </c>
      <c r="D422" s="3" t="str">
        <f>IFERROR(__xludf.DUMMYFUNCTION("GOOGLETRANSLATE(B422,""en"",""hy"")"),"Ալ Գորը ներկայացնում էր Թենեսի նահանգը։")</f>
        <v>Ալ Գորը ներկայացնում էր Թենեսի նահանգը։</v>
      </c>
    </row>
    <row r="423">
      <c r="A423" s="1" t="s">
        <v>846</v>
      </c>
      <c r="B423" s="2" t="s">
        <v>847</v>
      </c>
      <c r="C423" s="3" t="str">
        <f>IFERROR(__xludf.DUMMYFUNCTION("GOOGLETRANSLATE(A423,""en"",""hy"")"),"Ո՞վ բարձրաձայնեց Դարտ Վեյդերը՝ վրեժ լուծելով սիթից:")</f>
        <v>Ո՞վ բարձրաձայնեց Դարտ Վեյդերը՝ վրեժ լուծելով սիթից:</v>
      </c>
      <c r="D423" s="3" t="str">
        <f>IFERROR(__xludf.DUMMYFUNCTION("GOOGLETRANSLATE(B423,""en"",""hy"")"),"Ջեյմս Էրլ Ջոնս.")</f>
        <v>Ջեյմս Էրլ Ջոնս.</v>
      </c>
    </row>
    <row r="424">
      <c r="A424" s="1" t="s">
        <v>848</v>
      </c>
      <c r="B424" s="2" t="s">
        <v>849</v>
      </c>
      <c r="C424" s="3" t="str">
        <f>IFERROR(__xludf.DUMMYFUNCTION("GOOGLETRANSLATE(A424,""en"",""hy"")"),"Արվեստի ո՞ր տեսակով է հայտնի Անրի Մատիսը:")</f>
        <v>Արվեստի ո՞ր տեսակով է հայտնի Անրի Մատիսը:</v>
      </c>
      <c r="D424" s="3" t="str">
        <f>IFERROR(__xludf.DUMMYFUNCTION("GOOGLETRANSLATE(B424,""en"",""hy"")"),"Անրի Մատիսը հայտնի է ժամանակակից արվեստի մեջ իր ներդրումով և հայտնի է իր նկարներով և թղթի կտրվածքով:")</f>
        <v>Անրի Մատիսը հայտնի է ժամանակակից արվեստի մեջ իր ներդրումով և հայտնի է իր նկարներով և թղթի կտրվածքով:</v>
      </c>
    </row>
    <row r="425">
      <c r="A425" s="1" t="s">
        <v>850</v>
      </c>
      <c r="B425" s="2" t="s">
        <v>851</v>
      </c>
      <c r="C425" s="3" t="str">
        <f>IFERROR(__xludf.DUMMYFUNCTION("GOOGLETRANSLATE(A425,""en"",""hy"")"),"ինչ անել Լաֆլին Նևադայում:")</f>
        <v>ինչ անել Լաֆլին Նևադայում:</v>
      </c>
      <c r="D425" s="3" t="str">
        <f>IFERROR(__xludf.DUMMYFUNCTION("GOOGLETRANSLATE(B425,""en"",""hy"")"),"Լաֆլինում, Նևադա, դուք կարող եք վայելել այնպիսի գործողություններ, ինչպիսիք են մոլախաղերը, Կոլորադո գետը ուսումնասիրելը, գետով նավարկությունը, կենդանի շոուների և համերգների հաճախելը, ճաշի տարբեր տարբերակներ փորձելը և մոտակա տեսարժան վայրեր այցելելը, ինչպիս"&amp;"ին է Հուվեր ամբարտակը:")</f>
        <v>Լաֆլինում, Նևադա, դուք կարող եք վայելել այնպիսի գործողություններ, ինչպիսիք են մոլախաղերը, Կոլորադո գետը ուսումնասիրելը, գետով նավարկությունը, կենդանի շոուների և համերգների հաճախելը, ճաշի տարբեր տարբերակներ փորձելը և մոտակա տեսարժան վայրեր այցելելը, ինչպիսին է Հուվեր ամբարտակը:</v>
      </c>
    </row>
    <row r="426">
      <c r="A426" s="1" t="s">
        <v>852</v>
      </c>
      <c r="B426" s="2" t="s">
        <v>853</v>
      </c>
      <c r="C426" s="3" t="str">
        <f>IFERROR(__xludf.DUMMYFUNCTION("GOOGLETRANSLATE(A426,""en"",""hy"")"),"Ո՞վ է խաղում արքայադուստր Պադմի աստղային պատերազմներում:")</f>
        <v>Ո՞վ է խաղում արքայադուստր Պադմի աստղային պատերազմներում:</v>
      </c>
      <c r="D426" s="3" t="str">
        <f>IFERROR(__xludf.DUMMYFUNCTION("GOOGLETRANSLATE(B426,""en"",""hy"")"),"Նատալի Պորտման.")</f>
        <v>Նատալի Պորտման.</v>
      </c>
    </row>
    <row r="427">
      <c r="A427" s="1" t="s">
        <v>854</v>
      </c>
      <c r="B427" s="2" t="s">
        <v>855</v>
      </c>
      <c r="C427" s="3" t="str">
        <f>IFERROR(__xludf.DUMMYFUNCTION("GOOGLETRANSLATE(A427,""en"",""hy"")"),"որտեղ սահել Անդորրայում:")</f>
        <v>որտեղ սահել Անդորրայում:</v>
      </c>
      <c r="D427" s="3" t="str">
        <f>IFERROR(__xludf.DUMMYFUNCTION("GOOGLETRANSLATE(B427,""en"",""hy"")"),"Անդորրայի լեռնադահուկային հանգստավայրերի վերաբերյալ ակնարկների համար կարող եք ստուգել առցանց հարթակներ, ինչպիսիք են TripAdvisor, Yelp կամ դահուկների համար հատուկ կայքեր, ինչպիսիք են Snow-Online-ը:")</f>
        <v>Անդորրայի լեռնադահուկային հանգստավայրերի վերաբերյալ ակնարկների համար կարող եք ստուգել առցանց հարթակներ, ինչպիսիք են TripAdvisor, Yelp կամ դահուկների համար հատուկ կայքեր, ինչպիսիք են Snow-Online-ը:</v>
      </c>
    </row>
    <row r="428">
      <c r="A428" s="1" t="s">
        <v>856</v>
      </c>
      <c r="B428" s="2" t="s">
        <v>857</v>
      </c>
      <c r="C428" s="3" t="str">
        <f>IFERROR(__xludf.DUMMYFUNCTION("GOOGLETRANSLATE(A428,""en"",""hy"")"),"ով էր Լուիս Ռիլը")</f>
        <v>ով էր Լուիս Ռիլը</v>
      </c>
      <c r="D428" s="3" t="str">
        <f>IFERROR(__xludf.DUMMYFUNCTION("GOOGLETRANSLATE(B428,""en"",""hy"")"),"Լուի Ռիլը Մետիսի առաջնորդ և քաղաքական գործիչ էր Կանադայում:")</f>
        <v>Լուի Ռիլը Մետիսի առաջնորդ և քաղաքական գործիչ էր Կանադայում:</v>
      </c>
    </row>
    <row r="429">
      <c r="A429" s="1" t="s">
        <v>858</v>
      </c>
      <c r="B429" s="2" t="s">
        <v>859</v>
      </c>
      <c r="C429" s="3" t="str">
        <f>IFERROR(__xludf.DUMMYFUNCTION("GOOGLETRANSLATE(A429,""en"",""hy"")"),"որո՞նք են Մեծ Բրիտանիայի չորս ազգերը:")</f>
        <v>որո՞նք են Մեծ Բրիտանիայի չորս ազգերը:</v>
      </c>
      <c r="D429" s="3" t="str">
        <f>IFERROR(__xludf.DUMMYFUNCTION("GOOGLETRANSLATE(B429,""en"",""hy"")"),"Մեծ Բրիտանիայի չորս երկրներն են՝ Անգլիան, Շոտլանդիան, Ուելսը և Հյուսիսային Իռլանդիան։")</f>
        <v>Մեծ Բրիտանիայի չորս երկրներն են՝ Անգլիան, Շոտլանդիան, Ուելսը և Հյուսիսային Իռլանդիան։</v>
      </c>
    </row>
    <row r="430">
      <c r="A430" s="1" t="s">
        <v>860</v>
      </c>
      <c r="B430" s="2" t="s">
        <v>861</v>
      </c>
      <c r="C430" s="3" t="str">
        <f>IFERROR(__xludf.DUMMYFUNCTION("GOOGLETRANSLATE(A430,""en"",""hy"")"),"ո՞ւմ հետ է ամուսնացել Ջուդի Գարլենդը")</f>
        <v>ո՞ւմ հետ է ամուսնացել Ջուդի Գարլենդը</v>
      </c>
      <c r="D430" s="3" t="str">
        <f>IFERROR(__xludf.DUMMYFUNCTION("GOOGLETRANSLATE(B430,""en"",""hy"")"),"Ջուդի Գարլենդն ամուսնացած էր Վինսենտե Մինելլիի, Սիդ Լաֆթի և Մարկ Հերոնի հետ։")</f>
        <v>Ջուդի Գարլենդն ամուսնացած էր Վինսենտե Մինելլիի, Սիդ Լաֆթի և Մարկ Հերոնի հետ։</v>
      </c>
    </row>
    <row r="431">
      <c r="A431" s="1" t="s">
        <v>862</v>
      </c>
      <c r="B431" s="2" t="s">
        <v>863</v>
      </c>
      <c r="C431" s="3" t="str">
        <f>IFERROR(__xludf.DUMMYFUNCTION("GOOGLETRANSLATE(A431,""en"",""hy"")"),"որտեղ է Աբրահամ Լինքոլնի հայրենի քաղաքը:")</f>
        <v>որտեղ է Աբրահամ Լինքոլնի հայրենի քաղաքը:</v>
      </c>
      <c r="D431" s="3" t="str">
        <f>IFERROR(__xludf.DUMMYFUNCTION("GOOGLETRANSLATE(B431,""en"",""hy"")"),"Աբրահամ Լինքոլնի հայրենի քաղաքը Կենտուկի նահանգի Հոջենվիլն է:")</f>
        <v>Աբրահամ Լինքոլնի հայրենի քաղաքը Կենտուկի նահանգի Հոջենվիլն է:</v>
      </c>
    </row>
    <row r="432">
      <c r="A432" s="1" t="s">
        <v>864</v>
      </c>
      <c r="B432" s="2" t="s">
        <v>865</v>
      </c>
      <c r="C432" s="3" t="str">
        <f>IFERROR(__xludf.DUMMYFUNCTION("GOOGLETRANSLATE(A432,""en"",""hy"")"),"ի՞նչ հիվանդություն ուներ Հելեն Քելլերը:")</f>
        <v>ի՞նչ հիվանդություն ուներ Հելեն Քելլերը:</v>
      </c>
      <c r="D432" s="3" t="str">
        <f>IFERROR(__xludf.DUMMYFUNCTION("GOOGLETRANSLATE(B432,""en"",""hy"")"),"Հելեն Քելլերն ուներ կարմիր տենդ կոչվող հիվանդություն, որի պատճառով նա երիտասարդ տարիքում կորցրեց տեսողությունն ու լսողությունը։")</f>
        <v>Հելեն Քելլերն ուներ կարմիր տենդ կոչվող հիվանդություն, որի պատճառով նա երիտասարդ տարիքում կորցրեց տեսողությունն ու լսողությունը։</v>
      </c>
    </row>
    <row r="433">
      <c r="A433" s="1" t="s">
        <v>866</v>
      </c>
      <c r="B433" s="2" t="s">
        <v>867</v>
      </c>
      <c r="C433" s="3" t="str">
        <f>IFERROR(__xludf.DUMMYFUNCTION("GOOGLETRANSLATE(A433,""en"",""hy"")"),"ինչ է փողի անունը Բրազիլիայում")</f>
        <v>ինչ է փողի անունը Բրազիլիայում</v>
      </c>
      <c r="D433" s="3" t="str">
        <f>IFERROR(__xludf.DUMMYFUNCTION("GOOGLETRANSLATE(B433,""en"",""hy"")"),"Բրազիլիայում փողի անունը բրազիլական ռեալ է։")</f>
        <v>Բրազիլիայում փողի անունը բրազիլական ռեալ է։</v>
      </c>
    </row>
    <row r="434">
      <c r="A434" s="1" t="s">
        <v>868</v>
      </c>
      <c r="B434" s="2" t="s">
        <v>483</v>
      </c>
      <c r="C434" s="3" t="str">
        <f>IFERROR(__xludf.DUMMYFUNCTION("GOOGLETRANSLATE(A434,""en"",""hy"")"),"ո՞ր տարում Լեյքերները հաղթեցին առաջնությունում:")</f>
        <v>ո՞ր տարում Լեյքերները հաղթեցին առաջնությունում:</v>
      </c>
      <c r="D434" s="3" t="str">
        <f>IFERROR(__xludf.DUMMYFUNCTION("GOOGLETRANSLATE(B434,""en"",""hy"")"),"«Լեյքերսը» չեմպիոն է դարձել 2020 թվականին։")</f>
        <v>«Լեյքերսը» չեմպիոն է դարձել 2020 թվականին։</v>
      </c>
    </row>
    <row r="435">
      <c r="A435" s="1" t="s">
        <v>869</v>
      </c>
      <c r="B435" s="2" t="s">
        <v>870</v>
      </c>
      <c r="C435" s="3" t="str">
        <f>IFERROR(__xludf.DUMMYFUNCTION("GOOGLETRANSLATE(A435,""en"",""hy"")"),"ինչի՞ն էր հավատում Քուլիջը՝ կապված կառավարության դերի հետ:")</f>
        <v>ինչի՞ն էր հավատում Քուլիջը՝ կապված կառավարության դերի հետ:</v>
      </c>
      <c r="D435" s="3" t="str">
        <f>IFERROR(__xludf.DUMMYFUNCTION("GOOGLETRANSLATE(B435,""en"",""hy"")"),"Կալվին Քուլիջը հավատում էր սահմանափակ կառավարությանը և հանդես էր գալիս տնտեսության մեջ կառավարության նվազագույն միջամտության օգտին:")</f>
        <v>Կալվին Քուլիջը հավատում էր սահմանափակ կառավարությանը և հանդես էր գալիս տնտեսության մեջ կառավարության նվազագույն միջամտության օգտին:</v>
      </c>
    </row>
    <row r="436">
      <c r="A436" s="1" t="s">
        <v>871</v>
      </c>
      <c r="B436" s="2" t="s">
        <v>872</v>
      </c>
      <c r="C436" s="3" t="str">
        <f>IFERROR(__xludf.DUMMYFUNCTION("GOOGLETRANSLATE(A436,""en"",""hy"")"),"ինչ է Ատլանտա Բրեյվզ թալիսմանը:")</f>
        <v>ինչ է Ատլանտա Բրեյվզ թալիսմանը:</v>
      </c>
      <c r="D436" s="3" t="str">
        <f>IFERROR(__xludf.DUMMYFUNCTION("GOOGLETRANSLATE(B436,""en"",""hy"")"),"Atlanta Braves թալիսմանը ստացել է Blooper անունը:")</f>
        <v>Atlanta Braves թալիսմանը ստացել է Blooper անունը:</v>
      </c>
    </row>
    <row r="437">
      <c r="A437" s="1" t="s">
        <v>873</v>
      </c>
      <c r="B437" s="2" t="s">
        <v>874</v>
      </c>
      <c r="C437" s="3" t="str">
        <f>IFERROR(__xludf.DUMMYFUNCTION("GOOGLETRANSLATE(A437,""en"",""hy"")"),"ինչպիսի՞ իշխանություն ուներ Անգլիան փառավոր հեղափոխության ժամանակ։")</f>
        <v>ինչպիսի՞ իշխանություն ուներ Անգլիան փառավոր հեղափոխության ժամանակ։</v>
      </c>
      <c r="D437" s="3" t="str">
        <f>IFERROR(__xludf.DUMMYFUNCTION("GOOGLETRANSLATE(B437,""en"",""hy"")"),"Փառահեղ հեղափոխության ժամանակ Անգլիան ուներ սահմանադրական միապետություն։")</f>
        <v>Փառահեղ հեղափոխության ժամանակ Անգլիան ուներ սահմանադրական միապետություն։</v>
      </c>
    </row>
    <row r="438">
      <c r="A438" s="1" t="s">
        <v>875</v>
      </c>
      <c r="B438" s="2" t="s">
        <v>876</v>
      </c>
      <c r="C438" s="3" t="str">
        <f>IFERROR(__xludf.DUMMYFUNCTION("GOOGLETRANSLATE(A438,""en"",""hy"")"),"առաջին ֆիլմում ո՞վ խաղաց Դամբլդորի դերը:")</f>
        <v>առաջին ֆիլմում ո՞վ խաղաց Դամբլդորի դերը:</v>
      </c>
      <c r="D438" s="3" t="str">
        <f>IFERROR(__xludf.DUMMYFUNCTION("GOOGLETRANSLATE(B438,""en"",""hy"")"),"Ռիչարդ Հարիսը Դամբլդորի դերն է կատարել առաջին ֆիլմում։")</f>
        <v>Ռիչարդ Հարիսը Դամբլդորի դերն է կատարել առաջին ֆիլմում։</v>
      </c>
    </row>
    <row r="439">
      <c r="A439" s="1" t="s">
        <v>877</v>
      </c>
      <c r="B439" s="2" t="s">
        <v>878</v>
      </c>
      <c r="C439" s="3" t="str">
        <f>IFERROR(__xludf.DUMMYFUNCTION("GOOGLETRANSLATE(A439,""en"",""hy"")"),"որտեղ է հիմնադրվել greenpeace միջազգային բնապահպանական կազմակերպությունը:")</f>
        <v>որտեղ է հիմնադրվել greenpeace միջազգային բնապահպանական կազմակերպությունը:</v>
      </c>
      <c r="D439" s="3" t="str">
        <f>IFERROR(__xludf.DUMMYFUNCTION("GOOGLETRANSLATE(B439,""en"",""hy"")"),"Greenpeace-ը հիմնադրվել է Կանադայի Վանկուվեր քաղաքում։")</f>
        <v>Greenpeace-ը հիմնադրվել է Կանադայի Վանկուվեր քաղաքում։</v>
      </c>
    </row>
    <row r="440">
      <c r="A440" s="1" t="s">
        <v>879</v>
      </c>
      <c r="B440" s="2" t="s">
        <v>880</v>
      </c>
      <c r="C440" s="3" t="str">
        <f>IFERROR(__xludf.DUMMYFUNCTION("GOOGLETRANSLATE(A440,""en"",""hy"")"),"ինչ է դա նշանակում Ռոջեր")</f>
        <v>ինչ է դա նշանակում Ռոջեր</v>
      </c>
      <c r="D440" s="3" t="str">
        <f>IFERROR(__xludf.DUMMYFUNCTION("GOOGLETRANSLATE(B440,""en"",""hy"")"),"«Roger that» արտահայտությունն է, որն օգտագործվում է ռադիոհաղորդակցության մեջ՝ ցույց տալու, որ հաղորդագրությունը ստացվել և հասկացվել է:")</f>
        <v>«Roger that» արտահայտությունն է, որն օգտագործվում է ռադիոհաղորդակցության մեջ՝ ցույց տալու, որ հաղորդագրությունը ստացվել և հասկացվել է:</v>
      </c>
    </row>
    <row r="441">
      <c r="A441" s="1" t="s">
        <v>881</v>
      </c>
      <c r="B441" s="2" t="s">
        <v>882</v>
      </c>
      <c r="C441" s="3" t="str">
        <f>IFERROR(__xludf.DUMMYFUNCTION("GOOGLETRANSLATE(A441,""en"",""hy"")"),"ինչպես է կոչվում Լոնդոնի կենտրոնը")</f>
        <v>ինչպես է կոչվում Լոնդոնի կենտրոնը</v>
      </c>
      <c r="D441" s="3" t="str">
        <f>IFERROR(__xludf.DUMMYFUNCTION("GOOGLETRANSLATE(B441,""en"",""hy"")"),"Լոնդոնի կենտրոնը կոչվում է Լոնդոնի քաղաք կամ պարզապես «քաղաք»:")</f>
        <v>Լոնդոնի կենտրոնը կոչվում է Լոնդոնի քաղաք կամ պարզապես «քաղաք»:</v>
      </c>
    </row>
    <row r="442">
      <c r="A442" s="1" t="s">
        <v>883</v>
      </c>
      <c r="B442" s="2" t="s">
        <v>884</v>
      </c>
      <c r="C442" s="3" t="str">
        <f>IFERROR(__xludf.DUMMYFUNCTION("GOOGLETRANSLATE(A442,""en"",""hy"")"),"ո՞րն էր Վաշինգտոնի Ռեդսկինների առաջին անունը:")</f>
        <v>ո՞րն էր Վաշինգտոնի Ռեդսկինների առաջին անունը:</v>
      </c>
      <c r="D442" s="3" t="str">
        <f>IFERROR(__xludf.DUMMYFUNCTION("GOOGLETRANSLATE(B442,""en"",""hy"")"),"Վաշինգտոն Ռեդսկինսի առաջին անունը Բոստոն Բրեյվսն էր:")</f>
        <v>Վաշինգտոն Ռեդսկինսի առաջին անունը Բոստոն Բրեյվսն էր:</v>
      </c>
    </row>
    <row r="443">
      <c r="A443" s="1" t="s">
        <v>885</v>
      </c>
      <c r="B443" s="2" t="s">
        <v>886</v>
      </c>
      <c r="C443" s="3" t="str">
        <f>IFERROR(__xludf.DUMMYFUNCTION("GOOGLETRANSLATE(A443,""en"",""hy"")"),"ինչ սպորտով են նրանք զբաղվում Կանադայում:")</f>
        <v>ինչ սպորտով են նրանք զբաղվում Կանադայում:</v>
      </c>
      <c r="D443" s="3" t="str">
        <f>IFERROR(__xludf.DUMMYFUNCTION("GOOGLETRANSLATE(B443,""en"",""hy"")"),"Հոկեյը Կանադայում ամենատարածված մարզաձևն է: Այլ հայտնի սպորտաձևերը ներառում են լաքրոսը, կանադական ֆուտբոլը, բասկետբոլը և ֆուտբոլը։")</f>
        <v>Հոկեյը Կանադայում ամենատարածված մարզաձևն է: Այլ հայտնի սպորտաձևերը ներառում են լաքրոսը, կանադական ֆուտբոլը, բասկետբոլը և ֆուտբոլը։</v>
      </c>
    </row>
    <row r="444">
      <c r="A444" s="1" t="s">
        <v>887</v>
      </c>
      <c r="B444" s="2" t="s">
        <v>888</v>
      </c>
      <c r="C444" s="3" t="str">
        <f>IFERROR(__xludf.DUMMYFUNCTION("GOOGLETRANSLATE(A444,""en"",""hy"")"),"ով է եղել ԱՖԼ-ի առաջին առաջնորդը.")</f>
        <v>ով է եղել ԱՖԼ-ի առաջին առաջնորդը.</v>
      </c>
      <c r="D444" s="3" t="str">
        <f>IFERROR(__xludf.DUMMYFUNCTION("GOOGLETRANSLATE(B444,""en"",""hy"")"),"AFL-ի առաջին առաջատարը Սամուել Գոմպերսն էր։")</f>
        <v>AFL-ի առաջին առաջատարը Սամուել Գոմպերսն էր։</v>
      </c>
    </row>
    <row r="445">
      <c r="A445" s="1" t="s">
        <v>889</v>
      </c>
      <c r="B445" s="2" t="s">
        <v>890</v>
      </c>
      <c r="C445" s="3" t="str">
        <f>IFERROR(__xludf.DUMMYFUNCTION("GOOGLETRANSLATE(A445,""en"",""hy"")"),"ով է Արիզոնայի կարդինալների ֆուտբոլային մարզիչը:")</f>
        <v>ով է Արիզոնայի կարդինալների ֆուտբոլային մարզիչը:</v>
      </c>
      <c r="D445" s="3" t="str">
        <f>IFERROR(__xludf.DUMMYFUNCTION("GOOGLETRANSLATE(B445,""en"",""hy"")"),"Արիզոնա Կարդինալսի ներկայիս ֆուտբոլային մարզիչը Քլիֆ Քինգսբերին է։")</f>
        <v>Արիզոնա Կարդինալսի ներկայիս ֆուտբոլային մարզիչը Քլիֆ Քինգսբերին է։</v>
      </c>
    </row>
    <row r="446">
      <c r="A446" s="1" t="s">
        <v>891</v>
      </c>
      <c r="B446" s="2" t="s">
        <v>892</v>
      </c>
      <c r="C446" s="3" t="str">
        <f>IFERROR(__xludf.DUMMYFUNCTION("GOOGLETRANSLATE(A446,""en"",""hy"")"),"ե՞րբ է թամուն ընդունել կանանց")</f>
        <v>ե՞րբ է թամուն ընդունել կանանց</v>
      </c>
      <c r="D446" s="3" t="str">
        <f>IFERROR(__xludf.DUMMYFUNCTION("GOOGLETRANSLATE(B446,""en"",""hy"")"),"TAMU-ն կանանց ընդունել է 1963թ.")</f>
        <v>TAMU-ն կանանց ընդունել է 1963թ.</v>
      </c>
    </row>
    <row r="447">
      <c r="A447" s="1" t="s">
        <v>893</v>
      </c>
      <c r="B447" s="2" t="s">
        <v>894</v>
      </c>
      <c r="C447" s="3" t="str">
        <f>IFERROR(__xludf.DUMMYFUNCTION("GOOGLETRANSLATE(A447,""en"",""hy"")"),"որտեղ է տեղի ունեցել Վաթերլոյի ճակատամարտը:")</f>
        <v>որտեղ է տեղի ունեցել Վաթերլոյի ճակատամարտը:</v>
      </c>
      <c r="D447" s="3" t="str">
        <f>IFERROR(__xludf.DUMMYFUNCTION("GOOGLETRANSLATE(B447,""en"",""hy"")"),"Բելգիայի Վաթերլոո քաղաքում տեղի ունեցավ Վաթերլոոյի ճակատամարտը։")</f>
        <v>Բելգիայի Վաթերլոո քաղաքում տեղի ունեցավ Վաթերլոոյի ճակատամարտը։</v>
      </c>
    </row>
    <row r="448">
      <c r="A448" s="1" t="s">
        <v>895</v>
      </c>
      <c r="B448" s="2" t="s">
        <v>896</v>
      </c>
      <c r="C448" s="3" t="str">
        <f>IFERROR(__xludf.DUMMYFUNCTION("GOOGLETRANSLATE(A448,""en"",""hy"")"),"Ինչո՞վ էր հայտնի Մերիլին Մոնրոն:")</f>
        <v>Ինչո՞վ էր հայտնի Մերիլին Մոնրոն:</v>
      </c>
      <c r="D448" s="3" t="str">
        <f>IFERROR(__xludf.DUMMYFUNCTION("GOOGLETRANSLATE(B448,""en"",""hy"")"),"Մերիլին Մոնրոն հայտնի էր իր գեղեցկությամբ, դերասանուհու տաղանդով և որպես գլամուրի և սեքսուալության խորհրդանիշի խորհրդանիշ:")</f>
        <v>Մերիլին Մոնրոն հայտնի էր իր գեղեցկությամբ, դերասանուհու տաղանդով և որպես գլամուրի և սեքսուալության խորհրդանիշի խորհրդանիշ:</v>
      </c>
    </row>
    <row r="449">
      <c r="A449" s="1" t="s">
        <v>897</v>
      </c>
      <c r="B449" s="2" t="s">
        <v>898</v>
      </c>
      <c r="C449" s="3" t="str">
        <f>IFERROR(__xludf.DUMMYFUNCTION("GOOGLETRANSLATE(A449,""en"",""hy"")"),"ի՞նչ է սխալ արել Բարաք Օբաման.")</f>
        <v>ի՞նչ է սխալ արել Բարաք Օբաման.</v>
      </c>
      <c r="D449" s="3" t="str">
        <f>IFERROR(__xludf.DUMMYFUNCTION("GOOGLETRANSLATE(B449,""en"",""hy"")"),"Սա սուբյեկտիվ հարց է, և կարծիքները կարող են տարբեր լինել:")</f>
        <v>Սա սուբյեկտիվ հարց է, և կարծիքները կարող են տարբեր լինել:</v>
      </c>
    </row>
    <row r="450">
      <c r="A450" s="1" t="s">
        <v>899</v>
      </c>
      <c r="B450" s="2" t="s">
        <v>900</v>
      </c>
      <c r="C450" s="3" t="str">
        <f>IFERROR(__xludf.DUMMYFUNCTION("GOOGLETRANSLATE(A450,""en"",""hy"")"),"որն է ավելի արագ amd dual core կամ intel dual core?")</f>
        <v>որն է ավելի արագ amd dual core կամ intel dual core?</v>
      </c>
      <c r="D450" s="3" t="str">
        <f>IFERROR(__xludf.DUMMYFUNCTION("GOOGLETRANSLATE(B450,""en"",""hy"")"),"Դա կախված է համեմատվող AMD-ի և Intel-ի երկմիջուկ պրոցեսորների կոնկրետ մոդելներից և բնութագրերից:")</f>
        <v>Դա կախված է համեմատվող AMD-ի և Intel-ի երկմիջուկ պրոցեսորների կոնկրետ մոդելներից և բնութագրերից:</v>
      </c>
    </row>
    <row r="451">
      <c r="A451" s="1" t="s">
        <v>901</v>
      </c>
      <c r="B451" s="2" t="s">
        <v>902</v>
      </c>
      <c r="C451" s="3" t="str">
        <f>IFERROR(__xludf.DUMMYFUNCTION("GOOGLETRANSLATE(A451,""en"",""hy"")"),"որտե՞ղ գնաց Լի Կորսոն քոլեջ:")</f>
        <v>որտե՞ղ գնաց Լի Կորսոն քոլեջ:</v>
      </c>
      <c r="D451" s="3" t="str">
        <f>IFERROR(__xludf.DUMMYFUNCTION("GOOGLETRANSLATE(B451,""en"",""hy"")"),"Լի Կորսոն գնաց Ֆլորիդայի պետական ​​համալսարան:")</f>
        <v>Լի Կորսոն գնաց Ֆլորիդայի պետական ​​համալսարան:</v>
      </c>
    </row>
    <row r="452">
      <c r="A452" s="1" t="s">
        <v>903</v>
      </c>
      <c r="B452" s="2" t="s">
        <v>904</v>
      </c>
      <c r="C452" s="3" t="str">
        <f>IFERROR(__xludf.DUMMYFUNCTION("GOOGLETRANSLATE(A452,""en"",""hy"")"),"ովքեր են Կոլորադոյի արծիվները:")</f>
        <v>ովքեր են Կոլորադոյի արծիվները:</v>
      </c>
      <c r="D452" s="3" t="str">
        <f>IFERROR(__xludf.DUMMYFUNCTION("GOOGLETRANSLATE(B452,""en"",""hy"")"),"Կոլորադո Իգլզը սառույցի հոկեյի պրոֆեսիոնալ թիմ է, որը հիմնված է Կոլորադոյի Լավլենդ քաղաքում, և նրանք Հոկեյի ամերիկյան լիգայի (AHL) անդամ են։")</f>
        <v>Կոլորադո Իգլզը սառույցի հոկեյի պրոֆեսիոնալ թիմ է, որը հիմնված է Կոլորադոյի Լավլենդ քաղաքում, և նրանք Հոկեյի ամերիկյան լիգայի (AHL) անդամ են։</v>
      </c>
    </row>
    <row r="453">
      <c r="A453" s="1" t="s">
        <v>905</v>
      </c>
      <c r="B453" s="2" t="s">
        <v>906</v>
      </c>
      <c r="C453" s="3" t="str">
        <f>IFERROR(__xludf.DUMMYFUNCTION("GOOGLETRANSLATE(A453,""en"",""hy"")"),"ո՞ր ժամանակաշրջանում է ապրել Հիսուսը")</f>
        <v>ո՞ր ժամանակաշրջանում է ապրել Հիսուսը</v>
      </c>
      <c r="D453" s="3" t="str">
        <f>IFERROR(__xludf.DUMMYFUNCTION("GOOGLETRANSLATE(B453,""en"",""hy"")"),"Հիսուսն ապրել է մ.թ. 1-ին դարում։")</f>
        <v>Հիսուսն ապրել է մ.թ. 1-ին դարում։</v>
      </c>
    </row>
    <row r="454">
      <c r="A454" s="1" t="s">
        <v>907</v>
      </c>
      <c r="B454" s="2" t="s">
        <v>908</v>
      </c>
      <c r="C454" s="3" t="str">
        <f>IFERROR(__xludf.DUMMYFUNCTION("GOOGLETRANSLATE(A454,""en"",""hy"")"),"որտեղ է ապրում Լալա Էնթոնին")</f>
        <v>որտեղ է ապրում Լալա Էնթոնին</v>
      </c>
      <c r="D454" s="3" t="str">
        <f>IFERROR(__xludf.DUMMYFUNCTION("GOOGLETRANSLATE(B454,""en"",""hy"")"),"Չկա հանրությանը հասանելի տեղեկատվություն այն մասին, թե ներկայումս որտեղ է ապրում Լա Լա Էնթոնին:")</f>
        <v>Չկա հանրությանը հասանելի տեղեկատվություն այն մասին, թե ներկայումս որտեղ է ապրում Լա Լա Էնթոնին:</v>
      </c>
    </row>
    <row r="455">
      <c r="A455" s="1" t="s">
        <v>909</v>
      </c>
      <c r="B455" s="2" t="s">
        <v>910</v>
      </c>
      <c r="C455" s="3" t="str">
        <f>IFERROR(__xludf.DUMMYFUNCTION("GOOGLETRANSLATE(A455,""en"",""hy"")"),"ինչ արժույթ են նրանք ընդունում Քենիայում:")</f>
        <v>ինչ արժույթ են նրանք ընդունում Քենիայում:</v>
      </c>
      <c r="D455" s="3" t="str">
        <f>IFERROR(__xludf.DUMMYFUNCTION("GOOGLETRANSLATE(B455,""en"",""hy"")"),"Քենիայում ընդունված արժույթը Քենիայի շիլլինգն է։")</f>
        <v>Քենիայում ընդունված արժույթը Քենիայի շիլլինգն է։</v>
      </c>
    </row>
    <row r="456">
      <c r="A456" s="1" t="s">
        <v>911</v>
      </c>
      <c r="B456" s="2" t="s">
        <v>912</v>
      </c>
      <c r="C456" s="3" t="str">
        <f>IFERROR(__xludf.DUMMYFUNCTION("GOOGLETRANSLATE(A456,""en"",""hy"")"),"Ո՞ր գետն է նավարկել Հենրի Հադսոնը:")</f>
        <v>Ո՞ր գետն է նավարկել Հենրի Հադսոնը:</v>
      </c>
      <c r="D456" s="3" t="str">
        <f>IFERROR(__xludf.DUMMYFUNCTION("GOOGLETRANSLATE(B456,""en"",""hy"")"),"Հենրի Հադսոնը նավարկեց Հադսոն գետով:")</f>
        <v>Հենրի Հադսոնը նավարկեց Հադսոն գետով:</v>
      </c>
    </row>
    <row r="457">
      <c r="A457" s="1" t="s">
        <v>913</v>
      </c>
      <c r="B457" s="2" t="s">
        <v>914</v>
      </c>
      <c r="C457" s="3" t="str">
        <f>IFERROR(__xludf.DUMMYFUNCTION("GOOGLETRANSLATE(A457,""en"",""hy"")"),"ինչ արժույթ է օգտագործվում Շվեյցարիայում 2012 թ.")</f>
        <v>ինչ արժույթ է օգտագործվում Շվեյցարիայում 2012 թ.</v>
      </c>
      <c r="D457" s="3" t="str">
        <f>IFERROR(__xludf.DUMMYFUNCTION("GOOGLETRANSLATE(B457,""en"",""hy"")"),"Շվեյցարիան որպես արժույթ օգտագործում է շվեյցարական ֆրանկը (CHF):")</f>
        <v>Շվեյցարիան որպես արժույթ օգտագործում է շվեյցարական ֆրանկը (CHF):</v>
      </c>
    </row>
    <row r="458">
      <c r="A458" s="1" t="s">
        <v>915</v>
      </c>
      <c r="B458" s="2" t="s">
        <v>916</v>
      </c>
      <c r="C458" s="3" t="str">
        <f>IFERROR(__xludf.DUMMYFUNCTION("GOOGLETRANSLATE(A458,""en"",""hy"")"),"ինչ են խոսում Իրանում")</f>
        <v>ինչ են խոսում Իրանում</v>
      </c>
      <c r="D458" s="3" t="str">
        <f>IFERROR(__xludf.DUMMYFUNCTION("GOOGLETRANSLATE(B458,""en"",""hy"")"),"Իրանում խոսում են պարսկերեն։")</f>
        <v>Իրանում խոսում են պարսկերեն։</v>
      </c>
    </row>
    <row r="459">
      <c r="A459" s="1" t="s">
        <v>917</v>
      </c>
      <c r="B459" s="2" t="s">
        <v>918</v>
      </c>
      <c r="C459" s="3" t="str">
        <f>IFERROR(__xludf.DUMMYFUNCTION("GOOGLETRANSLATE(A459,""en"",""hy"")"),"ո՞ւմ համար է այրթոն սեննան քշել")</f>
        <v>ո՞ւմ համար է այրթոն սեննան քշել</v>
      </c>
      <c r="D459" s="3" t="str">
        <f>IFERROR(__xludf.DUMMYFUNCTION("GOOGLETRANSLATE(B459,""en"",""hy"")"),"Այրթոն Սեննան իր Ֆորմուլա 1-ի կարիերայի ընթացքում վարել է մի քանի թիմեր, այդ թվում՝ Տոլմանը, Լոտուսը և Մաքլարենը։")</f>
        <v>Այրթոն Սեննան իր Ֆորմուլա 1-ի կարիերայի ընթացքում վարել է մի քանի թիմեր, այդ թվում՝ Տոլմանը, Լոտուսը և Մաքլարենը։</v>
      </c>
    </row>
    <row r="460">
      <c r="A460" s="1" t="s">
        <v>919</v>
      </c>
      <c r="B460" s="2" t="s">
        <v>920</v>
      </c>
      <c r="C460" s="3" t="str">
        <f>IFERROR(__xludf.DUMMYFUNCTION("GOOGLETRANSLATE(A460,""en"",""hy"")"),"ի՞նչ է պատահել Մադոննայի մանկության տանը.")</f>
        <v>ի՞նչ է պատահել Մադոննայի մանկության տանը.</v>
      </c>
      <c r="D460" s="3" t="str">
        <f>IFERROR(__xludf.DUMMYFUNCTION("GOOGLETRANSLATE(B460,""en"",""hy"")"),"Մադոննայի մանկության տան ճակատագիրն անհայտ է։")</f>
        <v>Մադոննայի մանկության տան ճակատագիրն անհայտ է։</v>
      </c>
    </row>
    <row r="461">
      <c r="A461" s="1" t="s">
        <v>921</v>
      </c>
      <c r="B461" s="2" t="s">
        <v>922</v>
      </c>
      <c r="C461" s="3" t="str">
        <f>IFERROR(__xludf.DUMMYFUNCTION("GOOGLETRANSLATE(A461,""en"",""hy"")"),"որտեղ է հանգստանալու լավագույն վայրը Դոմինիկյան հանրապետությունում:")</f>
        <v>որտեղ է հանգստանալու լավագույն վայրը Դոմինիկյան հանրապետությունում:</v>
      </c>
      <c r="D461" s="3" t="str">
        <f>IFERROR(__xludf.DUMMYFUNCTION("GOOGLETRANSLATE(B461,""en"",""hy"")"),"Պունտա Կանա.")</f>
        <v>Պունտա Կանա.</v>
      </c>
    </row>
    <row r="462">
      <c r="A462" s="1" t="s">
        <v>923</v>
      </c>
      <c r="B462" s="2" t="s">
        <v>924</v>
      </c>
      <c r="C462" s="3" t="str">
        <f>IFERROR(__xludf.DUMMYFUNCTION("GOOGLETRANSLATE(A462,""en"",""hy"")"),"ինչն է ստիպել Հին Հռոմի անկմանը:")</f>
        <v>ինչն է ստիպել Հին Հռոմի անկմանը:</v>
      </c>
      <c r="D462" s="3" t="str">
        <f>IFERROR(__xludf.DUMMYFUNCTION("GOOGLETRANSLATE(B462,""en"",""hy"")"),"Կային բազմաթիվ գործոններ, որոնք նպաստեցին Հին Հռոմի անկմանը, ներառյալ ներքին քայքայումը, տնտեսական անկայունությունը, բարբարոս ցեղերի արշավանքները և կայսրության բաժանումը:")</f>
        <v>Կային բազմաթիվ գործոններ, որոնք նպաստեցին Հին Հռոմի անկմանը, ներառյալ ներքին քայքայումը, տնտեսական անկայունությունը, բարբարոս ցեղերի արշավանքները և կայսրության բաժանումը:</v>
      </c>
    </row>
    <row r="463">
      <c r="A463" s="1" t="s">
        <v>925</v>
      </c>
      <c r="B463" s="2" t="s">
        <v>926</v>
      </c>
      <c r="C463" s="3" t="str">
        <f>IFERROR(__xludf.DUMMYFUNCTION("GOOGLETRANSLATE(A463,""en"",""hy"")"),"որտեղ է ծնվել Բրեդ Փիթը")</f>
        <v>որտեղ է ծնվել Բրեդ Փիթը</v>
      </c>
      <c r="D463" s="3" t="str">
        <f>IFERROR(__xludf.DUMMYFUNCTION("GOOGLETRANSLATE(B463,""en"",""hy"")"),"Բրեդ Փիթը ծնվել է Շոունիում, Օկլահոմա, ԱՄՆ։")</f>
        <v>Բրեդ Փիթը ծնվել է Շոունիում, Օկլահոմա, ԱՄՆ։</v>
      </c>
    </row>
    <row r="464">
      <c r="A464" s="1" t="s">
        <v>927</v>
      </c>
      <c r="B464" s="2" t="s">
        <v>928</v>
      </c>
      <c r="C464" s="3" t="str">
        <f>IFERROR(__xludf.DUMMYFUNCTION("GOOGLETRANSLATE(A464,""en"",""hy"")"),"Ինչ դիրք է խաղում Վերնոն Դևիսը:")</f>
        <v>Ինչ դիրք է խաղում Վերնոն Դևիսը:</v>
      </c>
      <c r="D464" s="3" t="str">
        <f>IFERROR(__xludf.DUMMYFUNCTION("GOOGLETRANSLATE(B464,""en"",""hy"")"),"Վերնոն Դևիսը խաղում է հենակետային դիրքում:")</f>
        <v>Վերնոն Դևիսը խաղում է հենակետային դիրքում:</v>
      </c>
    </row>
    <row r="465">
      <c r="A465" s="1" t="s">
        <v>929</v>
      </c>
      <c r="B465" s="2" t="s">
        <v>930</v>
      </c>
      <c r="C465" s="3" t="str">
        <f>IFERROR(__xludf.DUMMYFUNCTION("GOOGLETRANSLATE(A465,""en"",""hy"")"),"որտեղ է Եվրո 2012-ի մրցաշարը.")</f>
        <v>որտեղ է Եվրո 2012-ի մրցաշարը.</v>
      </c>
      <c r="D465" s="3" t="str">
        <f>IFERROR(__xludf.DUMMYFUNCTION("GOOGLETRANSLATE(B465,""en"",""hy"")"),"Եվրո 2012-ի մրցաշարն անցկացվել է Լեհաստանում եւ Ուկրաինայում։")</f>
        <v>Եվրո 2012-ի մրցաշարն անցկացվել է Լեհաստանում եւ Ուկրաինայում։</v>
      </c>
    </row>
    <row r="466">
      <c r="A466" s="1" t="s">
        <v>931</v>
      </c>
      <c r="B466" s="2" t="s">
        <v>932</v>
      </c>
      <c r="C466" s="3" t="str">
        <f>IFERROR(__xludf.DUMMYFUNCTION("GOOGLETRANSLATE(A466,""en"",""hy"")"),"հենց հիմա ժամը քանիսն է Տեխասում:")</f>
        <v>հենց հիմա ժամը քանիսն է Տեխասում:</v>
      </c>
      <c r="D466" s="3" t="str">
        <f>IFERROR(__xludf.DUMMYFUNCTION("GOOGLETRANSLATE(B466,""en"",""hy"")"),"Ներեցեք, ես արհեստական ​​ինտելեկտի օգնական եմ և իրական ժամանակի հնարավորություններ չունեմ: Խնդրում ենք ստուգել Տեխասի ընթացիկ ժամը՝ օգտագործելով հուսալի աղբյուր կամ ժամացույց:")</f>
        <v>Ներեցեք, ես արհեստական ​​ինտելեկտի օգնական եմ և իրական ժամանակի հնարավորություններ չունեմ: Խնդրում ենք ստուգել Տեխասի ընթացիկ ժամը՝ օգտագործելով հուսալի աղբյուր կամ ժամացույց:</v>
      </c>
    </row>
    <row r="467">
      <c r="A467" s="1" t="s">
        <v>933</v>
      </c>
      <c r="B467" s="2" t="s">
        <v>934</v>
      </c>
      <c r="C467" s="3" t="str">
        <f>IFERROR(__xludf.DUMMYFUNCTION("GOOGLETRANSLATE(A467,""en"",""hy"")"),"ինչ տեսնել և անել Մալթայում:")</f>
        <v>ինչ տեսնել և անել Մալթայում:</v>
      </c>
      <c r="D467" s="3" t="str">
        <f>IFERROR(__xludf.DUMMYFUNCTION("GOOGLETRANSLATE(B467,""en"",""hy"")"),"Մալթայում կարող եք այցելել հնագույն տաճարներ, ուսումնասիրել պատմական Վալետտա քաղաքը, լողալ Կապույտ ծովածոցում և վայելել գեղեցիկ լողափերը:")</f>
        <v>Մալթայում կարող եք այցելել հնագույն տաճարներ, ուսումնասիրել պատմական Վալետտա քաղաքը, լողալ Կապույտ ծովածոցում և վայելել գեղեցիկ լողափերը:</v>
      </c>
    </row>
    <row r="468">
      <c r="A468" s="1" t="s">
        <v>935</v>
      </c>
      <c r="B468" s="2" t="s">
        <v>936</v>
      </c>
      <c r="C468" s="3" t="str">
        <f>IFERROR(__xludf.DUMMYFUNCTION("GOOGLETRANSLATE(A468,""en"",""hy"")"),"որտեղ է մեծացել Դոլլի Պարթոնը")</f>
        <v>որտեղ է մեծացել Դոլլի Պարթոնը</v>
      </c>
      <c r="D468" s="3" t="str">
        <f>IFERROR(__xludf.DUMMYFUNCTION("GOOGLETRANSLATE(B468,""en"",""hy"")"),"Դոլլի Պարթոնը մեծացել է Լոկաստ Ռիջում, Թենեսիում:")</f>
        <v>Դոլլի Պարթոնը մեծացել է Լոկաստ Ռիջում, Թենեսիում:</v>
      </c>
    </row>
    <row r="469">
      <c r="A469" s="1" t="s">
        <v>937</v>
      </c>
      <c r="B469" s="2" t="s">
        <v>938</v>
      </c>
      <c r="C469" s="3" t="str">
        <f>IFERROR(__xludf.DUMMYFUNCTION("GOOGLETRANSLATE(A469,""en"",""hy"")"),"Ո՞ր նահանգից է Ռիկ Սանտորումը")</f>
        <v>Ո՞ր նահանգից է Ռիկ Սանտորումը</v>
      </c>
      <c r="D469" s="3" t="str">
        <f>IFERROR(__xludf.DUMMYFUNCTION("GOOGLETRANSLATE(B469,""en"",""hy"")"),"Փենսիլվանիա.")</f>
        <v>Փենսիլվանիա.</v>
      </c>
    </row>
    <row r="470">
      <c r="A470" s="1" t="s">
        <v>939</v>
      </c>
      <c r="B470" s="2" t="s">
        <v>940</v>
      </c>
      <c r="C470" s="3" t="str">
        <f>IFERROR(__xludf.DUMMYFUNCTION("GOOGLETRANSLATE(A470,""en"",""hy"")"),"Ո՞ր երկրներում է թագավորում Եղիսաբեթ II թագուհին:")</f>
        <v>Ո՞ր երկրներում է թագավորում Եղիսաբեթ II թագուհին:</v>
      </c>
      <c r="D470" s="3" t="str">
        <f>IFERROR(__xludf.DUMMYFUNCTION("GOOGLETRANSLATE(B470,""en"",""hy"")"),"Եղիսաբեթ II թագուհին թագավորում է Միացյալ Թագավորության և Համագործակցության 15 այլ թագավորությունների վրա, ներառյալ Ավստրալիան, Կանադան և Նոր Զելանդիան:")</f>
        <v>Եղիսաբեթ II թագուհին թագավորում է Միացյալ Թագավորության և Համագործակցության 15 այլ թագավորությունների վրա, ներառյալ Ավստրալիան, Կանադան և Նոր Զելանդիան:</v>
      </c>
    </row>
    <row r="471">
      <c r="A471" s="1" t="s">
        <v>941</v>
      </c>
      <c r="B471" s="2" t="s">
        <v>942</v>
      </c>
      <c r="C471" s="3" t="str">
        <f>IFERROR(__xludf.DUMMYFUNCTION("GOOGLETRANSLATE(A471,""en"",""hy"")"),"Ե՞րբ են տեղի ունեցել Ավրորա Կոլորադոյի նկարահանումները:")</f>
        <v>Ե՞րբ են տեղի ունեցել Ավրորա Կոլորադոյի նկարահանումները:</v>
      </c>
      <c r="D471" s="3" t="str">
        <f>IFERROR(__xludf.DUMMYFUNCTION("GOOGLETRANSLATE(B471,""en"",""hy"")"),"Ավրորա, Կոլորադոյի հրաձգությունը տեղի է ունեցել 2012 թվականի հուլիսի 20-ին։")</f>
        <v>Ավրորա, Կոլորադոյի հրաձգությունը տեղի է ունեցել 2012 թվականի հուլիսի 20-ին։</v>
      </c>
    </row>
    <row r="472">
      <c r="A472" s="1" t="s">
        <v>943</v>
      </c>
      <c r="B472" s="2" t="s">
        <v>944</v>
      </c>
      <c r="C472" s="3" t="str">
        <f>IFERROR(__xludf.DUMMYFUNCTION("GOOGLETRANSLATE(A472,""en"",""hy"")"),"ինչ է Ջոնաս եղբայրների անունները:")</f>
        <v>ինչ է Ջոնաս եղբայրների անունները:</v>
      </c>
      <c r="D472" s="3" t="str">
        <f>IFERROR(__xludf.DUMMYFUNCTION("GOOGLETRANSLATE(B472,""en"",""hy"")"),"Քևին, Ջո և Նիկ")</f>
        <v>Քևին, Ջո և Նիկ</v>
      </c>
    </row>
    <row r="473">
      <c r="A473" s="1" t="s">
        <v>945</v>
      </c>
      <c r="B473" s="2" t="s">
        <v>946</v>
      </c>
      <c r="C473" s="3" t="str">
        <f>IFERROR(__xludf.DUMMYFUNCTION("GOOGLETRANSLATE(A473,""en"",""hy"")"),"Արվեստի ո՞ր շարժումներում էր ներգրավված Հենրի Մատիսը:")</f>
        <v>Արվեստի ո՞ր շարժումներում էր ներգրավված Հենրի Մատիսը:</v>
      </c>
      <c r="D473" s="3" t="str">
        <f>IFERROR(__xludf.DUMMYFUNCTION("GOOGLETRANSLATE(B473,""en"",""hy"")"),"Անրի Մատիսը ներգրավված էր ֆովիզմի և մոդեռնիզմի արվեստի շարժումներում։")</f>
        <v>Անրի Մատիսը ներգրավված էր ֆովիզմի և մոդեռնիզմի արվեստի շարժումներում։</v>
      </c>
    </row>
    <row r="474">
      <c r="A474" s="1" t="s">
        <v>947</v>
      </c>
      <c r="B474" s="2" t="s">
        <v>948</v>
      </c>
      <c r="C474" s="3" t="str">
        <f>IFERROR(__xludf.DUMMYFUNCTION("GOOGLETRANSLATE(A474,""en"",""hy"")"),"որո՞նք են Գերմանիայում հայտնի զբոսաշրջային վայրերը:")</f>
        <v>որո՞նք են Գերմանիայում հայտնի զբոսաշրջային վայրերը:</v>
      </c>
      <c r="D474" s="3" t="str">
        <f>IFERROR(__xludf.DUMMYFUNCTION("GOOGLETRANSLATE(B474,""en"",""hy"")"),"Բրանդենբուրգյան դարպասը, Նոյշվանշտայնի ամրոցը և Քյոլնի տաճարը Գերմանիայի որոշ հայտնի զբոսաշրջային վայրեր են:")</f>
        <v>Բրանդենբուրգյան դարպասը, Նոյշվանշտայնի ամրոցը և Քյոլնի տաճարը Գերմանիայի որոշ հայտնի զբոսաշրջային վայրեր են:</v>
      </c>
    </row>
    <row r="475">
      <c r="A475" s="1" t="s">
        <v>949</v>
      </c>
      <c r="B475" s="2" t="s">
        <v>950</v>
      </c>
      <c r="C475" s="3" t="str">
        <f>IFERROR(__xludf.DUMMYFUNCTION("GOOGLETRANSLATE(A475,""en"",""hy"")"),"ով է Քոբի Բրայանտը")</f>
        <v>ով է Քոբի Բրայանտը</v>
      </c>
      <c r="D475" s="3" t="str">
        <f>IFERROR(__xludf.DUMMYFUNCTION("GOOGLETRANSLATE(B475,""en"",""hy"")"),"Կոբի Բրայանտը նախկին պրոֆեսիոնալ բասկետբոլիստ էր։")</f>
        <v>Կոբի Բրայանտը նախկին պրոֆեսիոնալ բասկետբոլիստ էր։</v>
      </c>
    </row>
    <row r="476">
      <c r="A476" s="1" t="s">
        <v>951</v>
      </c>
      <c r="B476" s="2" t="s">
        <v>952</v>
      </c>
      <c r="C476" s="3" t="str">
        <f>IFERROR(__xludf.DUMMYFUNCTION("GOOGLETRANSLATE(A476,""en"",""hy"")"),"ինչպիսի՞ կառավարման համակարգ ունի Սաուդյան Արաբիան:")</f>
        <v>ինչպիսի՞ կառավարման համակարգ ունի Սաուդյան Արաբիան:</v>
      </c>
      <c r="D476" s="3" t="str">
        <f>IFERROR(__xludf.DUMMYFUNCTION("GOOGLETRANSLATE(B476,""en"",""hy"")"),"Սաուդյան Արաբիան ունի բացարձակ միապետական ​​կառավարման համակարգ։")</f>
        <v>Սաուդյան Արաբիան ունի բացարձակ միապետական ​​կառավարման համակարգ։</v>
      </c>
    </row>
    <row r="477">
      <c r="A477" s="1" t="s">
        <v>953</v>
      </c>
      <c r="B477" s="2" t="s">
        <v>954</v>
      </c>
      <c r="C477" s="3" t="str">
        <f>IFERROR(__xludf.DUMMYFUNCTION("GOOGLETRANSLATE(A477,""en"",""hy"")"),"ինչ երկրներ է դարձել Չեխոսլովակիան:")</f>
        <v>ինչ երկրներ է դարձել Չեխոսլովակիան:</v>
      </c>
      <c r="D477" s="3" t="str">
        <f>IFERROR(__xludf.DUMMYFUNCTION("GOOGLETRANSLATE(B477,""en"",""hy"")"),"Չեխոսլովակիան դարձավ Չեխիայի և Սլովակիայի երկրները։")</f>
        <v>Չեխոսլովակիան դարձավ Չեխիայի և Սլովակիայի երկրները։</v>
      </c>
    </row>
    <row r="478">
      <c r="A478" s="1" t="s">
        <v>955</v>
      </c>
      <c r="B478" s="2" t="s">
        <v>956</v>
      </c>
      <c r="C478" s="3" t="str">
        <f>IFERROR(__xludf.DUMMYFUNCTION("GOOGLETRANSLATE(A478,""en"",""hy"")"),"ի՞նչ երգեր է գրել Ռիչարդ Մարքսը")</f>
        <v>ի՞նչ երգեր է գրել Ռիչարդ Մարքսը</v>
      </c>
      <c r="D478" s="3" t="str">
        <f>IFERROR(__xludf.DUMMYFUNCTION("GOOGLETRANSLATE(B478,""en"",""hy"")"),"Ռիչարդ Մարքսը գրել է բազմաթիվ երգեր, նրա հայտնի հիթերից են «Right Here Waiting», «Hazard» և «Hold On to the Nights»:")</f>
        <v>Ռիչարդ Մարքսը գրել է բազմաթիվ երգեր, նրա հայտնի հիթերից են «Right Here Waiting», «Hazard» և «Hold On to the Nights»:</v>
      </c>
    </row>
    <row r="479">
      <c r="A479" s="1" t="s">
        <v>957</v>
      </c>
      <c r="B479" s="2" t="s">
        <v>958</v>
      </c>
      <c r="C479" s="3" t="str">
        <f>IFERROR(__xludf.DUMMYFUNCTION("GOOGLETRANSLATE(A479,""en"",""hy"")"),"ինչի՞ց է մահացել Ռայան Դանը")</f>
        <v>ինչի՞ց է մահացել Ռայան Դանը</v>
      </c>
      <c r="D479" s="3" t="str">
        <f>IFERROR(__xludf.DUMMYFUNCTION("GOOGLETRANSLATE(B479,""en"",""hy"")"),"Ռայան Դաննը մահացել է ավտովթարից.")</f>
        <v>Ռայան Դաննը մահացել է ավտովթարից.</v>
      </c>
    </row>
    <row r="480">
      <c r="A480" s="1" t="s">
        <v>959</v>
      </c>
      <c r="B480" s="2" t="s">
        <v>960</v>
      </c>
      <c r="C480" s="3" t="str">
        <f>IFERROR(__xludf.DUMMYFUNCTION("GOOGLETRANSLATE(A480,""en"",""hy"")"),"ինչ պատերազմի հետ էր կապված Ջորջ Վաշինգթոնը:")</f>
        <v>ինչ պատերազմի հետ էր կապված Ջորջ Վաշինգթոնը:</v>
      </c>
      <c r="D480" s="3" t="str">
        <f>IFERROR(__xludf.DUMMYFUNCTION("GOOGLETRANSLATE(B480,""en"",""hy"")"),"Ջորջ Վաշինգտոնը կապված էր ամերիկյան հեղափոխական պատերազմի հետ:")</f>
        <v>Ջորջ Վաշինգտոնը կապված էր ամերիկյան հեղափոխական պատերազմի հետ:</v>
      </c>
    </row>
    <row r="481">
      <c r="A481" s="1" t="s">
        <v>961</v>
      </c>
      <c r="B481" s="2" t="s">
        <v>962</v>
      </c>
      <c r="C481" s="3" t="str">
        <f>IFERROR(__xludf.DUMMYFUNCTION("GOOGLETRANSLATE(A481,""en"",""hy"")"),"որտեղի՞ց է ընտրվել Զաքարի Թեյլորը.")</f>
        <v>որտեղի՞ց է ընտրվել Զաքարի Թեյլորը.</v>
      </c>
      <c r="D481" s="3" t="str">
        <f>IFERROR(__xludf.DUMMYFUNCTION("GOOGLETRANSLATE(B481,""en"",""hy"")"),"Զաքարի Թեյլորն ընտրվել է Լուիզիանա նահանգից։")</f>
        <v>Զաքարի Թեյլորն ընտրվել է Լուիզիանա նահանգից։</v>
      </c>
    </row>
    <row r="482">
      <c r="A482" s="1" t="s">
        <v>963</v>
      </c>
      <c r="B482" s="2" t="s">
        <v>964</v>
      </c>
      <c r="C482" s="3" t="str">
        <f>IFERROR(__xludf.DUMMYFUNCTION("GOOGLETRANSLATE(A482,""en"",""hy"")"),"ու՞մ համար է խաղում Կրիս Համֆրիսը nba-ում:")</f>
        <v>ու՞մ համար է խաղում Կրիս Համֆրիսը nba-ում:</v>
      </c>
      <c r="D482" s="3" t="str">
        <f>IFERROR(__xludf.DUMMYFUNCTION("GOOGLETRANSLATE(B482,""en"",""hy"")"),"Քրիս Համֆրիսը ներկայումս չի խաղում NBA-ի ոչ մի թիմում:")</f>
        <v>Քրիս Համֆրիսը ներկայումս չի խաղում NBA-ի ոչ մի թիմում:</v>
      </c>
    </row>
    <row r="483">
      <c r="A483" s="1" t="s">
        <v>965</v>
      </c>
      <c r="B483" s="2" t="s">
        <v>966</v>
      </c>
      <c r="C483" s="3" t="str">
        <f>IFERROR(__xludf.DUMMYFUNCTION("GOOGLETRANSLATE(A483,""en"",""hy"")"),"որտեղ է մեծացել Թուփակը")</f>
        <v>որտեղ է մեծացել Թուփակը</v>
      </c>
      <c r="D483" s="3" t="str">
        <f>IFERROR(__xludf.DUMMYFUNCTION("GOOGLETRANSLATE(B483,""en"",""hy"")"),"Թուփակը մեծացել է Նյու Յորքի Արևելյան Հարլեմ քաղաքում:")</f>
        <v>Թուփակը մեծացել է Նյու Յորքի Արևելյան Հարլեմ քաղաքում:</v>
      </c>
    </row>
    <row r="484">
      <c r="A484" s="1" t="s">
        <v>967</v>
      </c>
      <c r="B484" s="2" t="s">
        <v>968</v>
      </c>
      <c r="C484" s="3" t="str">
        <f>IFERROR(__xludf.DUMMYFUNCTION("GOOGLETRANSLATE(A484,""en"",""hy"")"),"որտե՞ղ է բանտ գնացել ալ Կապոնեն")</f>
        <v>որտե՞ղ է բանտ գնացել ալ Կապոնեն</v>
      </c>
      <c r="D484" s="3" t="str">
        <f>IFERROR(__xludf.DUMMYFUNCTION("GOOGLETRANSLATE(B484,""en"",""hy"")"),"Ալ Կապոնեն բանտ է նստել Ալկատրասում.")</f>
        <v>Ալ Կապոնեն բանտ է նստել Ալկատրասում.</v>
      </c>
    </row>
    <row r="485">
      <c r="A485" s="1" t="s">
        <v>969</v>
      </c>
      <c r="B485" s="2" t="s">
        <v>970</v>
      </c>
      <c r="C485" s="3" t="str">
        <f>IFERROR(__xludf.DUMMYFUNCTION("GOOGLETRANSLATE(A485,""en"",""hy"")"),"ի՞նչ երաժշտություն է նվագել Ռիչարդ Վագները:")</f>
        <v>ի՞նչ երաժշտություն է նվագել Ռիչարդ Վագները:</v>
      </c>
      <c r="D485" s="3" t="str">
        <f>IFERROR(__xludf.DUMMYFUNCTION("GOOGLETRANSLATE(B485,""en"",""hy"")"),"Ռիխարդ Վագները դասական երաժշտության կոմպոզիտոր էր։")</f>
        <v>Ռիխարդ Վագները դասական երաժշտության կոմպոզիտոր էր։</v>
      </c>
    </row>
    <row r="486">
      <c r="A486" s="1" t="s">
        <v>971</v>
      </c>
      <c r="B486" s="2" t="s">
        <v>972</v>
      </c>
      <c r="C486" s="3" t="str">
        <f>IFERROR(__xludf.DUMMYFUNCTION("GOOGLETRANSLATE(A486,""en"",""hy"")"),"ինչ եք անվանում փող Բրազիլիայում")</f>
        <v>ինչ եք անվանում փող Բրազիլիայում</v>
      </c>
      <c r="D486" s="3" t="str">
        <f>IFERROR(__xludf.DUMMYFUNCTION("GOOGLETRANSLATE(B486,""en"",""hy"")"),"Բրազիլիայում արժույթը կոչվում է բրազիլական ռեալ:")</f>
        <v>Բրազիլիայում արժույթը կոչվում է բրազիլական ռեալ:</v>
      </c>
    </row>
    <row r="487">
      <c r="A487" s="1" t="s">
        <v>973</v>
      </c>
      <c r="B487" s="2" t="s">
        <v>974</v>
      </c>
      <c r="C487" s="3" t="str">
        <f>IFERROR(__xludf.DUMMYFUNCTION("GOOGLETRANSLATE(A487,""en"",""hy"")"),"Ո՞ր թիմում է խաղացել Թիմ Թեբոուն քոլեջում:")</f>
        <v>Ո՞ր թիմում է խաղացել Թիմ Թեբոուն քոլեջում:</v>
      </c>
      <c r="D487" s="3" t="str">
        <f>IFERROR(__xludf.DUMMYFUNCTION("GOOGLETRANSLATE(B487,""en"",""hy"")"),"Թիմ Թեբոուն քոլեջում խաղացել է Ֆլորիդա Գեյթորսում:")</f>
        <v>Թիմ Թեբոուն քոլեջում խաղացել է Ֆլորիդա Գեյթորսում:</v>
      </c>
    </row>
    <row r="488">
      <c r="A488" s="1" t="s">
        <v>975</v>
      </c>
      <c r="B488" s="2" t="s">
        <v>976</v>
      </c>
      <c r="C488" s="3" t="str">
        <f>IFERROR(__xludf.DUMMYFUNCTION("GOOGLETRANSLATE(A488,""en"",""hy"")"),"ո՞ր օդանավակայանը Փարիզում")</f>
        <v>ո՞ր օդանավակայանը Փարիզում</v>
      </c>
      <c r="D488" s="3" t="str">
        <f>IFERROR(__xludf.DUMMYFUNCTION("GOOGLETRANSLATE(B488,""en"",""hy"")"),"Շառլ դը Գոլի օդանավակայան.")</f>
        <v>Շառլ դը Գոլի օդանավակայան.</v>
      </c>
    </row>
    <row r="489">
      <c r="A489" s="1" t="s">
        <v>977</v>
      </c>
      <c r="B489" s="2" t="s">
        <v>978</v>
      </c>
      <c r="C489" s="3" t="str">
        <f>IFERROR(__xludf.DUMMYFUNCTION("GOOGLETRANSLATE(A489,""en"",""hy"")"),"ինչ ազգության էր Էնդի Ուիլյամսը:")</f>
        <v>ինչ ազգության էր Էնդի Ուիլյամսը:</v>
      </c>
      <c r="D489" s="3" t="str">
        <f>IFERROR(__xludf.DUMMYFUNCTION("GOOGLETRANSLATE(B489,""en"",""hy"")"),"ամերիկյան")</f>
        <v>ամերիկյան</v>
      </c>
    </row>
    <row r="490">
      <c r="A490" s="1" t="s">
        <v>979</v>
      </c>
      <c r="B490" s="2" t="s">
        <v>980</v>
      </c>
      <c r="C490" s="3" t="str">
        <f>IFERROR(__xludf.DUMMYFUNCTION("GOOGLETRANSLATE(A490,""en"",""hy"")"),"որտեղ է ապրել Մեթյու Բրեդին")</f>
        <v>որտեղ է ապրել Մեթյու Բրեդին</v>
      </c>
      <c r="D490" s="3" t="str">
        <f>IFERROR(__xludf.DUMMYFUNCTION("GOOGLETRANSLATE(B490,""en"",""hy"")"),"Մեթյու Բրեդին իր կյանքի մեծ մասն ապրել է Նյու Յորքում:")</f>
        <v>Մեթյու Բրեդին իր կյանքի մեծ մասն ապրել է Նյու Յորքում:</v>
      </c>
    </row>
    <row r="491">
      <c r="A491" s="1" t="s">
        <v>981</v>
      </c>
      <c r="B491" s="2" t="s">
        <v>982</v>
      </c>
      <c r="C491" s="3" t="str">
        <f>IFERROR(__xludf.DUMMYFUNCTION("GOOGLETRANSLATE(A491,""en"",""hy"")"),"ի՞նչ գնդակ է խաղում Ռիկի Ֆաուլերը:")</f>
        <v>ի՞նչ գնդակ է խաղում Ռիկի Ֆաուլերը:</v>
      </c>
      <c r="D491" s="3" t="str">
        <f>IFERROR(__xludf.DUMMYFUNCTION("GOOGLETRANSLATE(B491,""en"",""hy"")"),"Ռիկի Ֆաուլերը խաղում է Titleist Pro V1 գոլֆի գնդակով:")</f>
        <v>Ռիկի Ֆաուլերը խաղում է Titleist Pro V1 գոլֆի գնդակով:</v>
      </c>
    </row>
    <row r="492">
      <c r="A492" s="1" t="s">
        <v>983</v>
      </c>
      <c r="B492" s="2" t="s">
        <v>984</v>
      </c>
      <c r="C492" s="3" t="str">
        <f>IFERROR(__xludf.DUMMYFUNCTION("GOOGLETRANSLATE(A492,""en"",""hy"")"),"ովքեր են բրոնկոսի խաղացողները")</f>
        <v>ովքեր են բրոնկոսի խաղացողները</v>
      </c>
      <c r="D492" s="3" t="str">
        <f>IFERROR(__xludf.DUMMYFUNCTION("GOOGLETRANSLATE(B492,""en"",""hy"")"),"Broncos-ի խաղացողները պրոֆեսիոնալ ֆուտբոլիստներ են, ովքեր խաղում են Ֆուտբոլի ազգային լիգայի (NFL) Denver Broncos թիմի կազմում։")</f>
        <v>Broncos-ի խաղացողները պրոֆեսիոնալ ֆուտբոլիստներ են, ովքեր խաղում են Ֆուտբոլի ազգային լիգայի (NFL) Denver Broncos թիմի կազմում։</v>
      </c>
    </row>
    <row r="493">
      <c r="A493" s="1" t="s">
        <v>985</v>
      </c>
      <c r="B493" s="2" t="s">
        <v>986</v>
      </c>
      <c r="C493" s="3" t="str">
        <f>IFERROR(__xludf.DUMMYFUNCTION("GOOGLETRANSLATE(A493,""en"",""hy"")"),"որտեղ են ապրում մարդկանց մեծ մասը Ճապոնիայում:")</f>
        <v>որտեղ են ապրում մարդկանց մեծ մասը Ճապոնիայում:</v>
      </c>
      <c r="D493" s="3" t="str">
        <f>IFERROR(__xludf.DUMMYFUNCTION("GOOGLETRANSLATE(B493,""en"",""hy"")"),"Ճապոնիայի բնակիչների մեծ մասն ապրում է քաղաքներում կամ քաղաքներում:")</f>
        <v>Ճապոնիայի բնակիչների մեծ մասն ապրում է քաղաքներում կամ քաղաքներում:</v>
      </c>
    </row>
    <row r="494">
      <c r="A494" s="1" t="s">
        <v>987</v>
      </c>
      <c r="B494" s="2" t="s">
        <v>988</v>
      </c>
      <c r="C494" s="3" t="str">
        <f>IFERROR(__xludf.DUMMYFUNCTION("GOOGLETRANSLATE(A494,""en"",""hy"")"),"ո՞ր երկրում են բասկերեն խոսում")</f>
        <v>ո՞ր երկրում են բասկերեն խոսում</v>
      </c>
      <c r="D494" s="3" t="str">
        <f>IFERROR(__xludf.DUMMYFUNCTION("GOOGLETRANSLATE(B494,""en"",""hy"")"),"Իսպանիա")</f>
        <v>Իսպանիա</v>
      </c>
    </row>
    <row r="495">
      <c r="A495" s="1" t="s">
        <v>989</v>
      </c>
      <c r="B495" s="2" t="s">
        <v>990</v>
      </c>
      <c r="C495" s="3" t="str">
        <f>IFERROR(__xludf.DUMMYFUNCTION("GOOGLETRANSLATE(A495,""en"",""hy"")"),"որտեղ է գտնվում Բելգիան")</f>
        <v>որտեղ է գտնվում Բելգիան</v>
      </c>
      <c r="D495" s="3" t="str">
        <f>IFERROR(__xludf.DUMMYFUNCTION("GOOGLETRANSLATE(B495,""en"",""hy"")"),"Բելգիան գտնվում է Եվրոպայում։")</f>
        <v>Բելգիան գտնվում է Եվրոպայում։</v>
      </c>
    </row>
    <row r="496">
      <c r="A496" s="1" t="s">
        <v>991</v>
      </c>
      <c r="B496" s="2" t="s">
        <v>992</v>
      </c>
      <c r="C496" s="3" t="str">
        <f>IFERROR(__xludf.DUMMYFUNCTION("GOOGLETRANSLATE(A496,""en"",""hy"")"),"ինչ կրոններ կան Ռուսաստանում")</f>
        <v>ինչ կրոններ կան Ռուսաստանում</v>
      </c>
      <c r="D496" s="3" t="str">
        <f>IFERROR(__xludf.DUMMYFUNCTION("GOOGLETRANSLATE(B496,""en"",""hy"")"),"Ռուսաստանում հիմնական կրոնը ռուս ուղղափառ քրիստոնեությունն է: Ռուսաստանում կիրառվող այլ կրոնների թվում են իսլամը, բուդդիզմը, հուդայականությունը և բողոքական քրիստոնեության տարբեր ձևերը։")</f>
        <v>Ռուսաստանում հիմնական կրոնը ռուս ուղղափառ քրիստոնեությունն է: Ռուսաստանում կիրառվող այլ կրոնների թվում են իսլամը, բուդդիզմը, հուդայականությունը և բողոքական քրիստոնեության տարբեր ձևերը։</v>
      </c>
    </row>
    <row r="497">
      <c r="A497" s="1" t="s">
        <v>993</v>
      </c>
      <c r="B497" s="2" t="s">
        <v>994</v>
      </c>
      <c r="C497" s="3" t="str">
        <f>IFERROR(__xludf.DUMMYFUNCTION("GOOGLETRANSLATE(A497,""en"",""hy"")"),"ի՞նչ կառավարման համակարգ ունի Հյուսիսային Կորեան:")</f>
        <v>ի՞նչ կառավարման համակարգ ունի Հյուսիսային Կորեան:</v>
      </c>
      <c r="D497" s="3" t="str">
        <f>IFERROR(__xludf.DUMMYFUNCTION("GOOGLETRANSLATE(B497,""en"",""hy"")"),"Հյուսիսային Կորեան ունի կոմունիստական ​​կառավարման համակարգ։")</f>
        <v>Հյուսիսային Կորեան ունի կոմունիստական ​​կառավարման համակարգ։</v>
      </c>
    </row>
    <row r="498">
      <c r="A498" s="1" t="s">
        <v>995</v>
      </c>
      <c r="B498" s="2" t="s">
        <v>996</v>
      </c>
      <c r="C498" s="3" t="str">
        <f>IFERROR(__xludf.DUMMYFUNCTION("GOOGLETRANSLATE(A498,""en"",""hy"")"),"ինչ արեց Էյնշտեյնը")</f>
        <v>ինչ արեց Էյնշտեյնը</v>
      </c>
      <c r="D498" s="3" t="str">
        <f>IFERROR(__xludf.DUMMYFUNCTION("GOOGLETRANSLATE(B498,""en"",""hy"")"),"Էյնշտեյնը տեսական ֆիզիկոս էր, ով մշակեց հարաբերականության տեսությունը։")</f>
        <v>Էյնշտեյնը տեսական ֆիզիկոս էր, ով մշակեց հարաբերականության տեսությունը։</v>
      </c>
    </row>
    <row r="499">
      <c r="A499" s="1" t="s">
        <v>997</v>
      </c>
      <c r="B499" s="2" t="s">
        <v>998</v>
      </c>
      <c r="C499" s="3" t="str">
        <f>IFERROR(__xludf.DUMMYFUNCTION("GOOGLETRANSLATE(A499,""en"",""hy"")"),"ո՞ր երկրում է Ամստերդամը")</f>
        <v>ո՞ր երկրում է Ամստերդամը</v>
      </c>
      <c r="D499" s="3" t="str">
        <f>IFERROR(__xludf.DUMMYFUNCTION("GOOGLETRANSLATE(B499,""en"",""hy"")"),"Նիդերլանդներ.")</f>
        <v>Նիդերլանդներ.</v>
      </c>
    </row>
    <row r="500">
      <c r="A500" s="1" t="s">
        <v>999</v>
      </c>
      <c r="B500" s="2" t="s">
        <v>1000</v>
      </c>
      <c r="C500" s="3" t="str">
        <f>IFERROR(__xludf.DUMMYFUNCTION("GOOGLETRANSLATE(A500,""en"",""hy"")"),"Որո՞նք են Միացյալ Նահանգներում ամենատարածված կրոնները:")</f>
        <v>Որո՞նք են Միացյալ Նահանգներում ամենատարածված կրոնները:</v>
      </c>
      <c r="D500" s="3" t="str">
        <f>IFERROR(__xludf.DUMMYFUNCTION("GOOGLETRANSLATE(B500,""en"",""hy"")"),"քրիստոնեությունը, որին հաջորդում են հուդայականությունը, իսլամը, հինդուիզմը, բուդդիզմը և այլն։")</f>
        <v>քրիստոնեությունը, որին հաջորդում են հուդայականությունը, իսլամը, հինդուիզմը, բուդդիզմը և այլն։</v>
      </c>
    </row>
    <row r="501">
      <c r="A501" s="1" t="s">
        <v>1001</v>
      </c>
      <c r="B501" s="2" t="s">
        <v>1002</v>
      </c>
      <c r="C501" s="3" t="str">
        <f>IFERROR(__xludf.DUMMYFUNCTION("GOOGLETRANSLATE(A501,""en"",""hy"")"),"ինչի՞ համար է Մարտին Լյութեր Քինգ կրտսերը քոլեջ հաճախել:")</f>
        <v>ինչի՞ համար է Մարտին Լյութեր Քինգ կրտսերը քոլեջ հաճախել:</v>
      </c>
      <c r="D501" s="3" t="str">
        <f>IFERROR(__xludf.DUMMYFUNCTION("GOOGLETRANSLATE(B501,""en"",""hy"")"),"Մարտին Լյութեր Քինգ կրտսերը գնաց քոլեջ՝ սովորելու սոցիոլոգիա և աստվածաբանություն։")</f>
        <v>Մարտին Լյութեր Քինգ կրտսերը գնաց քոլեջ՝ սովորելու սոցիոլոգիա և աստվածաբանություն։</v>
      </c>
    </row>
    <row r="502">
      <c r="A502" s="1" t="s">
        <v>1003</v>
      </c>
      <c r="B502" s="2" t="s">
        <v>1004</v>
      </c>
      <c r="C502" s="3" t="str">
        <f>IFERROR(__xludf.DUMMYFUNCTION("GOOGLETRANSLATE(A502,""en"",""hy"")"),"որտեղի՞ց է եկել սըր Էռնեստ Շեքլթոնը:")</f>
        <v>որտեղի՞ց է եկել սըր Էռնեստ Շեքլթոնը:</v>
      </c>
      <c r="D502" s="3" t="str">
        <f>IFERROR(__xludf.DUMMYFUNCTION("GOOGLETRANSLATE(B502,""en"",""hy"")"),"Սըր Էռնեստ Շեքլթոնը ծնվել է Իռլանդիայի Քիլդար կոմսությունում:")</f>
        <v>Սըր Էռնեստ Շեքլթոնը ծնվել է Իռլանդիայի Քիլդար կոմսությունում:</v>
      </c>
    </row>
    <row r="503">
      <c r="A503" s="1" t="s">
        <v>1005</v>
      </c>
      <c r="B503" s="2" t="s">
        <v>1006</v>
      </c>
      <c r="C503" s="3" t="str">
        <f>IFERROR(__xludf.DUMMYFUNCTION("GOOGLETRANSLATE(A503,""en"",""hy"")"),"Ի՞նչը դարձրեց Ջիմի Հենդրիքսին հիանալի:")</f>
        <v>Ի՞նչը դարձրեց Ջիմի Հենդրիքսին հիանալի:</v>
      </c>
      <c r="D503" s="3" t="str">
        <f>IFERROR(__xludf.DUMMYFUNCTION("GOOGLETRANSLATE(B503,""en"",""hy"")"),"Ջիմի Հենդրիքսը հիանալի էր կիթառի իր բացառիկ հմտությունների, էֆեկտների նորարարական օգտագործման և ռոքի, բլյուզի և փսիխոդելիկ երաժշտության միախառնման իր յուրահատուկ ոճի շնորհիվ:")</f>
        <v>Ջիմի Հենդրիքսը հիանալի էր կիթառի իր բացառիկ հմտությունների, էֆեկտների նորարարական օգտագործման և ռոքի, բլյուզի և փսիխոդելիկ երաժշտության միախառնման իր յուրահատուկ ոճի շնորհիվ:</v>
      </c>
    </row>
    <row r="504">
      <c r="A504" s="1" t="s">
        <v>1007</v>
      </c>
      <c r="B504" s="2" t="s">
        <v>1008</v>
      </c>
      <c r="C504" s="3" t="str">
        <f>IFERROR(__xludf.DUMMYFUNCTION("GOOGLETRANSLATE(A504,""en"",""hy"")"),"ո՞վ է Ահարոն Ռոջերսը քոլեջի ֆուտբոլ խաղալ 4:")</f>
        <v>ո՞վ է Ահարոն Ռոջերսը քոլեջի ֆուտբոլ խաղալ 4:</v>
      </c>
      <c r="D504" s="3" t="str">
        <f>IFERROR(__xludf.DUMMYFUNCTION("GOOGLETRANSLATE(B504,""en"",""hy"")"),"Ահարոն Ռոջերսը քոլեջի ֆուտբոլ է խաղացել Բերկլիի Կալիֆոռնիայի համալսարանի համար:")</f>
        <v>Ահարոն Ռոջերսը քոլեջի ֆուտբոլ է խաղացել Բերկլիի Կալիֆոռնիայի համալսարանի համար:</v>
      </c>
    </row>
    <row r="505">
      <c r="A505" s="1" t="s">
        <v>1009</v>
      </c>
      <c r="B505" s="2" t="s">
        <v>1010</v>
      </c>
      <c r="C505" s="3" t="str">
        <f>IFERROR(__xludf.DUMMYFUNCTION("GOOGLETRANSLATE(A505,""en"",""hy"")"),"ով է խաղում Նաթան Սքոթին")</f>
        <v>ով է խաղում Նաթան Սքոթին</v>
      </c>
      <c r="D505" s="3" t="str">
        <f>IFERROR(__xludf.DUMMYFUNCTION("GOOGLETRANSLATE(B505,""en"",""hy"")"),"Ջեյմս Լաֆերթի")</f>
        <v>Ջեյմս Լաֆերթի</v>
      </c>
    </row>
    <row r="506">
      <c r="A506" s="1" t="s">
        <v>1011</v>
      </c>
      <c r="B506" s="2" t="s">
        <v>1012</v>
      </c>
      <c r="C506" s="3" t="str">
        <f>IFERROR(__xludf.DUMMYFUNCTION("GOOGLETRANSLATE(A506,""en"",""hy"")"),"Ե՞րբ են Հյուսթոն Ռոքեթսը հաղթել առաջնությունում:")</f>
        <v>Ե՞րբ են Հյուսթոն Ռոքեթսը հաղթել առաջնությունում:</v>
      </c>
      <c r="D506" s="3" t="str">
        <f>IFERROR(__xludf.DUMMYFUNCTION("GOOGLETRANSLATE(B506,""en"",""hy"")"),"Հյուսթոն Ռոքեթսը NBA-ի չեմպիոն է դարձել 1994 և 1995 թվականներին։")</f>
        <v>Հյուսթոն Ռոքեթսը NBA-ի չեմպիոն է դարձել 1994 և 1995 թվականներին։</v>
      </c>
    </row>
    <row r="507">
      <c r="A507" s="1" t="s">
        <v>1013</v>
      </c>
      <c r="B507" s="2" t="s">
        <v>1014</v>
      </c>
      <c r="C507" s="3" t="str">
        <f>IFERROR(__xludf.DUMMYFUNCTION("GOOGLETRANSLATE(A507,""en"",""hy"")"),"որտեղ է Ուիթնի լեռը")</f>
        <v>որտեղ է Ուիթնի լեռը</v>
      </c>
      <c r="D507" s="3" t="str">
        <f>IFERROR(__xludf.DUMMYFUNCTION("GOOGLETRANSLATE(B507,""en"",""hy"")"),"Mount Whitney-ը գտնվում է Կալիֆորնիայում, ԱՄՆ։")</f>
        <v>Mount Whitney-ը գտնվում է Կալիֆորնիայում, ԱՄՆ։</v>
      </c>
    </row>
    <row r="508">
      <c r="A508" s="1" t="s">
        <v>1015</v>
      </c>
      <c r="B508" s="2" t="s">
        <v>1016</v>
      </c>
      <c r="C508" s="3" t="str">
        <f>IFERROR(__xludf.DUMMYFUNCTION("GOOGLETRANSLATE(A508,""en"",""hy"")"),"ով է ստեղծել Ռոմեոյի կերպարը")</f>
        <v>ով է ստեղծել Ռոմեոյի կերպարը</v>
      </c>
      <c r="D508" s="3" t="str">
        <f>IFERROR(__xludf.DUMMYFUNCTION("GOOGLETRANSLATE(B508,""en"",""hy"")"),"Ուիլյամ Շեքսպիր.")</f>
        <v>Ուիլյամ Շեքսպիր.</v>
      </c>
    </row>
    <row r="509">
      <c r="A509" s="1" t="s">
        <v>1017</v>
      </c>
      <c r="B509" s="2" t="s">
        <v>1018</v>
      </c>
      <c r="C509" s="3" t="str">
        <f>IFERROR(__xludf.DUMMYFUNCTION("GOOGLETRANSLATE(A509,""en"",""hy"")"),"ինչ վայրեր կարելի է այցելել Նյու Յորքում:")</f>
        <v>ինչ վայրեր կարելի է այցելել Նյու Յորքում:</v>
      </c>
      <c r="D509" s="3" t="str">
        <f>IFERROR(__xludf.DUMMYFUNCTION("GOOGLETRANSLATE(B509,""en"",""hy"")"),"Նյու Յորքում այցելելու որոշ վայրեր են՝ Թայմս Սքվերը, Կենտրոնական այգին, Ազատության արձանը և Մետրոպոլիտեն արվեստի թանգարանը։")</f>
        <v>Նյու Յորքում այցելելու որոշ վայրեր են՝ Թայմս Սքվերը, Կենտրոնական այգին, Ազատության արձանը և Մետրոպոլիտեն արվեստի թանգարանը։</v>
      </c>
    </row>
    <row r="510">
      <c r="A510" s="1" t="s">
        <v>1019</v>
      </c>
      <c r="B510" s="2" t="s">
        <v>1020</v>
      </c>
      <c r="C510" s="3" t="str">
        <f>IFERROR(__xludf.DUMMYFUNCTION("GOOGLETRANSLATE(A510,""en"",""hy"")"),"որո՞նք են կենտրոնական Ամերիկայի երկրներն ու մայրաքաղաքները:")</f>
        <v>որո՞նք են կենտրոնական Ամերիկայի երկրներն ու մայրաքաղաքները:</v>
      </c>
      <c r="D510" s="3" t="str">
        <f>IFERROR(__xludf.DUMMYFUNCTION("GOOGLETRANSLATE(B510,""en"",""hy"")"),"Կենտրոնական Ամերիկայի երկրներն ու մայրաքաղաքներն են.
- Բելիզ Սիթի, Բելիզ
- Սան Խոսե, Կոստա Ռիկա
- Սան Սալվադոր, Սալվադոր
- Գվատեմալա Սիթի, Գվատեմալա
- Տեգուսիգալպա, Հոնդուրաս
- Մանագուա, Նիկարագուա
- Պանամա Սիթի, Պանամա")</f>
        <v>Կենտրոնական Ամերիկայի երկրներն ու մայրաքաղաքներն են.
- Բելիզ Սիթի, Բելիզ
- Սան Խոսե, Կոստա Ռիկա
- Սան Սալվադոր, Սալվադոր
- Գվատեմալա Սիթի, Գվատեմալա
- Տեգուսիգալպա, Հոնդուրաս
- Մանագուա, Նիկարագուա
- Պանամա Սիթի, Պանամա</v>
      </c>
    </row>
    <row r="511">
      <c r="A511" s="1" t="s">
        <v>1021</v>
      </c>
      <c r="B511" s="2" t="s">
        <v>1022</v>
      </c>
      <c r="C511" s="3" t="str">
        <f>IFERROR(__xludf.DUMMYFUNCTION("GOOGLETRANSLATE(A511,""en"",""hy"")"),"որտեղ է Պունտլենդ Սոմալին:")</f>
        <v>որտեղ է Պունտլենդ Սոմալին:</v>
      </c>
      <c r="D511" s="3" t="str">
        <f>IFERROR(__xludf.DUMMYFUNCTION("GOOGLETRANSLATE(B511,""en"",""hy"")"),"Պունտլենդը գտնվում է Սոմալիի հյուսիս-արևելքում՝ Աֆրիկայի եղջյուրի արևելյան ափին։")</f>
        <v>Պունտլենդը գտնվում է Սոմալիի հյուսիս-արևելքում՝ Աֆրիկայի եղջյուրի արևելյան ափին։</v>
      </c>
    </row>
    <row r="512">
      <c r="A512" s="1" t="s">
        <v>1023</v>
      </c>
      <c r="B512" s="2" t="s">
        <v>1024</v>
      </c>
      <c r="C512" s="3" t="str">
        <f>IFERROR(__xludf.DUMMYFUNCTION("GOOGLETRANSLATE(A512,""en"",""hy"")"),"Ո՞ր կենդանին է արևմտյան Ավստրալիայի դրոշի վրա:")</f>
        <v>Ո՞ր կենդանին է արևմտյան Ավստրալիայի դրոշի վրա:</v>
      </c>
      <c r="D512" s="3" t="str">
        <f>IFERROR(__xludf.DUMMYFUNCTION("GOOGLETRANSLATE(B512,""en"",""hy"")"),"Արևմտյան Ավստրալիայի դրոշի վրա սև կարապ է:")</f>
        <v>Արևմտյան Ավստրալիայի դրոշի վրա սև կարապ է:</v>
      </c>
    </row>
    <row r="513">
      <c r="A513" s="1" t="s">
        <v>1025</v>
      </c>
      <c r="B513" s="2" t="s">
        <v>1026</v>
      </c>
      <c r="C513" s="3" t="str">
        <f>IFERROR(__xludf.DUMMYFUNCTION("GOOGLETRANSLATE(A513,""en"",""hy"")"),"որտեղ է Դրյու Սթենթոնը խաղում քոլեջում:")</f>
        <v>որտեղ է Դրյու Սթենթոնը խաղում քոլեջում:</v>
      </c>
      <c r="D513" s="3" t="str">
        <f>IFERROR(__xludf.DUMMYFUNCTION("GOOGLETRANSLATE(B513,""en"",""hy"")"),"Դրյու Սթենթոնը քոլեջի ֆուտբոլ է խաղացել Միչիգանի պետական ​​համալսարանում:")</f>
        <v>Դրյու Սթենթոնը քոլեջի ֆուտբոլ է խաղացել Միչիգանի պետական ​​համալսարանում:</v>
      </c>
    </row>
    <row r="514">
      <c r="A514" s="1" t="s">
        <v>1027</v>
      </c>
      <c r="B514" s="2" t="s">
        <v>1028</v>
      </c>
      <c r="C514" s="3" t="str">
        <f>IFERROR(__xludf.DUMMYFUNCTION("GOOGLETRANSLATE(A514,""en"",""hy"")"),"ինչ է Քարիմ Աբդուլ Ջաբբար իրական անունը:")</f>
        <v>ինչ է Քարիմ Աբդուլ Ջաբբար իրական անունը:</v>
      </c>
      <c r="D514" s="3" t="str">
        <f>IFERROR(__xludf.DUMMYFUNCTION("GOOGLETRANSLATE(B514,""en"",""hy"")"),"Քարիմ Աբդուլ-Ջաբբարի իսկական անունը Ֆերդինանդ Լյուիս Ալսինդոր կրտսեր է:")</f>
        <v>Քարիմ Աբդուլ-Ջաբբարի իսկական անունը Ֆերդինանդ Լյուիս Ալսինդոր կրտսեր է:</v>
      </c>
    </row>
    <row r="515">
      <c r="A515" s="1" t="s">
        <v>1029</v>
      </c>
      <c r="B515" s="2" t="s">
        <v>1030</v>
      </c>
      <c r="C515" s="3" t="str">
        <f>IFERROR(__xludf.DUMMYFUNCTION("GOOGLETRANSLATE(A515,""en"",""hy"")"),"ո՞ր երկրներն են ընկնում Արևելյան Եվրոպայում:")</f>
        <v>ո՞ր երկրներն են ընկնում Արևելյան Եվրոպայում:</v>
      </c>
      <c r="D515" s="3" t="str">
        <f>IFERROR(__xludf.DUMMYFUNCTION("GOOGLETRANSLATE(B515,""en"",""hy"")"),"Արևելյան Եվրոպայի երկրներից են Ռուսաստանը, Ուկրաինան, Լեհաստանը, Հունգարիան, Ռումինիան և Բուլղարիան:")</f>
        <v>Արևելյան Եվրոպայի երկրներից են Ռուսաստանը, Ուկրաինան, Լեհաստանը, Հունգարիան, Ռումինիան և Բուլղարիան:</v>
      </c>
    </row>
    <row r="516">
      <c r="A516" s="1" t="s">
        <v>1031</v>
      </c>
      <c r="B516" s="2" t="s">
        <v>1032</v>
      </c>
      <c r="C516" s="3" t="str">
        <f>IFERROR(__xludf.DUMMYFUNCTION("GOOGLETRANSLATE(A516,""en"",""hy"")"),"որո՞նք են Թեյլոր Սվիֆթի ալբոմները:")</f>
        <v>որո՞նք են Թեյլոր Սվիֆթի ալբոմները:</v>
      </c>
      <c r="D516" s="3" t="str">
        <f>IFERROR(__xludf.DUMMYFUNCTION("GOOGLETRANSLATE(B516,""en"",""hy"")"),"Թեյլոր Սվիֆթը թողարկել է հետևյալ ալբոմները.
1. Թեյլոր Սվիֆթ
2. Անվախ
3. Խոսիր հիմա
4. Կարմիր
5. 1989 թ
6. Հեղինակություն
7. Սիրահար
8. Բանահյուսություն
9. Ընդմիշտ")</f>
        <v>Թեյլոր Սվիֆթը թողարկել է հետևյալ ալբոմները.
1. Թեյլոր Սվիֆթ
2. Անվախ
3. Խոսիր հիմա
4. Կարմիր
5. 1989 թ
6. Հեղինակություն
7. Սիրահար
8. Բանահյուսություն
9. Ընդմիշտ</v>
      </c>
    </row>
    <row r="517">
      <c r="A517" s="1" t="s">
        <v>1033</v>
      </c>
      <c r="B517" s="2" t="s">
        <v>1034</v>
      </c>
      <c r="C517" s="3" t="str">
        <f>IFERROR(__xludf.DUMMYFUNCTION("GOOGLETRANSLATE(A517,""en"",""hy"")"),"ով է այժմ Եթովպիայի վարչապետը.")</f>
        <v>ով է այժմ Եթովպիայի վարչապետը.</v>
      </c>
      <c r="D517" s="3" t="str">
        <f>IFERROR(__xludf.DUMMYFUNCTION("GOOGLETRANSLATE(B517,""en"",""hy"")"),"Իմ տեղեկություններով՝ Եթովպիայի ներկայիս վարչապետը Աբի Ահմեդ Ալին է։")</f>
        <v>Իմ տեղեկություններով՝ Եթովպիայի ներկայիս վարչապետը Աբի Ահմեդ Ալին է։</v>
      </c>
    </row>
    <row r="518">
      <c r="A518" s="1" t="s">
        <v>1035</v>
      </c>
      <c r="B518" s="2" t="s">
        <v>1036</v>
      </c>
      <c r="C518" s="3" t="str">
        <f>IFERROR(__xludf.DUMMYFUNCTION("GOOGLETRANSLATE(A518,""en"",""hy"")"),"Ե՞րբ է պատրաստվել Մերի Փոփինսը")</f>
        <v>Ե՞րբ է պատրաստվել Մերի Փոփինսը</v>
      </c>
      <c r="D518" s="3" t="str">
        <f>IFERROR(__xludf.DUMMYFUNCTION("GOOGLETRANSLATE(B518,""en"",""hy"")"),"Mary Poppins-ը ստեղծվել է 1964 թվականին։")</f>
        <v>Mary Poppins-ը ստեղծվել է 1964 թվականին։</v>
      </c>
    </row>
    <row r="519">
      <c r="A519" s="1" t="s">
        <v>1037</v>
      </c>
      <c r="B519" s="2" t="s">
        <v>1038</v>
      </c>
      <c r="C519" s="3" t="str">
        <f>IFERROR(__xludf.DUMMYFUNCTION("GOOGLETRANSLATE(A519,""en"",""hy"")"),"Ինչի՞ց է մահացել թագավոր Էդվարդ VI-ը.")</f>
        <v>Ինչի՞ց է մահացել թագավոր Էդվարդ VI-ը.</v>
      </c>
      <c r="D519" s="3" t="str">
        <f>IFERROR(__xludf.DUMMYFUNCTION("GOOGLETRANSLATE(B519,""en"",""hy"")"),"Թագավոր Էդվարդ VI-ը մահացել է տուբերկուլյոզից։")</f>
        <v>Թագավոր Էդվարդ VI-ը մահացել է տուբերկուլյոզից։</v>
      </c>
    </row>
    <row r="520">
      <c r="A520" s="1" t="s">
        <v>1039</v>
      </c>
      <c r="B520" s="2" t="s">
        <v>1040</v>
      </c>
      <c r="C520" s="3" t="str">
        <f>IFERROR(__xludf.DUMMYFUNCTION("GOOGLETRANSLATE(A520,""en"",""hy"")"),"ի՞նչ է արել Ռոբերտ Բոյլը:")</f>
        <v>ի՞նչ է արել Ռոբերտ Բոյլը:</v>
      </c>
      <c r="D520" s="3" t="str">
        <f>IFERROR(__xludf.DUMMYFUNCTION("GOOGLETRANSLATE(B520,""en"",""hy"")"),"Ռոբերտ Բոյլը հայտնի է քիմիայի ոլորտում իր ձեռքբերումներով և համարվում է ժամանակակից քիմիայի հիմնադիրը։ Նա ձևակերպեց Բոյլի օրենքը, որը նկարագրում է գազի ճնշման և ծավալի հարաբերությունը մշտական ​​ջերմաստիճանում։")</f>
        <v>Ռոբերտ Բոյլը հայտնի է քիմիայի ոլորտում իր ձեռքբերումներով և համարվում է ժամանակակից քիմիայի հիմնադիրը։ Նա ձևակերպեց Բոյլի օրենքը, որը նկարագրում է գազի ճնշման և ծավալի հարաբերությունը մշտական ​​ջերմաստիճանում։</v>
      </c>
    </row>
    <row r="521">
      <c r="A521" s="1" t="s">
        <v>1041</v>
      </c>
      <c r="B521" s="2" t="s">
        <v>1042</v>
      </c>
      <c r="C521" s="3" t="str">
        <f>IFERROR(__xludf.DUMMYFUNCTION("GOOGLETRANSLATE(A521,""en"",""hy"")"),"ո՞ւմ համար է խաղացել Ջոնի Բենչը:")</f>
        <v>ո՞ւմ համար է խաղացել Ջոնի Բենչը:</v>
      </c>
      <c r="D521" s="3" t="str">
        <f>IFERROR(__xludf.DUMMYFUNCTION("GOOGLETRANSLATE(B521,""en"",""hy"")"),"Ջոնի Բենչը խաղացել է Cincinnati Reds-ում։")</f>
        <v>Ջոնի Բենչը խաղացել է Cincinnati Reds-ում։</v>
      </c>
    </row>
    <row r="522">
      <c r="A522" s="1" t="s">
        <v>1043</v>
      </c>
      <c r="B522" s="2" t="s">
        <v>1044</v>
      </c>
      <c r="C522" s="3" t="str">
        <f>IFERROR(__xludf.DUMMYFUNCTION("GOOGLETRANSLATE(A522,""en"",""hy"")"),"ո՞ւմ է պաշտում իսլամը:")</f>
        <v>ո՞ւմ է պաշտում իսլամը:</v>
      </c>
      <c r="D522" s="3" t="str">
        <f>IFERROR(__xludf.DUMMYFUNCTION("GOOGLETRANSLATE(B522,""en"",""hy"")"),"Մուսուլմանները պաշտում են Ալլահին իսլամական պաշտամունքի մեջ:")</f>
        <v>Մուսուլմանները պաշտում են Ալլահին իսլամական պաշտամունքի մեջ:</v>
      </c>
    </row>
    <row r="523">
      <c r="A523" s="1" t="s">
        <v>1045</v>
      </c>
      <c r="B523" s="2" t="s">
        <v>1046</v>
      </c>
      <c r="C523" s="3" t="str">
        <f>IFERROR(__xludf.DUMMYFUNCTION("GOOGLETRANSLATE(A523,""en"",""hy"")"),"որտեղ է թաղված Նապոլեոնը.")</f>
        <v>որտեղ է թաղված Նապոլեոնը.</v>
      </c>
      <c r="D523" s="3" t="str">
        <f>IFERROR(__xludf.DUMMYFUNCTION("GOOGLETRANSLATE(B523,""en"",""hy"")"),"Նապոլեոնը թաղված է Ֆրանսիայի Les Invalides-ում, Փարիզում:")</f>
        <v>Նապոլեոնը թաղված է Ֆրանսիայի Les Invalides-ում, Փարիզում:</v>
      </c>
    </row>
    <row r="524">
      <c r="A524" s="1" t="s">
        <v>1047</v>
      </c>
      <c r="B524" s="2" t="s">
        <v>1048</v>
      </c>
      <c r="C524" s="3" t="str">
        <f>IFERROR(__xludf.DUMMYFUNCTION("GOOGLETRANSLATE(A524,""en"",""hy"")"),"Ի՞նչ լեզվով են խոսում Իսլանդիայում:")</f>
        <v>Ի՞նչ լեզվով են խոսում Իսլանդիայում:</v>
      </c>
      <c r="D524" s="3" t="str">
        <f>IFERROR(__xludf.DUMMYFUNCTION("GOOGLETRANSLATE(B524,""en"",""hy"")"),"Իսլանդիայում խոսվող լեզուն իսլանդերենն է։")</f>
        <v>Իսլանդիայում խոսվող լեզուն իսլանդերենն է։</v>
      </c>
    </row>
    <row r="525">
      <c r="A525" s="1" t="s">
        <v>1049</v>
      </c>
      <c r="B525" s="2" t="s">
        <v>1050</v>
      </c>
      <c r="C525" s="3" t="str">
        <f>IFERROR(__xludf.DUMMYFUNCTION("GOOGLETRANSLATE(A525,""en"",""hy"")"),"Ո՞վ է երգել MTV կինոմրցանակաբաշխության ժամանակ 2011 թ.")</f>
        <v>Ո՞վ է երգել MTV կինոմրցանակաբաշխության ժամանակ 2011 թ.</v>
      </c>
      <c r="D525" s="3" t="str">
        <f>IFERROR(__xludf.DUMMYFUNCTION("GOOGLETRANSLATE(B525,""en"",""hy"")"),"Տարբեր արտիստներ ելույթ են ունեցել MTV Movie Awards 2011-ին, այդ թվում՝ Foo Fighters-ը, Lupe Fiasco-ն և Trey Songz-ը:")</f>
        <v>Տարբեր արտիստներ ելույթ են ունեցել MTV Movie Awards 2011-ին, այդ թվում՝ Foo Fighters-ը, Lupe Fiasco-ն և Trey Songz-ը:</v>
      </c>
    </row>
    <row r="526">
      <c r="A526" s="1" t="s">
        <v>1051</v>
      </c>
      <c r="B526" s="2" t="s">
        <v>1052</v>
      </c>
      <c r="C526" s="3" t="str">
        <f>IFERROR(__xludf.DUMMYFUNCTION("GOOGLETRANSLATE(A526,""en"",""hy"")"),"որտեղ է խաղում Հյուսթոն Էրոսը")</f>
        <v>որտեղ է խաղում Հյուսթոն Էրոսը</v>
      </c>
      <c r="D526" s="3" t="str">
        <f>IFERROR(__xludf.DUMMYFUNCTION("GOOGLETRANSLATE(B526,""en"",""hy"")"),"Houston Eros-ը խաղում է Toyota Center-ում:")</f>
        <v>Houston Eros-ը խաղում է Toyota Center-ում:</v>
      </c>
    </row>
    <row r="527">
      <c r="A527" s="1" t="s">
        <v>1053</v>
      </c>
      <c r="B527" s="2" t="s">
        <v>1054</v>
      </c>
      <c r="C527" s="3" t="str">
        <f>IFERROR(__xludf.DUMMYFUNCTION("GOOGLETRANSLATE(A527,""en"",""hy"")"),"ինչպիսի՞ն է Նյու Յորք Նիքսի մեկնարկային կազմը:")</f>
        <v>ինչպիսի՞ն է Նյու Յորք Նիքսի մեկնարկային կազմը:</v>
      </c>
      <c r="D527" s="3" t="str">
        <f>IFERROR(__xludf.DUMMYFUNCTION("GOOGLETRANSLATE(B527,""en"",""hy"")"),"Նյու Յորք Նիքսի մեկնարկային կազմը կարող է տարբերվել խաղից խաղ, քանի որ դա կախված է մարզչի որոշումից և խաղացողների հասանելիությունից: Նիքսի մեկնարկային կազմի մասին ամենաարդիական տեղեկատվություն ստանալու համար խորհուրդ է տրվում ստուգել թիմի պաշտոնական կայքը"&amp;" կամ սպորտային լուրերի հավաստի աղբյուրները:")</f>
        <v>Նյու Յորք Նիքսի մեկնարկային կազմը կարող է տարբերվել խաղից խաղ, քանի որ դա կախված է մարզչի որոշումից և խաղացողների հասանելիությունից: Նիքսի մեկնարկային կազմի մասին ամենաարդիական տեղեկատվություն ստանալու համար խորհուրդ է տրվում ստուգել թիմի պաշտոնական կայքը կամ սպորտային լուրերի հավաստի աղբյուրները:</v>
      </c>
    </row>
    <row r="528">
      <c r="A528" s="1" t="s">
        <v>1055</v>
      </c>
      <c r="B528" s="2" t="s">
        <v>1056</v>
      </c>
      <c r="C528" s="3" t="str">
        <f>IFERROR(__xludf.DUMMYFUNCTION("GOOGLETRANSLATE(A528,""en"",""hy"")"),"ի՞նչ տեսնել և անել Գալվեյ Իռլանդիայում:")</f>
        <v>ի՞նչ տեսնել և անել Գալվեյ Իռլանդիայում:</v>
      </c>
      <c r="D528" s="3" t="str">
        <f>IFERROR(__xludf.DUMMYFUNCTION("GOOGLETRANSLATE(B528,""en"",""hy"")"),"Իռլանդիայի Գալվեյում դուք կարող եք ուսումնասիրել քաղաքի հմայիչ փողոցները, այցելել պատմական վայրեր, ինչպիսիք են Գալվեյի տաճարը և Էյր հրապարակը, վայելել ավանդական իռլանդական երաժշտությունը փաբերում, զբոսնել Սոլթհիլ զբոսավայրով և այցելել մոտակա տեսարժան վայր"&amp;"եր, ինչպիսիք են Մոհերի ժայռերը: և Կոնեմարա ազգային պարկը։")</f>
        <v>Իռլանդիայի Գալվեյում դուք կարող եք ուսումնասիրել քաղաքի հմայիչ փողոցները, այցելել պատմական վայրեր, ինչպիսիք են Գալվեյի տաճարը և Էյր հրապարակը, վայելել ավանդական իռլանդական երաժշտությունը փաբերում, զբոսնել Սոլթհիլ զբոսավայրով և այցելել մոտակա տեսարժան վայրեր, ինչպիսիք են Մոհերի ժայռերը: և Կոնեմարա ազգային պարկը։</v>
      </c>
    </row>
    <row r="529">
      <c r="A529" s="1" t="s">
        <v>1057</v>
      </c>
      <c r="B529" s="2">
        <v>2006.0</v>
      </c>
      <c r="C529" s="3" t="str">
        <f>IFERROR(__xludf.DUMMYFUNCTION("GOOGLETRANSLATE(A529,""en"",""hy"")"),"Ո՞ր տարում է Բրենդոն Ռոյը զորակոչվել:")</f>
        <v>Ո՞ր տարում է Բրենդոն Ռոյը զորակոչվել:</v>
      </c>
      <c r="D529" s="3" t="str">
        <f>IFERROR(__xludf.DUMMYFUNCTION("GOOGLETRANSLATE(B529,""en"",""hy"")"),"2006թ")</f>
        <v>2006թ</v>
      </c>
    </row>
    <row r="530">
      <c r="A530" s="1" t="s">
        <v>1058</v>
      </c>
      <c r="B530" s="2" t="s">
        <v>1059</v>
      </c>
      <c r="C530" s="3" t="str">
        <f>IFERROR(__xludf.DUMMYFUNCTION("GOOGLETRANSLATE(A530,""en"",""hy"")"),"ինչ են Մայքլ Ջեքսոնի երեխաների անունները:")</f>
        <v>ինչ են Մայքլ Ջեքսոնի երեխաների անունները:</v>
      </c>
      <c r="D530" s="3" t="str">
        <f>IFERROR(__xludf.DUMMYFUNCTION("GOOGLETRANSLATE(B530,""en"",""hy"")"),"Մայքլ Ջեքսոնի երեխաները կոչվում են Փրինս Ջեքսոն, Փերիս Ջեքսոն և արքայազն Մայքլ Ջեքսոն II (նաև հայտնի է որպես Բլանկետ)։")</f>
        <v>Մայքլ Ջեքսոնի երեխաները կոչվում են Փրինս Ջեքսոն, Փերիս Ջեքսոն և արքայազն Մայքլ Ջեքսոն II (նաև հայտնի է որպես Բլանկետ)։</v>
      </c>
    </row>
    <row r="531">
      <c r="A531" s="1" t="s">
        <v>1060</v>
      </c>
      <c r="B531" s="2" t="s">
        <v>1061</v>
      </c>
      <c r="C531" s="3" t="str">
        <f>IFERROR(__xludf.DUMMYFUNCTION("GOOGLETRANSLATE(A531,""en"",""hy"")"),"ինչպես է կոչվում Փենսիլվանիայի պետական ​​ծաղիկը:")</f>
        <v>ինչպես է կոչվում Փենսիլվանիայի պետական ​​ծաղիկը:</v>
      </c>
      <c r="D531" s="3" t="str">
        <f>IFERROR(__xludf.DUMMYFUNCTION("GOOGLETRANSLATE(B531,""en"",""hy"")"),"Փենսիլվանիայի պետական ​​ծաղիկը կոչվում է լեռնային դափնի:")</f>
        <v>Փենսիլվանիայի պետական ​​ծաղիկը կոչվում է լեռնային դափնի:</v>
      </c>
    </row>
    <row r="532">
      <c r="A532" s="1" t="s">
        <v>1062</v>
      </c>
      <c r="B532" s="2" t="s">
        <v>1063</v>
      </c>
      <c r="C532" s="3" t="str">
        <f>IFERROR(__xludf.DUMMYFUNCTION("GOOGLETRANSLATE(A532,""en"",""hy"")"),"ինչ գիրք է գրել Նիկոլո Մաքիավելին")</f>
        <v>ինչ գիրք է գրել Նիկոլո Մաքիավելին</v>
      </c>
      <c r="D532" s="3" t="str">
        <f>IFERROR(__xludf.DUMMYFUNCTION("GOOGLETRANSLATE(B532,""en"",""hy"")"),"Արքայազնը.")</f>
        <v>Արքայազնը.</v>
      </c>
    </row>
    <row r="533">
      <c r="A533" s="1" t="s">
        <v>1064</v>
      </c>
      <c r="B533" s="2" t="s">
        <v>1065</v>
      </c>
      <c r="C533" s="3" t="str">
        <f>IFERROR(__xludf.DUMMYFUNCTION("GOOGLETRANSLATE(A533,""en"",""hy"")"),"ինչ կրոններ են հանդիպում Ավստրալիայում:")</f>
        <v>ինչ կրոններ են հանդիպում Ավստրալիայում:</v>
      </c>
      <c r="D533" s="3" t="str">
        <f>IFERROR(__xludf.DUMMYFUNCTION("GOOGLETRANSLATE(B533,""en"",""hy"")"),"Ավստրալիայում հանդիպում են քրիստոնեությունը, իսլամը, բուդդիզմը, հինդուիզմը, սիկհիզմը, հուդայականությունը և ավստրալական բնիկ տարբեր հոգևոր ավանդույթներ:")</f>
        <v>Ավստրալիայում հանդիպում են քրիստոնեությունը, իսլամը, բուդդիզմը, հինդուիզմը, սիկհիզմը, հուդայականությունը և ավստրալական բնիկ տարբեր հոգևոր ավանդույթներ:</v>
      </c>
    </row>
    <row r="534">
      <c r="A534" s="1" t="s">
        <v>1066</v>
      </c>
      <c r="B534" s="2" t="s">
        <v>1067</v>
      </c>
      <c r="C534" s="3" t="str">
        <f>IFERROR(__xludf.DUMMYFUNCTION("GOOGLETRANSLATE(A534,""en"",""hy"")"),"Ո՞ր քոլեջն է նկարել Բլեդսոյին:")</f>
        <v>Ո՞ր քոլեջն է նկարել Բլեդսոյին:</v>
      </c>
      <c r="D534" s="3" t="str">
        <f>IFERROR(__xludf.DUMMYFUNCTION("GOOGLETRANSLATE(B534,""en"",""hy"")"),"Դրյու Բլեդսոն հաճախել է Վաշինգտոնի պետական ​​համալսարան:")</f>
        <v>Դրյու Բլեդսոն հաճախել է Վաշինգտոնի պետական ​​համալսարան:</v>
      </c>
    </row>
    <row r="535">
      <c r="A535" s="1" t="s">
        <v>1068</v>
      </c>
      <c r="B535" s="2" t="s">
        <v>1069</v>
      </c>
      <c r="C535" s="3" t="str">
        <f>IFERROR(__xludf.DUMMYFUNCTION("GOOGLETRANSLATE(A535,""en"",""hy"")"),"որտեղ է mtv-ի գլխավոր գրասենյակը")</f>
        <v>որտեղ է mtv-ի գլխավոր գրասենյակը</v>
      </c>
      <c r="D535" s="3" t="str">
        <f>IFERROR(__xludf.DUMMYFUNCTION("GOOGLETRANSLATE(B535,""en"",""hy"")"),"MTV-ի գլխամասային գրասենյակը գտնվում է Նյու Յորքում, ԱՄՆ:")</f>
        <v>MTV-ի գլխամասային գրասենյակը գտնվում է Նյու Յորքում, ԱՄՆ:</v>
      </c>
    </row>
    <row r="536">
      <c r="A536" s="1" t="s">
        <v>1070</v>
      </c>
      <c r="B536" s="2" t="s">
        <v>1071</v>
      </c>
      <c r="C536" s="3" t="str">
        <f>IFERROR(__xludf.DUMMYFUNCTION("GOOGLETRANSLATE(A536,""en"",""hy"")"),"ում համար է խաղում Մայքլ Վիկը")</f>
        <v>ում համար է խաղում Մայքլ Վիկը</v>
      </c>
      <c r="D536" s="3" t="str">
        <f>IFERROR(__xludf.DUMMYFUNCTION("GOOGLETRANSLATE(B536,""en"",""hy"")"),"Մայքլ Վիքը խաղացել է NFL-ի մի քանի թիմերում, այդ թվում՝ Atlanta Falcons, Philadelphia Eagles, New York Jets և Pittsburgh Steelers։")</f>
        <v>Մայքլ Վիքը խաղացել է NFL-ի մի քանի թիմերում, այդ թվում՝ Atlanta Falcons, Philadelphia Eagles, New York Jets և Pittsburgh Steelers։</v>
      </c>
    </row>
    <row r="537">
      <c r="A537" s="1" t="s">
        <v>1072</v>
      </c>
      <c r="B537" s="2" t="s">
        <v>1073</v>
      </c>
      <c r="C537" s="3" t="str">
        <f>IFERROR(__xludf.DUMMYFUNCTION("GOOGLETRANSLATE(A537,""en"",""hy"")"),"ինչ է Գվատեմալայի ներկայիս կառավարման համակարգը:")</f>
        <v>ինչ է Գվատեմալայի ներկայիս կառավարման համակարգը:</v>
      </c>
      <c r="D537" s="3" t="str">
        <f>IFERROR(__xludf.DUMMYFUNCTION("GOOGLETRANSLATE(B537,""en"",""hy"")"),"Գվատեմալան ունի նախագահական կառավարման համակարգ։")</f>
        <v>Գվատեմալան ունի նախագահական կառավարման համակարգ։</v>
      </c>
    </row>
    <row r="538">
      <c r="A538" s="1" t="s">
        <v>1074</v>
      </c>
      <c r="B538" s="2" t="s">
        <v>1075</v>
      </c>
      <c r="C538" s="3" t="str">
        <f>IFERROR(__xludf.DUMMYFUNCTION("GOOGLETRANSLATE(A538,""en"",""hy"")"),"ինչով է մարզվում Անդերսոն Սիլվան:")</f>
        <v>ինչով է մարզվում Անդերսոն Սիլվան:</v>
      </c>
      <c r="D538" s="3" t="str">
        <f>IFERROR(__xludf.DUMMYFUNCTION("GOOGLETRANSLATE(B538,""en"",""hy"")"),"Անդերսոն Սիլվան մարզվում է խառը մենամարտերում (MMA):")</f>
        <v>Անդերսոն Սիլվան մարզվում է խառը մենամարտերում (MMA):</v>
      </c>
    </row>
    <row r="539">
      <c r="A539" s="1" t="s">
        <v>1076</v>
      </c>
      <c r="B539" s="2" t="s">
        <v>1077</v>
      </c>
      <c r="C539" s="3" t="str">
        <f>IFERROR(__xludf.DUMMYFUNCTION("GOOGLETRANSLATE(A539,""en"",""hy"")"),"ինչն է առաջացրել ասիական արժույթի ճգնաժամը:")</f>
        <v>ինչն է առաջացրել ասիական արժույթի ճգնաժամը:</v>
      </c>
      <c r="D539" s="3" t="str">
        <f>IFERROR(__xludf.DUMMYFUNCTION("GOOGLETRANSLATE(B539,""en"",""hy"")"),"Ասիական արժութային ճգնաժամը պայմանավորված էր գործոնների համակցությամբ, ինչպիսիք են սպեկուլյատիվ հարձակումները, թույլ ֆինանսական համակարգերը, պարտքի բարձր մակարդակը և արժութային կապերը, որոնք անկայուն էին:")</f>
        <v>Ասիական արժութային ճգնաժամը պայմանավորված էր գործոնների համակցությամբ, ինչպիսիք են սպեկուլյատիվ հարձակումները, թույլ ֆինանսական համակարգերը, պարտքի բարձր մակարդակը և արժութային կապերը, որոնք անկայուն էին:</v>
      </c>
    </row>
    <row r="540">
      <c r="A540" s="1" t="s">
        <v>1078</v>
      </c>
      <c r="B540" s="2" t="s">
        <v>1079</v>
      </c>
      <c r="C540" s="3" t="str">
        <f>IFERROR(__xludf.DUMMYFUNCTION("GOOGLETRANSLATE(A540,""en"",""hy"")"),"Ո՞ր երկրներին է սահմանակից Ռուսաստանը")</f>
        <v>Ո՞ր երկրներին է սահմանակից Ռուսաստանը</v>
      </c>
      <c r="D540" s="3" t="str">
        <f>IFERROR(__xludf.DUMMYFUNCTION("GOOGLETRANSLATE(B540,""en"",""hy"")"),"Ռուսաստանը սահմանակից է հետևյալ երկրներին՝ Նորվեգիային, Ֆինլանդիային, Էստոնիային, Լատվիային, Լիտվային, Լեհաստանին, Բելառուսին, Ուկրաինային, Վրաստանին, Ադրբեջանին, Ղազախստանին, Չինաստանին, Մոնղոլիային և Հյուսիսային Կորեային։")</f>
        <v>Ռուսաստանը սահմանակից է հետևյալ երկրներին՝ Նորվեգիային, Ֆինլանդիային, Էստոնիային, Լատվիային, Լիտվային, Լեհաստանին, Բելառուսին, Ուկրաինային, Վրաստանին, Ադրբեջանին, Ղազախստանին, Չինաստանին, Մոնղոլիային և Հյուսիսային Կորեային։</v>
      </c>
    </row>
    <row r="541">
      <c r="A541" s="1" t="s">
        <v>1080</v>
      </c>
      <c r="B541" s="2" t="s">
        <v>1081</v>
      </c>
      <c r="C541" s="3" t="str">
        <f>IFERROR(__xludf.DUMMYFUNCTION("GOOGLETRANSLATE(A541,""en"",""hy"")"),"ո՞ր սեզոնին հաղթեց Բրուք Բուրկը:")</f>
        <v>ո՞ր սեզոնին հաղթեց Բրուք Բուրկը:</v>
      </c>
      <c r="D541" s="3" t="str">
        <f>IFERROR(__xludf.DUMMYFUNCTION("GOOGLETRANSLATE(B541,""en"",""hy"")"),"Բրուկ Բերկը հաղթել է «Պարեր աստղերի հետ» սերիալի 7-րդ սեզոնում:")</f>
        <v>Բրուկ Բերկը հաղթել է «Պարեր աստղերի հետ» սերիալի 7-րդ սեզոնում:</v>
      </c>
    </row>
    <row r="542">
      <c r="A542" s="1" t="s">
        <v>1082</v>
      </c>
      <c r="B542" s="2" t="s">
        <v>1083</v>
      </c>
      <c r="C542" s="3" t="str">
        <f>IFERROR(__xludf.DUMMYFUNCTION("GOOGLETRANSLATE(A542,""en"",""hy"")"),"ինչ է արտադրում pixar-ը:")</f>
        <v>ինչ է արտադրում pixar-ը:</v>
      </c>
      <c r="D542" s="3" t="str">
        <f>IFERROR(__xludf.DUMMYFUNCTION("GOOGLETRANSLATE(B542,""en"",""hy"")"),"Pixar-ը արտադրում է անիմացիոն ֆիլմեր։")</f>
        <v>Pixar-ը արտադրում է անիմացիոն ֆիլմեր։</v>
      </c>
    </row>
    <row r="543">
      <c r="A543" s="1" t="s">
        <v>1084</v>
      </c>
      <c r="B543" s="2" t="s">
        <v>1085</v>
      </c>
      <c r="C543" s="3" t="str">
        <f>IFERROR(__xludf.DUMMYFUNCTION("GOOGLETRANSLATE(A543,""en"",""hy"")"),"ինչի՞ց է մահացել Էմիլի Դիկինսոնը")</f>
        <v>ինչի՞ց է մահացել Էմիլի Դիկինսոնը</v>
      </c>
      <c r="D543" s="3" t="str">
        <f>IFERROR(__xludf.DUMMYFUNCTION("GOOGLETRANSLATE(B543,""en"",""hy"")"),"Էմիլի Դիկինսոնը մահացել է Բրայթի հիվանդությունից, որն այժմ հայտնի է որպես քրոնիկական նեֆրիտ։")</f>
        <v>Էմիլի Դիկինսոնը մահացել է Բրայթի հիվանդությունից, որն այժմ հայտնի է որպես քրոնիկական նեֆրիտ։</v>
      </c>
    </row>
    <row r="544">
      <c r="A544" s="1" t="s">
        <v>1086</v>
      </c>
      <c r="B544" s="2" t="s">
        <v>1087</v>
      </c>
      <c r="C544" s="3" t="str">
        <f>IFERROR(__xludf.DUMMYFUNCTION("GOOGLETRANSLATE(A544,""en"",""hy"")"),"ո՞վ էր թագավոր կամ թագուհի Ջեյմս I-ից հետո:")</f>
        <v>ո՞վ էր թագավոր կամ թագուհի Ջեյմս I-ից հետո:</v>
      </c>
      <c r="D544" s="3" t="str">
        <f>IFERROR(__xludf.DUMMYFUNCTION("GOOGLETRANSLATE(B544,""en"",""hy"")"),"Թագավոր Չարլզ I.")</f>
        <v>Թագավոր Չարլզ I.</v>
      </c>
    </row>
    <row r="545">
      <c r="A545" s="1" t="s">
        <v>1088</v>
      </c>
      <c r="B545" s="2" t="s">
        <v>1089</v>
      </c>
      <c r="C545" s="3" t="str">
        <f>IFERROR(__xludf.DUMMYFUNCTION("GOOGLETRANSLATE(A545,""en"",""hy"")"),"ով խաղաց Լոյս Լեյն Սուպերմեն 1-ում:")</f>
        <v>ով խաղաց Լոյս Լեյն Սուպերմեն 1-ում:</v>
      </c>
      <c r="D545" s="3" t="str">
        <f>IFERROR(__xludf.DUMMYFUNCTION("GOOGLETRANSLATE(B545,""en"",""hy"")"),"Մարգո Քիդդեր.")</f>
        <v>Մարգո Քիդդեր.</v>
      </c>
    </row>
    <row r="546">
      <c r="A546" s="1" t="s">
        <v>1090</v>
      </c>
      <c r="B546" s="2" t="s">
        <v>1091</v>
      </c>
      <c r="C546" s="3" t="str">
        <f>IFERROR(__xludf.DUMMYFUNCTION("GOOGLETRANSLATE(A546,""en"",""hy"")"),"ինչպե՞ս էր Էլի Վիզելի հոր անունը:")</f>
        <v>ինչպե՞ս էր Էլի Վիզելի հոր անունը:</v>
      </c>
      <c r="D546" s="3" t="str">
        <f>IFERROR(__xludf.DUMMYFUNCTION("GOOGLETRANSLATE(B546,""en"",""hy"")"),"Էլի Վիզելի հոր անունը Շլոմո էր։")</f>
        <v>Էլի Վիզելի հոր անունը Շլոմո էր։</v>
      </c>
    </row>
    <row r="547">
      <c r="A547" s="1" t="s">
        <v>1092</v>
      </c>
      <c r="B547" s="2" t="s">
        <v>1093</v>
      </c>
      <c r="C547" s="3" t="str">
        <f>IFERROR(__xludf.DUMMYFUNCTION("GOOGLETRANSLATE(A547,""en"",""hy"")"),"որտեղ է թաղված սուրբ Վինսենթ դը Պոլը")</f>
        <v>որտեղ է թաղված սուրբ Վինսենթ դը Պոլը</v>
      </c>
      <c r="D547" s="3" t="str">
        <f>IFERROR(__xludf.DUMMYFUNCTION("GOOGLETRANSLATE(B547,""en"",""hy"")"),"Սուրբ Վինսենթ դը Պոլը թաղված է Ֆրանսիայի Փարիզ քաղաքում։")</f>
        <v>Սուրբ Վինսենթ դը Պոլը թաղված է Ֆրանսիայի Փարիզ քաղաքում։</v>
      </c>
    </row>
    <row r="548">
      <c r="A548" s="1" t="s">
        <v>1094</v>
      </c>
      <c r="B548" s="2" t="s">
        <v>1095</v>
      </c>
      <c r="C548" s="3" t="str">
        <f>IFERROR(__xludf.DUMMYFUNCTION("GOOGLETRANSLATE(A548,""en"",""hy"")"),"ի՞նչ լեզվով են խոսում Ֆիջիի բնակիչները:")</f>
        <v>ի՞նչ լեզվով են խոսում Ֆիջիի բնակիչները:</v>
      </c>
      <c r="D548" s="3" t="str">
        <f>IFERROR(__xludf.DUMMYFUNCTION("GOOGLETRANSLATE(B548,""en"",""hy"")"),"Ֆիջյան.")</f>
        <v>Ֆիջյան.</v>
      </c>
    </row>
    <row r="549">
      <c r="A549" s="1" t="s">
        <v>1096</v>
      </c>
      <c r="B549" s="2" t="s">
        <v>1097</v>
      </c>
      <c r="C549" s="3" t="str">
        <f>IFERROR(__xludf.DUMMYFUNCTION("GOOGLETRANSLATE(A549,""en"",""hy"")"),"ինչ են Վիկտորիա Բեքհեմի երեխաների անունները:")</f>
        <v>ինչ են Վիկտորիա Բեքհեմի երեխաների անունները:</v>
      </c>
      <c r="D549" s="3" t="str">
        <f>IFERROR(__xludf.DUMMYFUNCTION("GOOGLETRANSLATE(B549,""en"",""hy"")"),"Վիկտորյա Բեքհեմի երեխաների անուններն են՝ Բրուքլին, Ռոմեո, Քրուզ և Հարփեր։")</f>
        <v>Վիկտորյա Բեքհեմի երեխաների անուններն են՝ Բրուքլին, Ռոմեո, Քրուզ և Հարփեր։</v>
      </c>
    </row>
    <row r="550">
      <c r="A550" s="1" t="s">
        <v>1098</v>
      </c>
      <c r="B550" s="2" t="s">
        <v>1099</v>
      </c>
      <c r="C550" s="3" t="str">
        <f>IFERROR(__xludf.DUMMYFUNCTION("GOOGLETRANSLATE(A550,""en"",""hy"")"),"որտեղ է գտնվում Նյու Յորքը քարտեզի վրա:")</f>
        <v>որտեղ է գտնվում Նյու Յորքը քարտեզի վրա:</v>
      </c>
      <c r="D550" s="3" t="str">
        <f>IFERROR(__xludf.DUMMYFUNCTION("GOOGLETRANSLATE(B550,""en"",""hy"")"),"Նյու Յորքը գտնվում է ԱՄՆ-ի հյուսիսարևելյան մասում։")</f>
        <v>Նյու Յորքը գտնվում է ԱՄՆ-ի հյուսիսարևելյան մասում։</v>
      </c>
    </row>
    <row r="551">
      <c r="A551" s="1" t="s">
        <v>1100</v>
      </c>
      <c r="B551" s="2" t="s">
        <v>1101</v>
      </c>
      <c r="C551" s="3" t="str">
        <f>IFERROR(__xludf.DUMMYFUNCTION("GOOGLETRANSLATE(A551,""en"",""hy"")"),"որտեղ է Ֆրանսիան հանձնվել ww2.")</f>
        <v>որտեղ է Ֆրանսիան հանձնվել ww2.</v>
      </c>
      <c r="D551" s="3" t="str">
        <f>IFERROR(__xludf.DUMMYFUNCTION("GOOGLETRANSLATE(B551,""en"",""hy"")"),"Ֆրանսիան անձնատուր եղավ Կոմպիենում, մասնավորապես Ռեթոնդ քաղաքում, Կոմպիենի զինադադարի վայրում 1940 թվականի հունիսի 22-ին։")</f>
        <v>Ֆրանսիան անձնատուր եղավ Կոմպիենում, մասնավորապես Ռեթոնդ քաղաքում, Կոմպիենի զինադադարի վայրում 1940 թվականի հունիսի 22-ին։</v>
      </c>
    </row>
    <row r="552">
      <c r="A552" s="1" t="s">
        <v>1102</v>
      </c>
      <c r="B552" s="2" t="s">
        <v>1103</v>
      </c>
      <c r="C552" s="3" t="str">
        <f>IFERROR(__xludf.DUMMYFUNCTION("GOOGLETRANSLATE(A552,""en"",""hy"")"),"ինչի՞ց է մահացել Ջիմի Վալվանոն")</f>
        <v>ինչի՞ց է մահացել Ջիմի Վալվանոն</v>
      </c>
      <c r="D552" s="3" t="str">
        <f>IFERROR(__xludf.DUMMYFUNCTION("GOOGLETRANSLATE(B552,""en"",""hy"")"),"Ջիմի Վալվանոն մահացել է մետաստատիկ ադենոկարցինոմայից՝ քաղցկեղի տեսակից։")</f>
        <v>Ջիմի Վալվանոն մահացել է մետաստատիկ ադենոկարցինոմայից՝ քաղցկեղի տեսակից։</v>
      </c>
    </row>
    <row r="553">
      <c r="A553" s="1" t="s">
        <v>1104</v>
      </c>
      <c r="B553" s="2" t="s">
        <v>1105</v>
      </c>
      <c r="C553" s="3" t="str">
        <f>IFERROR(__xludf.DUMMYFUNCTION("GOOGLETRANSLATE(A553,""en"",""hy"")"),"ինչ թիմեր է խաղացել Չարլզ Բարքլի")</f>
        <v>ինչ թիմեր է խաղացել Չարլզ Բարքլի</v>
      </c>
      <c r="D553" s="3" t="str">
        <f>IFERROR(__xludf.DUMMYFUNCTION("GOOGLETRANSLATE(B553,""en"",""hy"")"),"Չարլզ Բարքլին խաղացել է Ֆիլադելֆիա 76ers, Phoenix Suns և Houston Rockets թիմերում։")</f>
        <v>Չարլզ Բարքլին խաղացել է Ֆիլադելֆիա 76ers, Phoenix Suns և Houston Rockets թիմերում։</v>
      </c>
    </row>
    <row r="554">
      <c r="A554" s="1" t="s">
        <v>1106</v>
      </c>
      <c r="B554" s="2" t="s">
        <v>1107</v>
      </c>
      <c r="C554" s="3" t="str">
        <f>IFERROR(__xludf.DUMMYFUNCTION("GOOGLETRANSLATE(A554,""en"",""hy"")"),"Ե՞րբ է Բիլ Քլինթոնն ընտրվել նախագահ.")</f>
        <v>Ե՞րբ է Բիլ Քլինթոնն ընտրվել նախագահ.</v>
      </c>
      <c r="D554" s="3" t="str">
        <f>IFERROR(__xludf.DUMMYFUNCTION("GOOGLETRANSLATE(B554,""en"",""hy"")"),"Բիլ Քլինթոնը նախագահ է ընտրվել 1992 թվականին։")</f>
        <v>Բիլ Քլինթոնը նախագահ է ընտրվել 1992 թվականին։</v>
      </c>
    </row>
    <row r="555">
      <c r="A555" s="1" t="s">
        <v>1108</v>
      </c>
      <c r="B555" s="2" t="s">
        <v>1109</v>
      </c>
      <c r="C555" s="3" t="str">
        <f>IFERROR(__xludf.DUMMYFUNCTION("GOOGLETRANSLATE(A555,""en"",""hy"")"),"որտեղ է ապրել Ջովանի Պիերլուիջի դա Պալեստրինան:")</f>
        <v>որտեղ է ապրել Ջովանի Պիերլուիջի դա Պալեստրինան:</v>
      </c>
      <c r="D555" s="3" t="str">
        <f>IFERROR(__xludf.DUMMYFUNCTION("GOOGLETRANSLATE(B555,""en"",""hy"")"),"Ջովաննի Պիերլուիջի դա Պալեստրինան ապրում էր Իտալիայի Հռոմ քաղաքում։")</f>
        <v>Ջովաննի Պիերլուիջի դա Պալեստրինան ապրում էր Իտալիայի Հռոմ քաղաքում։</v>
      </c>
    </row>
    <row r="556">
      <c r="A556" s="1" t="s">
        <v>1110</v>
      </c>
      <c r="B556" s="2" t="s">
        <v>1111</v>
      </c>
      <c r="C556" s="3" t="str">
        <f>IFERROR(__xludf.DUMMYFUNCTION("GOOGLETRANSLATE(A556,""en"",""hy"")"),"Ե՞րբ է տեղի ունեցել 2012 թվականի Կալգարիի հրմշտոցը:")</f>
        <v>Ե՞րբ է տեղի ունեցել 2012 թվականի Կալգարիի հրմշտոցը:</v>
      </c>
      <c r="D556" s="3" t="str">
        <f>IFERROR(__xludf.DUMMYFUNCTION("GOOGLETRANSLATE(B556,""en"",""hy"")"),"2012 թվականի Կալգարիի հրմշտոցը տեղի ունեցավ 2012 թվականի հուլիսի 6-ից հուլիսի 15-ը։")</f>
        <v>2012 թվականի Կալգարիի հրմշտոցը տեղի ունեցավ 2012 թվականի հուլիսի 6-ից հուլիսի 15-ը։</v>
      </c>
    </row>
    <row r="557">
      <c r="A557" s="1" t="s">
        <v>1112</v>
      </c>
      <c r="B557" s="2" t="s">
        <v>1113</v>
      </c>
      <c r="C557" s="3" t="str">
        <f>IFERROR(__xludf.DUMMYFUNCTION("GOOGLETRANSLATE(A557,""en"",""hy"")"),"երբ Մայքլ Ջորդանը զորակոչվեց:")</f>
        <v>երբ Մայքլ Ջորդանը զորակոչվեց:</v>
      </c>
      <c r="D557" s="3" t="str">
        <f>IFERROR(__xludf.DUMMYFUNCTION("GOOGLETRANSLATE(B557,""en"",""hy"")"),"Մայքլ Ջորդանը զորակոչվել է 1984թ.")</f>
        <v>Մայքլ Ջորդանը զորակոչվել է 1984թ.</v>
      </c>
    </row>
    <row r="558">
      <c r="A558" s="1" t="s">
        <v>1114</v>
      </c>
      <c r="B558" s="2" t="s">
        <v>1115</v>
      </c>
      <c r="C558" s="3" t="str">
        <f>IFERROR(__xludf.DUMMYFUNCTION("GOOGLETRANSLATE(A558,""en"",""hy"")"),"ինչ գումար են օգտագործում Ֆիլիպինները:")</f>
        <v>ինչ գումար են օգտագործում Ֆիլիպինները:</v>
      </c>
      <c r="D558" s="3" t="str">
        <f>IFERROR(__xludf.DUMMYFUNCTION("GOOGLETRANSLATE(B558,""en"",""hy"")"),"Ֆիլիպիններում օգտագործվող արժույթը Ֆիլիպինյան պեսոն է (PHP):")</f>
        <v>Ֆիլիպիններում օգտագործվող արժույթը Ֆիլիպինյան պեսոն է (PHP):</v>
      </c>
    </row>
    <row r="559">
      <c r="A559" s="1" t="s">
        <v>1116</v>
      </c>
      <c r="B559" s="2" t="s">
        <v>1117</v>
      </c>
      <c r="C559" s="3" t="str">
        <f>IFERROR(__xludf.DUMMYFUNCTION("GOOGLETRANSLATE(A559,""en"",""hy"")"),"Ո՞վ է խաղացել Դորոթիի դերը Օզի հրաշագործ ֆիլմում:")</f>
        <v>Ո՞վ է խաղացել Դորոթիի դերը Օզի հրաշագործ ֆիլմում:</v>
      </c>
      <c r="D559" s="3" t="str">
        <f>IFERROR(__xludf.DUMMYFUNCTION("GOOGLETRANSLATE(B559,""en"",""hy"")"),"Ջուդի Գարլենդ.")</f>
        <v>Ջուդի Գարլենդ.</v>
      </c>
    </row>
    <row r="560">
      <c r="A560" s="1" t="s">
        <v>1118</v>
      </c>
      <c r="B560" s="2" t="s">
        <v>1119</v>
      </c>
      <c r="C560" s="3" t="str">
        <f>IFERROR(__xludf.DUMMYFUNCTION("GOOGLETRANSLATE(A560,""en"",""hy"")"),"ով է խաղում Մարիոն վարսավիրը 4:")</f>
        <v>ով է խաղում Մարիոն վարսավիրը 4:</v>
      </c>
      <c r="D560" s="3" t="str">
        <f>IFERROR(__xludf.DUMMYFUNCTION("GOOGLETRANSLATE(B560,""en"",""hy"")"),"Մարիոն Բարբերը խաղացել է Դալլաս Կովբոյզում։")</f>
        <v>Մարիոն Բարբերը խաղացել է Դալլաս Կովբոյզում։</v>
      </c>
    </row>
    <row r="561">
      <c r="A561" s="1" t="s">
        <v>1120</v>
      </c>
      <c r="B561" s="2" t="s">
        <v>1121</v>
      </c>
      <c r="C561" s="3" t="str">
        <f>IFERROR(__xludf.DUMMYFUNCTION("GOOGLETRANSLATE(A561,""en"",""hy"")"),"Ինչ քոլեջ է սովորել Ջեյմս Ֆրանկոն:")</f>
        <v>Ինչ քոլեջ է սովորել Ջեյմս Ֆրանկոն:</v>
      </c>
      <c r="D561" s="3" t="str">
        <f>IFERROR(__xludf.DUMMYFUNCTION("GOOGLETRANSLATE(B561,""en"",""hy"")"),"Ջեյմս Ֆրանկոն հաճախել է UCLA (Կալիֆորնիայի համալսարան, Լոս Անջելես):")</f>
        <v>Ջեյմս Ֆրանկոն հաճախել է UCLA (Կալիֆորնիայի համալսարան, Լոս Անջելես):</v>
      </c>
    </row>
    <row r="562">
      <c r="A562" s="1" t="s">
        <v>1122</v>
      </c>
      <c r="B562" s="2" t="s">
        <v>1123</v>
      </c>
      <c r="C562" s="3" t="str">
        <f>IFERROR(__xludf.DUMMYFUNCTION("GOOGLETRANSLATE(A562,""en"",""hy"")"),"քանի՞ թիմ կա ncaa ֆուտբոլում:")</f>
        <v>քանի՞ թիմ կա ncaa ֆուտբոլում:</v>
      </c>
      <c r="D562" s="3" t="str">
        <f>IFERROR(__xludf.DUMMYFUNCTION("GOOGLETRANSLATE(B562,""en"",""hy"")"),"NCAA ֆուտբոլում կա 130 թիմ:")</f>
        <v>NCAA ֆուտբոլում կա 130 թիմ:</v>
      </c>
    </row>
    <row r="563">
      <c r="A563" s="1" t="s">
        <v>1124</v>
      </c>
      <c r="B563" s="2" t="s">
        <v>1125</v>
      </c>
      <c r="C563" s="3" t="str">
        <f>IFERROR(__xludf.DUMMYFUNCTION("GOOGLETRANSLATE(A563,""en"",""hy"")"),"ով է Գարեթը գեղեցիկ փոքրիկ ստախոս:")</f>
        <v>ով է Գարեթը գեղեցիկ փոքրիկ ստախոս:</v>
      </c>
      <c r="D563" s="3" t="str">
        <f>IFERROR(__xludf.DUMMYFUNCTION("GOOGLETRANSLATE(B563,""en"",""hy"")"),"Գարեթ Ռեյնոլդսը Pretty Little Liars հեռուստաշոուի կերպար է։")</f>
        <v>Գարեթ Ռեյնոլդսը Pretty Little Liars հեռուստաշոուի կերպար է։</v>
      </c>
    </row>
    <row r="564">
      <c r="A564" s="1" t="s">
        <v>1126</v>
      </c>
      <c r="B564" s="2" t="s">
        <v>1127</v>
      </c>
      <c r="C564" s="3" t="str">
        <f>IFERROR(__xludf.DUMMYFUNCTION("GOOGLETRANSLATE(A564,""en"",""hy"")"),"ինչ տեսակի արժույթ պետք է տանեմ Մեքսիկա:")</f>
        <v>ինչ տեսակի արժույթ պետք է տանեմ Մեքսիկա:</v>
      </c>
      <c r="D564" s="3" t="str">
        <f>IFERROR(__xludf.DUMMYFUNCTION("GOOGLETRANSLATE(B564,""en"",""hy"")"),"Մեքսիկական պեսո.")</f>
        <v>Մեքսիկական պեսո.</v>
      </c>
    </row>
    <row r="565">
      <c r="A565" s="1" t="s">
        <v>1128</v>
      </c>
      <c r="B565" s="2" t="s">
        <v>1129</v>
      </c>
      <c r="C565" s="3" t="str">
        <f>IFERROR(__xludf.DUMMYFUNCTION("GOOGLETRANSLATE(A565,""en"",""hy"")"),"ինչի՞ց է մահացել լյուսիլ գնդակը:")</f>
        <v>ինչի՞ց է մահացել լյուսիլ գնդակը:</v>
      </c>
      <c r="D565" s="3" t="str">
        <f>IFERROR(__xludf.DUMMYFUNCTION("GOOGLETRANSLATE(B565,""en"",""hy"")"),"Լյուսիլ Բոլը մահացել է աորտայի պատռվածքից։")</f>
        <v>Լյուսիլ Բոլը մահացել է աորտայի պատռվածքից։</v>
      </c>
    </row>
    <row r="566">
      <c r="A566" s="1" t="s">
        <v>1130</v>
      </c>
      <c r="B566" s="2" t="s">
        <v>1131</v>
      </c>
      <c r="C566" s="3" t="str">
        <f>IFERROR(__xludf.DUMMYFUNCTION("GOOGLETRANSLATE(A566,""en"",""hy"")"),"ինչ կրոն էր Ջոն Քենեդին:")</f>
        <v>ինչ կրոն էր Ջոն Քենեդին:</v>
      </c>
      <c r="D566" s="3" t="str">
        <f>IFERROR(__xludf.DUMMYFUNCTION("GOOGLETRANSLATE(B566,""en"",""hy"")"),"Ջոն Քենեդին հռոմեական կաթոլիկ էր։")</f>
        <v>Ջոն Քենեդին հռոմեական կաթոլիկ էր։</v>
      </c>
    </row>
    <row r="567">
      <c r="A567" s="1" t="s">
        <v>1132</v>
      </c>
      <c r="B567" s="2" t="s">
        <v>1133</v>
      </c>
      <c r="C567" s="3" t="str">
        <f>IFERROR(__xludf.DUMMYFUNCTION("GOOGLETRANSLATE(A567,""en"",""hy"")"),"որտեղ էր երկրաշարժը Չիլիում 2010 թ.")</f>
        <v>որտեղ էր երկրաշարժը Չիլիում 2010 թ.</v>
      </c>
      <c r="D567" s="3" t="str">
        <f>IFERROR(__xludf.DUMMYFUNCTION("GOOGLETRANSLATE(B567,""en"",""hy"")"),"2010 թվականին Չիլիի երկրաշարժը հիմնականում տեղի է ունեցել Մաուլե շրջանում։")</f>
        <v>2010 թվականին Չիլիի երկրաշարժը հիմնականում տեղի է ունեցել Մաուլե շրջանում։</v>
      </c>
    </row>
    <row r="568">
      <c r="A568" s="1" t="s">
        <v>1134</v>
      </c>
      <c r="B568" s="2" t="s">
        <v>1135</v>
      </c>
      <c r="C568" s="3" t="str">
        <f>IFERROR(__xludf.DUMMYFUNCTION("GOOGLETRANSLATE(A568,""en"",""hy"")"),"ի՞նչ ոճով է զբաղվում Էնդի Ուորհոլը:")</f>
        <v>ի՞նչ ոճով է զբաղվում Էնդի Ուորհոլը:</v>
      </c>
      <c r="D568" s="3" t="str">
        <f>IFERROR(__xludf.DUMMYFUNCTION("GOOGLETRANSLATE(B568,""en"",""hy"")"),"Փոփ արտ.")</f>
        <v>Փոփ արտ.</v>
      </c>
    </row>
    <row r="569">
      <c r="A569" s="1" t="s">
        <v>1136</v>
      </c>
      <c r="B569" s="2" t="s">
        <v>1137</v>
      </c>
      <c r="C569" s="3" t="str">
        <f>IFERROR(__xludf.DUMMYFUNCTION("GOOGLETRANSLATE(A569,""en"",""hy"")"),"ինչ ֆիլմեր է նկարել Ռոն Հովարդը:")</f>
        <v>ինչ ֆիլմեր է նկարել Ռոն Հովարդը:</v>
      </c>
      <c r="D569" s="3" t="str">
        <f>IFERROR(__xludf.DUMMYFUNCTION("GOOGLETRANSLATE(B569,""en"",""hy"")"),"Ռոն Հովարդը նկարահանել է այնպիսի ֆիլմեր, ինչպիսիք են «Ապոլոն 13», «Գեղեցիկ միտք» և «Դա Վինչիի ծածկագիրը»։")</f>
        <v>Ռոն Հովարդը նկարահանել է այնպիսի ֆիլմեր, ինչպիսիք են «Ապոլոն 13», «Գեղեցիկ միտք» և «Դա Վինչիի ծածկագիրը»։</v>
      </c>
    </row>
    <row r="570">
      <c r="A570" s="1" t="s">
        <v>1138</v>
      </c>
      <c r="B570" s="2" t="s">
        <v>1139</v>
      </c>
      <c r="C570" s="3" t="str">
        <f>IFERROR(__xludf.DUMMYFUNCTION("GOOGLETRANSLATE(A570,""en"",""hy"")"),"ո՞ր շրջանն է Շառլոտը Հյուսիսային Կարոլինան:")</f>
        <v>ո՞ր շրջանն է Շառլոտը Հյուսիսային Կարոլինան:</v>
      </c>
      <c r="D570" s="3" t="str">
        <f>IFERROR(__xludf.DUMMYFUNCTION("GOOGLETRANSLATE(B570,""en"",""hy"")"),"Մեկլենբուրգ շրջան.")</f>
        <v>Մեկլենբուրգ շրջան.</v>
      </c>
    </row>
    <row r="571">
      <c r="A571" s="1" t="s">
        <v>1140</v>
      </c>
      <c r="B571" s="2" t="s">
        <v>1141</v>
      </c>
      <c r="C571" s="3" t="str">
        <f>IFERROR(__xludf.DUMMYFUNCTION("GOOGLETRANSLATE(A571,""en"",""hy"")"),"ինչպիսի՞ կառավարման և տնտեսական համակարգ ունի Միացյալ Նահանգները:")</f>
        <v>ինչպիսի՞ կառավարման և տնտեսական համակարգ ունի Միացյալ Նահանգները:</v>
      </c>
      <c r="D571" s="3" t="str">
        <f>IFERROR(__xludf.DUMMYFUNCTION("GOOGLETRANSLATE(B571,""en"",""hy"")"),"Միացյալ Նահանգները որպես կառավարման ձև ունի ներկայացուցչական ժողովրդավարություն և խառը տնտեսական համակարգ:")</f>
        <v>Միացյալ Նահանգները որպես կառավարման ձև ունի ներկայացուցչական ժողովրդավարություն և խառը տնտեսական համակարգ:</v>
      </c>
    </row>
    <row r="572">
      <c r="A572" s="1" t="s">
        <v>1142</v>
      </c>
      <c r="B572" s="2" t="s">
        <v>1143</v>
      </c>
      <c r="C572" s="3" t="str">
        <f>IFERROR(__xludf.DUMMYFUNCTION("GOOGLETRANSLATE(A572,""en"",""hy"")"),"ով է Միշել Օբաման")</f>
        <v>ով է Միշել Օբաման</v>
      </c>
      <c r="D572" s="3" t="str">
        <f>IFERROR(__xludf.DUMMYFUNCTION("GOOGLETRANSLATE(B572,""en"",""hy"")"),"Միշել Օբաման իրավաբան, գրող և Միացյալ Նահանգների նախկին առաջին տիկին է, ամուսնացած է նախկին նախագահ Բարաք Օբամայի հետ:")</f>
        <v>Միշել Օբաման իրավաբան, գրող և Միացյալ Նահանգների նախկին առաջին տիկին է, ամուսնացած է նախկին նախագահ Բարաք Օբամայի հետ:</v>
      </c>
    </row>
    <row r="573">
      <c r="A573" s="1" t="s">
        <v>1144</v>
      </c>
      <c r="B573" s="2" t="s">
        <v>1145</v>
      </c>
      <c r="C573" s="3" t="str">
        <f>IFERROR(__xludf.DUMMYFUNCTION("GOOGLETRANSLATE(A573,""en"",""hy"")"),"որտե՞ղ գնաց Քեյթ Միդլթոնը նախապատրաստական ​​դպրոց:")</f>
        <v>որտե՞ղ գնաց Քեյթ Միդլթոնը նախապատրաստական ​​դպրոց:</v>
      </c>
      <c r="D573" s="3" t="str">
        <f>IFERROR(__xludf.DUMMYFUNCTION("GOOGLETRANSLATE(B573,""en"",""hy"")"),"Քեյթ Միդլթոնը գնաց Մարլբորո քոլեջ՝ նախապատրաստական ​​դպրոցի համար:")</f>
        <v>Քեյթ Միդլթոնը գնաց Մարլբորո քոլեջ՝ նախապատրաստական ​​դպրոցի համար:</v>
      </c>
    </row>
    <row r="574">
      <c r="A574" s="1" t="s">
        <v>1146</v>
      </c>
      <c r="B574" s="2" t="s">
        <v>1147</v>
      </c>
      <c r="C574" s="3" t="str">
        <f>IFERROR(__xludf.DUMMYFUNCTION("GOOGLETRANSLATE(A574,""en"",""hy"")"),"ինչպիսի՞ կառավարություն ունի այսօր Նիգերիան:")</f>
        <v>ինչպիսի՞ կառավարություն ունի այսօր Նիգերիան:</v>
      </c>
      <c r="D574" s="3" t="str">
        <f>IFERROR(__xludf.DUMMYFUNCTION("GOOGLETRANSLATE(B574,""en"",""hy"")"),"Նիգերիան ունի դաշնային նախագահական ներկայացուցչական դեմոկրատական ​​հանրապետություն:")</f>
        <v>Նիգերիան ունի դաշնային նախագահական ներկայացուցչական դեմոկրատական ​​հանրապետություն:</v>
      </c>
    </row>
    <row r="575">
      <c r="A575" s="1" t="s">
        <v>1148</v>
      </c>
      <c r="B575" s="2" t="s">
        <v>1149</v>
      </c>
      <c r="C575" s="3" t="str">
        <f>IFERROR(__xludf.DUMMYFUNCTION("GOOGLETRANSLATE(A575,""en"",""hy"")"),"Ի՞նչ հայտնաբերեց Հանս Էրսթեդը 1819 թ.")</f>
        <v>Ի՞նչ հայտնաբերեց Հանս Էրսթեդը 1819 թ.</v>
      </c>
      <c r="D575" s="3" t="str">
        <f>IFERROR(__xludf.DUMMYFUNCTION("GOOGLETRANSLATE(B575,""en"",""hy"")"),"Հանս Էրսթեդը հայտնաբերեց էլեկտրամագնիսականությունը 1819 թ.")</f>
        <v>Հանս Էրսթեդը հայտնաբերեց էլեկտրամագնիսականությունը 1819 թ.</v>
      </c>
    </row>
    <row r="576">
      <c r="A576" s="1" t="s">
        <v>1150</v>
      </c>
      <c r="B576" s="2" t="s">
        <v>1151</v>
      </c>
      <c r="C576" s="3" t="str">
        <f>IFERROR(__xludf.DUMMYFUNCTION("GOOGLETRANSLATE(A576,""en"",""hy"")"),"ո՞րն է Հարրի Փոթերի առաջին գիրքը:")</f>
        <v>ո՞րն է Հարրի Փոթերի առաջին գիրքը:</v>
      </c>
      <c r="D576" s="3" t="str">
        <f>IFERROR(__xludf.DUMMYFUNCTION("GOOGLETRANSLATE(B576,""en"",""hy"")"),"Հարրի Փոթերի առաջին գիրքը «Հարրի Փոթերը և փիլիսոփայական քարը» (կամ «Հարի Փոթերը և կախարդի քարը» ԱՄՆ-ում) է։")</f>
        <v>Հարրի Փոթերի առաջին գիրքը «Հարրի Փոթերը և փիլիսոփայական քարը» (կամ «Հարի Փոթերը և կախարդի քարը» ԱՄՆ-ում) է։</v>
      </c>
    </row>
    <row r="577">
      <c r="A577" s="1" t="s">
        <v>1152</v>
      </c>
      <c r="B577" s="2" t="s">
        <v>1153</v>
      </c>
      <c r="C577" s="3" t="str">
        <f>IFERROR(__xludf.DUMMYFUNCTION("GOOGLETRANSLATE(A577,""en"",""hy"")"),"Ի՞նչ է անվանել Քորթնի Քարդաշյանն իր դստերը.")</f>
        <v>Ի՞նչ է անվանել Քորթնի Քարդաշյանն իր դստերը.</v>
      </c>
      <c r="D577" s="3" t="str">
        <f>IFERROR(__xludf.DUMMYFUNCTION("GOOGLETRANSLATE(B577,""en"",""hy"")"),"Քորթնի Քարդաշյանն իր դստերն անվանել է Պենելոպա։")</f>
        <v>Քորթնի Քարդաշյանն իր դստերն անվանել է Պենելոպա։</v>
      </c>
    </row>
    <row r="578">
      <c r="A578" s="1" t="s">
        <v>1154</v>
      </c>
      <c r="B578" s="2" t="s">
        <v>1155</v>
      </c>
      <c r="C578" s="3" t="str">
        <f>IFERROR(__xludf.DUMMYFUNCTION("GOOGLETRANSLATE(A578,""en"",""hy"")"),"Ե՞րբ են առյուծները վերջին անգամ հաղթել շնորհակալության խաղը:")</f>
        <v>Ե՞րբ են առյուծները վերջին անգամ հաղթել շնորհակալության խաղը:</v>
      </c>
      <c r="D578" s="3" t="str">
        <f>IFERROR(__xludf.DUMMYFUNCTION("GOOGLETRANSLATE(B578,""en"",""hy"")"),"«Առյուծները» վերջին անգամ Գոհաբանության օրվա խաղում հաղթել են 2016 թվականին:")</f>
        <v>«Առյուծները» վերջին անգամ Գոհաբանության օրվա խաղում հաղթել են 2016 թվականին:</v>
      </c>
    </row>
    <row r="579">
      <c r="A579" s="1" t="s">
        <v>1156</v>
      </c>
      <c r="B579" s="2" t="s">
        <v>1157</v>
      </c>
      <c r="C579" s="3" t="str">
        <f>IFERROR(__xludf.DUMMYFUNCTION("GOOGLETRANSLATE(A579,""en"",""hy"")"),"ինչպիսի՞ կառավարություն ունի այսօր Չիլին:")</f>
        <v>ինչպիսի՞ կառավարություն ունի այսօր Չիլին:</v>
      </c>
      <c r="D579" s="3" t="str">
        <f>IFERROR(__xludf.DUMMYFUNCTION("GOOGLETRANSLATE(B579,""en"",""hy"")"),"Չիլին այսօր ունի նախագահական հանրապետական ​​կառավարման ձև:")</f>
        <v>Չիլին այսօր ունի նախագահական հանրապետական ​​կառավարման ձև:</v>
      </c>
    </row>
    <row r="580">
      <c r="A580" s="1" t="s">
        <v>1158</v>
      </c>
      <c r="B580" s="2" t="s">
        <v>1159</v>
      </c>
      <c r="C580" s="3" t="str">
        <f>IFERROR(__xludf.DUMMYFUNCTION("GOOGLETRANSLATE(A580,""en"",""hy"")"),"որտեղ է մահացել Ռիչարդ Արքռայթը")</f>
        <v>որտեղ է մահացել Ռիչարդ Արքռայթը</v>
      </c>
      <c r="D580" s="3" t="str">
        <f>IFERROR(__xludf.DUMMYFUNCTION("GOOGLETRANSLATE(B580,""en"",""hy"")"),"Ռիչարդ Արքրայթը մահացել է Քրոմֆորդում, Դերբիշիր, Անգլիա:")</f>
        <v>Ռիչարդ Արքրայթը մահացել է Քրոմֆորդում, Դերբիշիր, Անգլիա:</v>
      </c>
    </row>
    <row r="581">
      <c r="A581" s="1" t="s">
        <v>1160</v>
      </c>
      <c r="B581" s="2" t="s">
        <v>1161</v>
      </c>
      <c r="C581" s="3" t="str">
        <f>IFERROR(__xludf.DUMMYFUNCTION("GOOGLETRANSLATE(A581,""en"",""hy"")"),"Ո՞վ է խաղացել Լյուկ Սքայվոքերին աստղային պատերազմների 4-րդ սերիայում:")</f>
        <v>Ո՞վ է խաղացել Լյուկ Սքայվոքերին աստղային պատերազմների 4-րդ սերիայում:</v>
      </c>
      <c r="D581" s="3" t="str">
        <f>IFERROR(__xludf.DUMMYFUNCTION("GOOGLETRANSLATE(B581,""en"",""hy"")"),"Մարկ Հեմիլ.")</f>
        <v>Մարկ Հեմիլ.</v>
      </c>
    </row>
    <row r="582">
      <c r="A582" s="1" t="s">
        <v>1162</v>
      </c>
      <c r="B582" s="2" t="s">
        <v>1163</v>
      </c>
      <c r="C582" s="3" t="str">
        <f>IFERROR(__xludf.DUMMYFUNCTION("GOOGLETRANSLATE(A582,""en"",""hy"")"),"ինչ ֆիլմեր ունի Թեյլոր Լոթները")</f>
        <v>ինչ ֆիլմեր ունի Թեյլոր Լոթները</v>
      </c>
      <c r="D582" s="3" t="str">
        <f>IFERROR(__xludf.DUMMYFUNCTION("GOOGLETRANSLATE(B582,""en"",""hy"")"),"Թեյլոր Լոթները նկարահանվել է այնպիսի ֆիլմերում, ինչպիսիք են «Մթնշաղ», «Առևանգում» և «Շարկբոյի և լավաղջիկի արկածները 3-D-ում»։")</f>
        <v>Թեյլոր Լոթները նկարահանվել է այնպիսի ֆիլմերում, ինչպիսիք են «Մթնշաղ», «Առևանգում» և «Շարկբոյի և լավաղջիկի արկածները 3-D-ում»։</v>
      </c>
    </row>
    <row r="583">
      <c r="A583" s="1" t="s">
        <v>1164</v>
      </c>
      <c r="B583" s="2" t="s">
        <v>1165</v>
      </c>
      <c r="C583" s="3" t="str">
        <f>IFERROR(__xludf.DUMMYFUNCTION("GOOGLETRANSLATE(A583,""en"",""hy"")"),"որտեղ է խաղում Սեմ Բրեդֆորդը")</f>
        <v>որտեղ է խաղում Սեմ Բրեդֆորդը</v>
      </c>
      <c r="D583" s="3" t="str">
        <f>IFERROR(__xludf.DUMMYFUNCTION("GOOGLETRANSLATE(B583,""en"",""hy"")"),"Սեմ Բրեդֆորդը NFL-ում խաղում է որպես քառորդ պաշտպան։")</f>
        <v>Սեմ Բրեդֆորդը NFL-ում խաղում է որպես քառորդ պաշտպան։</v>
      </c>
    </row>
    <row r="584">
      <c r="A584" s="1" t="s">
        <v>1166</v>
      </c>
      <c r="B584" s="2" t="s">
        <v>1167</v>
      </c>
      <c r="C584" s="3" t="str">
        <f>IFERROR(__xludf.DUMMYFUNCTION("GOOGLETRANSLATE(A584,""en"",""hy"")"),"որտեղ է առաջացել Վիետնամը:")</f>
        <v>որտեղ է առաջացել Վիետնամը:</v>
      </c>
      <c r="D584" s="3" t="str">
        <f>IFERROR(__xludf.DUMMYFUNCTION("GOOGLETRANSLATE(B584,""en"",""hy"")"),"Վիետնամը ծագել է Հարավարևելյան Ասիայում:")</f>
        <v>Վիետնամը ծագել է Հարավարևելյան Ասիայում:</v>
      </c>
    </row>
    <row r="585">
      <c r="A585" s="1" t="s">
        <v>1168</v>
      </c>
      <c r="B585" s="2" t="s">
        <v>1169</v>
      </c>
      <c r="C585" s="3" t="str">
        <f>IFERROR(__xludf.DUMMYFUNCTION("GOOGLETRANSLATE(A585,""en"",""hy"")"),"ինչպես է կոչվել Ավստրալիայում առաջին թերթը:")</f>
        <v>ինչպես է կոչվել Ավստրալիայում առաջին թերթը:</v>
      </c>
      <c r="D585" s="3" t="str">
        <f>IFERROR(__xludf.DUMMYFUNCTION("GOOGLETRANSLATE(B585,""en"",""hy"")"),"Ավստրալիայի առաջին թերթը կոչվում էր Sydney Gazette և New South Wales Advertiser:")</f>
        <v>Ավստրալիայի առաջին թերթը կոչվում էր Sydney Gazette և New South Wales Advertiser:</v>
      </c>
    </row>
    <row r="586">
      <c r="A586" s="1" t="s">
        <v>1170</v>
      </c>
      <c r="B586" s="2" t="s">
        <v>1171</v>
      </c>
      <c r="C586" s="3" t="str">
        <f>IFERROR(__xludf.DUMMYFUNCTION("GOOGLETRANSLATE(A586,""en"",""hy"")"),"որտեղ է անցկացվել hackney 2012-ը:")</f>
        <v>որտեղ է անցկացվել hackney 2012-ը:</v>
      </c>
      <c r="D586" s="3" t="str">
        <f>IFERROR(__xludf.DUMMYFUNCTION("GOOGLETRANSLATE(B586,""en"",""hy"")"),"Hackney 2012-ն անցկացվել է Անգլիայի Հեքնիի Լոնդոնի թաղամասում:")</f>
        <v>Hackney 2012-ն անցկացվել է Անգլիայի Հեքնիի Լոնդոնի թաղամասում:</v>
      </c>
    </row>
    <row r="587">
      <c r="A587" s="1" t="s">
        <v>1172</v>
      </c>
      <c r="B587" s="2" t="s">
        <v>1173</v>
      </c>
      <c r="C587" s="3" t="str">
        <f>IFERROR(__xludf.DUMMYFUNCTION("GOOGLETRANSLATE(A587,""en"",""hy"")"),"որտեղ է Սենտ Լուիս Ռամսը ֆուտբոլ խաղում:")</f>
        <v>որտեղ է Սենտ Լուիս Ռամսը ֆուտբոլ խաղում:</v>
      </c>
      <c r="D587" s="3" t="str">
        <f>IFERROR(__xludf.DUMMYFUNCTION("GOOGLETRANSLATE(B587,""en"",""hy"")"),"Սենթ Լուիս Ռամսը ֆուտբոլ է խաղում Ամերիկայի կենտրոնում գտնվող Dome-ում:")</f>
        <v>Սենթ Լուիս Ռամսը ֆուտբոլ է խաղում Ամերիկայի կենտրոնում գտնվող Dome-ում:</v>
      </c>
    </row>
    <row r="588">
      <c r="A588" s="1" t="s">
        <v>1174</v>
      </c>
      <c r="B588" s="2" t="s">
        <v>1175</v>
      </c>
      <c r="C588" s="3" t="str">
        <f>IFERROR(__xludf.DUMMYFUNCTION("GOOGLETRANSLATE(A588,""en"",""hy"")"),"Ո՞ր տարում է Սքոթի Պիպենը մտել nba:")</f>
        <v>Ո՞ր տարում է Սքոթի Պիպենը մտել nba:</v>
      </c>
      <c r="D588" s="3" t="str">
        <f>IFERROR(__xludf.DUMMYFUNCTION("GOOGLETRANSLATE(B588,""en"",""hy"")"),"Սքոթի Պիպենը NBA է մտել 1987 թվականին։")</f>
        <v>Սքոթի Պիպենը NBA է մտել 1987 թվականին։</v>
      </c>
    </row>
    <row r="589">
      <c r="A589" s="1" t="s">
        <v>1176</v>
      </c>
      <c r="B589" s="2" t="s">
        <v>1177</v>
      </c>
      <c r="C589" s="3" t="str">
        <f>IFERROR(__xludf.DUMMYFUNCTION("GOOGLETRANSLATE(A589,""en"",""hy"")"),"որտե՞ղ ես, եթե Զագրեբում ես:")</f>
        <v>որտե՞ղ ես, եթե Զագրեբում ես:</v>
      </c>
      <c r="D589" s="3" t="str">
        <f>IFERROR(__xludf.DUMMYFUNCTION("GOOGLETRANSLATE(B589,""en"",""hy"")"),"Եթե ​​դուք Զագրեբում եք, ապա Խորվաթիայի մայրաքաղաքում եք:")</f>
        <v>Եթե ​​դուք Զագրեբում եք, ապա Խորվաթիայի մայրաքաղաքում եք:</v>
      </c>
    </row>
    <row r="590">
      <c r="A590" s="1" t="s">
        <v>1178</v>
      </c>
      <c r="B590" s="2" t="s">
        <v>1179</v>
      </c>
      <c r="C590" s="3" t="str">
        <f>IFERROR(__xludf.DUMMYFUNCTION("GOOGLETRANSLATE(A590,""en"",""hy"")"),"Ո՞ր երկիրն է ամենաշատը հաղթել կրիկետի աշխարհի գավաթը:")</f>
        <v>Ո՞ր երկիրն է ամենաշատը հաղթել կրիկետի աշխարհի գավաթը:</v>
      </c>
      <c r="D590" s="3" t="str">
        <f>IFERROR(__xludf.DUMMYFUNCTION("GOOGLETRANSLATE(B590,""en"",""hy"")"),"Ավստրալիան ամենաշատը հաղթել է կրիկետի աշխարհի գավաթում՝ ընդհանուր 5 հաղթանակով։")</f>
        <v>Ավստրալիան ամենաշատը հաղթել է կրիկետի աշխարհի գավաթում՝ ընդհանուր 5 հաղթանակով։</v>
      </c>
    </row>
    <row r="591">
      <c r="A591" s="1" t="s">
        <v>1180</v>
      </c>
      <c r="B591" s="2" t="s">
        <v>1181</v>
      </c>
      <c r="C591" s="3" t="str">
        <f>IFERROR(__xludf.DUMMYFUNCTION("GOOGLETRANSLATE(A591,""en"",""hy"")"),"Ո՞ր քաղաքում է ծնվել Սելենա Գոմեսը.")</f>
        <v>Ո՞ր քաղաքում է ծնվել Սելենա Գոմեսը.</v>
      </c>
      <c r="D591" s="3" t="str">
        <f>IFERROR(__xludf.DUMMYFUNCTION("GOOGLETRANSLATE(B591,""en"",""hy"")"),"Սելենա Գոմեսը ծնվել է Տեխաս նահանգի Գրանդ Պրեյրի քաղաքում։")</f>
        <v>Սելենա Գոմեսը ծնվել է Տեխաս նահանգի Գրանդ Պրեյրի քաղաքում։</v>
      </c>
    </row>
    <row r="592">
      <c r="A592" s="1" t="s">
        <v>1182</v>
      </c>
      <c r="B592" s="2" t="s">
        <v>1183</v>
      </c>
      <c r="C592" s="3" t="str">
        <f>IFERROR(__xludf.DUMMYFUNCTION("GOOGLETRANSLATE(A592,""en"",""hy"")"),"Ո՞վ է խաղում Դոմինիկ Մոնաղանը ռինգերի տիրակալում:")</f>
        <v>Ո՞վ է խաղում Դոմինիկ Մոնաղանը ռինգերի տիրակալում:</v>
      </c>
      <c r="D592" s="3" t="str">
        <f>IFERROR(__xludf.DUMMYFUNCTION("GOOGLETRANSLATE(B592,""en"",""hy"")"),"Դոմինիկ Մոնագանը «Մատանիների տիրակալը» եռերգության մեջ մարմնավորում է Մերի Բրենդիբաքի կերպարը։")</f>
        <v>Դոմինիկ Մոնագանը «Մատանիների տիրակալը» եռերգության մեջ մարմնավորում է Մերի Բրենդիբաքի կերպարը։</v>
      </c>
    </row>
    <row r="593">
      <c r="A593" s="1" t="s">
        <v>1184</v>
      </c>
      <c r="B593" s="2" t="s">
        <v>1185</v>
      </c>
      <c r="C593" s="3" t="str">
        <f>IFERROR(__xludf.DUMMYFUNCTION("GOOGLETRANSLATE(A593,""en"",""hy"")"),"Ո՞ր երկրին է հարավային Աֆրիկան ​​սահմանակից 2 հյուսիսին:")</f>
        <v>Ո՞ր երկրին է հարավային Աֆրիկան ​​սահմանակից 2 հյուսիսին:</v>
      </c>
      <c r="D593" s="3" t="str">
        <f>IFERROR(__xludf.DUMMYFUNCTION("GOOGLETRANSLATE(B593,""en"",""hy"")"),"Հարավային Աֆրիկան ​​հյուսիսից սահմանակից է Նամիբիային:")</f>
        <v>Հարավային Աֆրիկան ​​հյուսիսից սահմանակից է Նամիբիային:</v>
      </c>
    </row>
    <row r="594">
      <c r="A594" s="1" t="s">
        <v>1186</v>
      </c>
      <c r="B594" s="2" t="s">
        <v>1187</v>
      </c>
      <c r="C594" s="3" t="str">
        <f>IFERROR(__xludf.DUMMYFUNCTION("GOOGLETRANSLATE(A594,""en"",""hy"")"),"ով է երգել Pink floyd-ի համար")</f>
        <v>ով է երգել Pink floyd-ի համար</v>
      </c>
      <c r="D594" s="3" t="str">
        <f>IFERROR(__xludf.DUMMYFUNCTION("GOOGLETRANSLATE(B594,""en"",""hy"")"),"Ռոջեր Ուոթերսը, Դեյվիդ Գիլմուրը, Սիդ Բարեթը և Ռիչարդ Ռայթը տարբեր ժամանակներում երգել են Pink Floyd-ի համար:")</f>
        <v>Ռոջեր Ուոթերսը, Դեյվիդ Գիլմուրը, Սիդ Բարեթը և Ռիչարդ Ռայթը տարբեր ժամանակներում երգել են Pink Floyd-ի համար:</v>
      </c>
    </row>
    <row r="595">
      <c r="A595" s="1" t="s">
        <v>1188</v>
      </c>
      <c r="B595" s="2" t="s">
        <v>1189</v>
      </c>
      <c r="C595" s="3" t="str">
        <f>IFERROR(__xludf.DUMMYFUNCTION("GOOGLETRANSLATE(A595,""en"",""hy"")"),"Ո՞վ է խաղացել Ջոն Քոնորի ընկերոջ դերը տերմինատոր 2-ում:")</f>
        <v>Ո՞վ է խաղացել Ջոն Քոնորի ընկերոջ դերը տերմինատոր 2-ում:</v>
      </c>
      <c r="D595" s="3" t="str">
        <f>IFERROR(__xludf.DUMMYFUNCTION("GOOGLETRANSLATE(B595,""en"",""hy"")"),"Էդվարդ Ֆերլոնգ.")</f>
        <v>Էդվարդ Ֆերլոնգ.</v>
      </c>
    </row>
    <row r="596">
      <c r="A596" s="1" t="s">
        <v>1190</v>
      </c>
      <c r="B596" s="2" t="s">
        <v>1191</v>
      </c>
      <c r="C596" s="3" t="str">
        <f>IFERROR(__xludf.DUMMYFUNCTION("GOOGLETRANSLATE(A596,""en"",""hy"")"),"ո՞րն է այժմ Նիգերիայի Լագոսում:")</f>
        <v>ո՞րն է այժմ Նիգերիայի Լագոսում:</v>
      </c>
      <c r="D596" s="3" t="str">
        <f>IFERROR(__xludf.DUMMYFUNCTION("GOOGLETRANSLATE(B596,""en"",""hy"")"),"Ներեցեք, ես այս պահին ի վիճակի չեմ իրական ժամանակում տեղեկատվություն տրամադրել:")</f>
        <v>Ներեցեք, ես այս պահին ի վիճակի չեմ իրական ժամանակում տեղեկատվություն տրամադրել:</v>
      </c>
    </row>
    <row r="597">
      <c r="A597" s="1" t="s">
        <v>1192</v>
      </c>
      <c r="B597" s="2" t="s">
        <v>1193</v>
      </c>
      <c r="C597" s="3" t="str">
        <f>IFERROR(__xludf.DUMMYFUNCTION("GOOGLETRANSLATE(A597,""en"",""hy"")"),"ի՞նչ շոուներ է արտադրել Հենրի Ուինքլերը:")</f>
        <v>ի՞նչ շոուներ է արտադրել Հենրի Ուինքլերը:</v>
      </c>
      <c r="D597" s="3" t="str">
        <f>IFERROR(__xludf.DUMMYFUNCTION("GOOGLETRANSLATE(B597,""en"",""hy"")"),"Հենրի Ուինքլերը մի քանի շոուներ է արտադրել, այդ թվում՝ «MacGyver», «Hollywood Squares» և «Dead Man's Gun»:")</f>
        <v>Հենրի Ուինքլերը մի քանի շոուներ է արտադրել, այդ թվում՝ «MacGyver», «Hollywood Squares» և «Dead Man's Gun»:</v>
      </c>
    </row>
    <row r="598">
      <c r="A598" s="1" t="s">
        <v>1194</v>
      </c>
      <c r="B598" s="2" t="s">
        <v>1195</v>
      </c>
      <c r="C598" s="3" t="str">
        <f>IFERROR(__xludf.DUMMYFUNCTION("GOOGLETRANSLATE(A598,""en"",""hy"")"),"Ո՞ր նահանգում է հիմնադրվել Texaco gas-ը:")</f>
        <v>Ո՞ր նահանգում է հիմնադրվել Texaco gas-ը:</v>
      </c>
      <c r="D598" s="3" t="str">
        <f>IFERROR(__xludf.DUMMYFUNCTION("GOOGLETRANSLATE(B598,""en"",""hy"")"),"Texaco gas-ը հիմնադրվել է Տեխաս նահանգում։")</f>
        <v>Texaco gas-ը հիմնադրվել է Տեխաս նահանգում։</v>
      </c>
    </row>
    <row r="599">
      <c r="A599" s="1" t="s">
        <v>1196</v>
      </c>
      <c r="B599" s="2" t="s">
        <v>1197</v>
      </c>
      <c r="C599" s="3" t="str">
        <f>IFERROR(__xludf.DUMMYFUNCTION("GOOGLETRANSLATE(A599,""en"",""hy"")"),"ո՞րն է չինական և 3 այլ բարբառների պաշտոնական լեզուն:")</f>
        <v>ո՞րն է չինական և 3 այլ բարբառների պաշտոնական լեզուն:</v>
      </c>
      <c r="D599" s="3" t="str">
        <f>IFERROR(__xludf.DUMMYFUNCTION("GOOGLETRANSLATE(B599,""en"",""hy"")"),"Չինաստանի պաշտոնական լեզուն ստանդարտ մանդարինն է, և երեք այլ ընդհանուր խոսակցական բարբառներ կանտոներեն, շանհայերեն և հոկիեն են:")</f>
        <v>Չինաստանի պաշտոնական լեզուն ստանդարտ մանդարինն է, և երեք այլ ընդհանուր խոսակցական բարբառներ կանտոներեն, շանհայերեն և հոկիեն են:</v>
      </c>
    </row>
    <row r="600">
      <c r="A600" s="1" t="s">
        <v>1198</v>
      </c>
      <c r="B600" s="2" t="s">
        <v>1199</v>
      </c>
      <c r="C600" s="3" t="str">
        <f>IFERROR(__xludf.DUMMYFUNCTION("GOOGLETRANSLATE(A600,""en"",""hy"")"),"ով է Կոնեկտիկուտ 2010-ի սենատորը:")</f>
        <v>ով է Կոնեկտիկուտ 2010-ի սենատորը:</v>
      </c>
      <c r="D600" s="3" t="str">
        <f>IFERROR(__xludf.DUMMYFUNCTION("GOOGLETRANSLATE(B600,""en"",""hy"")"),"Կոնեկտիկուտի սենատորը 2010 թվականին Ռիչարդ Բլումենտալն էր։")</f>
        <v>Կոնեկտիկուտի սենատորը 2010 թվականին Ռիչարդ Բլումենտալն էր։</v>
      </c>
    </row>
    <row r="601">
      <c r="A601" s="1" t="s">
        <v>1200</v>
      </c>
      <c r="B601" s="2" t="s">
        <v>1201</v>
      </c>
      <c r="C601" s="3" t="str">
        <f>IFERROR(__xludf.DUMMYFUNCTION("GOOGLETRANSLATE(A601,""en"",""hy"")"),"ե՞րբ են վերջին անգամ դալասի կովբոյները գնացել սուպեր գավաթ:")</f>
        <v>ե՞րբ են վերջին անգամ դալասի կովբոյները գնացել սուպեր գավաթ:</v>
      </c>
      <c r="D601" s="3" t="str">
        <f>IFERROR(__xludf.DUMMYFUNCTION("GOOGLETRANSLATE(B601,""en"",""hy"")"),"Դալլաս Կովբոյզը վերջին անգամ սուպերբոուլ է գնացել 1995 թվականին:")</f>
        <v>Դալլաս Կովբոյզը վերջին անգամ սուպերբոուլ է գնացել 1995 թվականին:</v>
      </c>
    </row>
    <row r="602">
      <c r="A602" s="1" t="s">
        <v>1202</v>
      </c>
      <c r="B602" s="2" t="s">
        <v>1203</v>
      </c>
      <c r="C602" s="3" t="str">
        <f>IFERROR(__xludf.DUMMYFUNCTION("GOOGLETRANSLATE(A602,""en"",""hy"")"),"ո՞ր դրվագն է մարում ռուկիան:")</f>
        <v>ո՞ր դրվագն է մարում ռուկիան:</v>
      </c>
      <c r="D602" s="3" t="str">
        <f>IFERROR(__xludf.DUMMYFUNCTION("GOOGLETRANSLATE(B602,""en"",""hy"")"),"Ռուկիան չի մարում անիմեի ոչ մի դրվագում։")</f>
        <v>Ռուկիան չի մարում անիմեի ոչ մի դրվագում։</v>
      </c>
    </row>
    <row r="603">
      <c r="A603" s="1" t="s">
        <v>1204</v>
      </c>
      <c r="B603" s="2" t="s">
        <v>1205</v>
      </c>
      <c r="C603" s="3" t="str">
        <f>IFERROR(__xludf.DUMMYFUNCTION("GOOGLETRANSLATE(A603,""en"",""hy"")"),"ինչ է Բրազիլիայի ժամային գոտին:")</f>
        <v>ինչ է Բրազիլիայի ժամային գոտին:</v>
      </c>
      <c r="D603" s="3" t="str">
        <f>IFERROR(__xludf.DUMMYFUNCTION("GOOGLETRANSLATE(B603,""en"",""hy"")"),"Բրազիլիան գտնվում է չորս տարբեր ժամային գոտիներում՝ Բրազիլիա ժամանակ (BRT) երկրի մեծ մասում, Amazon Time (AMT) երկրի արևմտյան մասում, Ֆերնանդո դե Նորոնյա ժամանակ (FNT) Ֆերնանդո դե Նորոնյա արշիպելագում և Բրազիլիա ամառ։ Ժամը (BRST) ամառային ժամանակի ընթացքո"&amp;"ւմ:")</f>
        <v>Բրազիլիան գտնվում է չորս տարբեր ժամային գոտիներում՝ Բրազիլիա ժամանակ (BRT) երկրի մեծ մասում, Amazon Time (AMT) երկրի արևմտյան մասում, Ֆերնանդո դե Նորոնյա ժամանակ (FNT) Ֆերնանդո դե Նորոնյա արշիպելագում և Բրազիլիա ամառ։ Ժամը (BRST) ամառային ժամանակի ընթացքում:</v>
      </c>
    </row>
    <row r="604">
      <c r="A604" s="1" t="s">
        <v>1206</v>
      </c>
      <c r="B604" s="2" t="s">
        <v>1207</v>
      </c>
      <c r="C604" s="3" t="str">
        <f>IFERROR(__xludf.DUMMYFUNCTION("GOOGLETRANSLATE(A604,""en"",""hy"")"),"ով է գրել Հովհաննես 3 16-ը Աստվածաշնչում:")</f>
        <v>ով է գրել Հովհաննես 3 16-ը Աստվածաշնչում:</v>
      </c>
      <c r="D604" s="3" t="str">
        <f>IFERROR(__xludf.DUMMYFUNCTION("GOOGLETRANSLATE(B604,""en"",""hy"")"),"Աստվածաշնչում Հովհաննես 3:16-ի հեղինակը Հովհաննես առաքյալն է:")</f>
        <v>Աստվածաշնչում Հովհաննես 3:16-ի հեղինակը Հովհաննես առաքյալն է:</v>
      </c>
    </row>
    <row r="605">
      <c r="A605" s="1" t="s">
        <v>1208</v>
      </c>
      <c r="B605" s="2" t="s">
        <v>1209</v>
      </c>
      <c r="C605" s="3" t="str">
        <f>IFERROR(__xludf.DUMMYFUNCTION("GOOGLETRANSLATE(A605,""en"",""hy"")"),"ինչ են խոսում Չեխիայի Հանրապետությունում.")</f>
        <v>ինչ են խոսում Չեխիայի Հանրապետությունում.</v>
      </c>
      <c r="D605" s="3" t="str">
        <f>IFERROR(__xludf.DUMMYFUNCTION("GOOGLETRANSLATE(B605,""en"",""hy"")"),"չեխ.")</f>
        <v>չեխ.</v>
      </c>
    </row>
    <row r="606">
      <c r="A606" s="1" t="s">
        <v>1210</v>
      </c>
      <c r="B606" s="2" t="s">
        <v>1211</v>
      </c>
      <c r="C606" s="3" t="str">
        <f>IFERROR(__xludf.DUMMYFUNCTION("GOOGLETRANSLATE(A606,""en"",""hy"")"),"որտեղի՞ց սկսեց իր սկիզբը Բրունո Մարսը:")</f>
        <v>որտեղի՞ց սկսեց իր սկիզբը Բրունո Մարսը:</v>
      </c>
      <c r="D606" s="3" t="str">
        <f>IFERROR(__xludf.DUMMYFUNCTION("GOOGLETRANSLATE(B606,""en"",""hy"")"),"Բրունո Մարսն իր սկիզբը դրեց երաժշտական ​​արդյունաբերության մեջ՝ ելույթ ունենալով տարբեր վայրերում և որպես երգերի հեղինակ և պրոդյուսեր այլ արտիստների համար:")</f>
        <v>Բրունո Մարսն իր սկիզբը դրեց երաժշտական ​​արդյունաբերության մեջ՝ ելույթ ունենալով տարբեր վայրերում և որպես երգերի հեղինակ և պրոդյուսեր այլ արտիստների համար:</v>
      </c>
    </row>
    <row r="607">
      <c r="A607" s="1" t="s">
        <v>1212</v>
      </c>
      <c r="B607" s="2" t="s">
        <v>1213</v>
      </c>
      <c r="C607" s="3" t="str">
        <f>IFERROR(__xludf.DUMMYFUNCTION("GOOGLETRANSLATE(A607,""en"",""hy"")"),"ով էր tex beneke?")</f>
        <v>ով էր tex beneke?</v>
      </c>
      <c r="D607" s="3" t="str">
        <f>IFERROR(__xludf.DUMMYFUNCTION("GOOGLETRANSLATE(B607,""en"",""hy"")"),"Թեքս Բենեկեն ամերիկացի երաժիշտ և խմբի ղեկավար էր, ով առավել հայտնի էր որպես տենոր սաքսոֆոնահար և Գլեն Միլլեր նվագախմբի վոկալիստ:")</f>
        <v>Թեքս Բենեկեն ամերիկացի երաժիշտ և խմբի ղեկավար էր, ով առավել հայտնի էր որպես տենոր սաքսոֆոնահար և Գլեն Միլլեր նվագախմբի վոկալիստ:</v>
      </c>
    </row>
    <row r="608">
      <c r="A608" s="1" t="s">
        <v>1214</v>
      </c>
      <c r="B608" s="2" t="s">
        <v>1215</v>
      </c>
      <c r="C608" s="3" t="str">
        <f>IFERROR(__xludf.DUMMYFUNCTION("GOOGLETRANSLATE(A608,""en"",""hy"")"),"ի՞նչ է այն ամենը, ինչ հորինել է Թոմաս Էդիսոնը:")</f>
        <v>ի՞նչ է այն ամենը, ինչ հորինել է Թոմաս Էդիսոնը:</v>
      </c>
      <c r="D608" s="3" t="str">
        <f>IFERROR(__xludf.DUMMYFUNCTION("GOOGLETRANSLATE(B608,""en"",""hy"")"),"Թոմաս Էդիսոնը շատ բաներ է հորինել, այդ թվում՝ ֆոնոգրաֆը, կինոխցիկը և գործնական էլեկտրական լամպը։")</f>
        <v>Թոմաս Էդիսոնը շատ բաներ է հորինել, այդ թվում՝ ֆոնոգրաֆը, կինոխցիկը և գործնական էլեկտրական լամպը։</v>
      </c>
    </row>
    <row r="609">
      <c r="A609" s="1" t="s">
        <v>1216</v>
      </c>
      <c r="B609" s="2" t="s">
        <v>1217</v>
      </c>
      <c r="C609" s="3" t="str">
        <f>IFERROR(__xludf.DUMMYFUNCTION("GOOGLETRANSLATE(A609,""en"",""hy"")"),"ինչ է խոսում Ալբանիան")</f>
        <v>ինչ է խոսում Ալբանիան</v>
      </c>
      <c r="D609" s="3" t="str">
        <f>IFERROR(__xludf.DUMMYFUNCTION("GOOGLETRANSLATE(B609,""en"",""hy"")"),"Ալբանիան հիմնականում խոսում է ալբաներեն:")</f>
        <v>Ալբանիան հիմնականում խոսում է ալբաներեն:</v>
      </c>
    </row>
    <row r="610">
      <c r="A610" s="1" t="s">
        <v>1218</v>
      </c>
      <c r="B610" s="2" t="s">
        <v>1219</v>
      </c>
      <c r="C610" s="3" t="str">
        <f>IFERROR(__xludf.DUMMYFUNCTION("GOOGLETRANSLATE(A610,""en"",""hy"")"),"ո՞րն է Շակիրայի ազգությունը")</f>
        <v>ո՞րն է Շակիրայի ազգությունը</v>
      </c>
      <c r="D610" s="3" t="str">
        <f>IFERROR(__xludf.DUMMYFUNCTION("GOOGLETRANSLATE(B610,""en"",""hy"")"),"Շակիրան կոլումբիացի է։")</f>
        <v>Շակիրան կոլումբիացի է։</v>
      </c>
    </row>
    <row r="611">
      <c r="A611" s="1" t="s">
        <v>1220</v>
      </c>
      <c r="B611" s="2" t="s">
        <v>1221</v>
      </c>
      <c r="C611" s="3" t="str">
        <f>IFERROR(__xludf.DUMMYFUNCTION("GOOGLETRANSLATE(A611,""en"",""hy"")"),"որտեղ էր ապրում Օսմանյան կայսրության սուլթանը.")</f>
        <v>որտեղ էր ապրում Օսմանյան կայսրության սուլթանը.</v>
      </c>
      <c r="D611" s="3" t="str">
        <f>IFERROR(__xludf.DUMMYFUNCTION("GOOGLETRANSLATE(B611,""en"",""hy"")"),"Թոփքափի պալատում ապրում էր Օսմանյան կայսրության սուլթանը։")</f>
        <v>Թոփքափի պալատում ապրում էր Օսմանյան կայսրության սուլթանը։</v>
      </c>
    </row>
    <row r="612">
      <c r="A612" s="1" t="s">
        <v>1222</v>
      </c>
      <c r="B612" s="2" t="s">
        <v>1223</v>
      </c>
      <c r="C612" s="3" t="str">
        <f>IFERROR(__xludf.DUMMYFUNCTION("GOOGLETRANSLATE(A612,""en"",""hy"")"),"ով է բիլբո բեգինս խաղում")</f>
        <v>ով է բիլբո բեգինս խաղում</v>
      </c>
      <c r="D612" s="3" t="str">
        <f>IFERROR(__xludf.DUMMYFUNCTION("GOOGLETRANSLATE(B612,""en"",""hy"")"),"Մարտին Ֆրիման.")</f>
        <v>Մարտին Ֆրիման.</v>
      </c>
    </row>
    <row r="613">
      <c r="A613" s="1" t="s">
        <v>1224</v>
      </c>
      <c r="B613" s="2" t="s">
        <v>1225</v>
      </c>
      <c r="C613" s="3" t="str">
        <f>IFERROR(__xludf.DUMMYFUNCTION("GOOGLETRANSLATE(A613,""en"",""hy"")"),"ինչ պաշտոն է զբաղեցրել Ջորջ Վաշինգթոնը սահմանադրական կոնվենցիայում.")</f>
        <v>ինչ պաշտոն է զբաղեցրել Ջորջ Վաշինգթոնը սահմանադրական կոնվենցիայում.</v>
      </c>
      <c r="D613" s="3" t="str">
        <f>IFERROR(__xludf.DUMMYFUNCTION("GOOGLETRANSLATE(B613,""en"",""hy"")"),"Ջորջ Վաշինգտոնը ծառայել է որպես Սահմանադրական կոնվենցիայի նախագահող սպա:")</f>
        <v>Ջորջ Վաշինգտոնը ծառայել է որպես Սահմանադրական կոնվենցիայի նախագահող սպա:</v>
      </c>
    </row>
    <row r="614">
      <c r="A614" s="1" t="s">
        <v>1226</v>
      </c>
      <c r="B614" s="2" t="s">
        <v>1227</v>
      </c>
      <c r="C614" s="3" t="str">
        <f>IFERROR(__xludf.DUMMYFUNCTION("GOOGLETRANSLATE(A614,""en"",""hy"")"),"որտեղ է 2012 ncaa բասկետբոլի մրցաշարը:")</f>
        <v>որտեղ է 2012 ncaa բասկետբոլի մրցաշարը:</v>
      </c>
      <c r="D614" s="3" t="str">
        <f>IFERROR(__xludf.DUMMYFUNCTION("GOOGLETRANSLATE(B614,""en"",""hy"")"),"2012 թվականի NCAA բասկետբոլի մրցաշարն անցկացվել է Միացյալ Նահանգների տարբեր վայրերում:")</f>
        <v>2012 թվականի NCAA բասկետբոլի մրցաշարն անցկացվել է Միացյալ Նահանգների տարբեր վայրերում:</v>
      </c>
    </row>
    <row r="615">
      <c r="A615" s="1" t="s">
        <v>1228</v>
      </c>
      <c r="B615" s="2" t="s">
        <v>1229</v>
      </c>
      <c r="C615" s="3" t="str">
        <f>IFERROR(__xludf.DUMMYFUNCTION("GOOGLETRANSLATE(A615,""en"",""hy"")"),"Ո՞ր դրվագն է Քեյթը լքել NCs-ը:")</f>
        <v>Ո՞ր դրվագն է Քեյթը լքել NCs-ը:</v>
      </c>
      <c r="D615" s="3" t="str">
        <f>IFERROR(__xludf.DUMMYFUNCTION("GOOGLETRANSLATE(B615,""en"",""hy"")"),"Քեյթը լքեց NCIS-ը 2-րդ սեզոնի եզրափակիչում, որը 23-րդ դրվագում է «Մթնշաղ» վերնագրով:")</f>
        <v>Քեյթը լքեց NCIS-ը 2-րդ սեզոնի եզրափակիչում, որը 23-րդ դրվագում է «Մթնշաղ» վերնագրով:</v>
      </c>
    </row>
    <row r="616">
      <c r="A616" s="1" t="s">
        <v>1230</v>
      </c>
      <c r="B616" s="2" t="s">
        <v>1231</v>
      </c>
      <c r="C616" s="3" t="str">
        <f>IFERROR(__xludf.DUMMYFUNCTION("GOOGLETRANSLATE(A616,""en"",""hy"")"),"որտեղ են հիմա սենեկա հնդկացիները:")</f>
        <v>որտեղ են հիմա սենեկա հնդկացիները:</v>
      </c>
      <c r="D616" s="3" t="str">
        <f>IFERROR(__xludf.DUMMYFUNCTION("GOOGLETRANSLATE(B616,""en"",""hy"")"),"Սենեկա հնդկացիները հիմնականում գտնվում են արևմտյան Նյու Յորքում և Կանադայի Օնտարիոյում:")</f>
        <v>Սենեկա հնդկացիները հիմնականում գտնվում են արևմտյան Նյու Յորքում և Կանադայի Օնտարիոյում:</v>
      </c>
    </row>
    <row r="617">
      <c r="A617" s="1" t="s">
        <v>1232</v>
      </c>
      <c r="B617" s="2" t="s">
        <v>1233</v>
      </c>
      <c r="C617" s="3" t="str">
        <f>IFERROR(__xludf.DUMMYFUNCTION("GOOGLETRANSLATE(A617,""en"",""hy"")"),"ինչ արեց Ֆարրա հայրիկը")</f>
        <v>ինչ արեց Ֆարրա հայրիկը</v>
      </c>
      <c r="D617" s="3" t="str">
        <f>IFERROR(__xludf.DUMMYFUNCTION("GOOGLETRANSLATE(B617,""en"",""hy"")"),"Ցավում եմ, բայց ես Ֆարրայի հոր մասին որևէ տեղեկություն չունեմ, քանի որ նշված անունը բավականաչափ կոնկրետ չէ:")</f>
        <v>Ցավում եմ, բայց ես Ֆարրայի հոր մասին որևէ տեղեկություն չունեմ, քանի որ նշված անունը բավականաչափ կոնկրետ չէ:</v>
      </c>
    </row>
    <row r="618">
      <c r="A618" s="1" t="s">
        <v>1234</v>
      </c>
      <c r="B618" s="2" t="s">
        <v>1235</v>
      </c>
      <c r="C618" s="3" t="str">
        <f>IFERROR(__xludf.DUMMYFUNCTION("GOOGLETRANSLATE(A618,""en"",""hy"")"),"որտեղ է խաղացել Մեթ Բարնսը:")</f>
        <v>որտեղ է խաղացել Մեթ Բարնսը:</v>
      </c>
      <c r="D618" s="3" t="str">
        <f>IFERROR(__xludf.DUMMYFUNCTION("GOOGLETRANSLATE(B618,""en"",""hy"")"),"Մեթ Բարնսը խաղացել է NBA-ի մի քանի թիմերում, այդ թվում՝ Սակրամենտո Քինգսում, Գոլդեն Սթեյթ Ուորիորսում, Լոս Անջելես Քլիպերսում և Մեմֆիս Գրիզլիսում։")</f>
        <v>Մեթ Բարնսը խաղացել է NBA-ի մի քանի թիմերում, այդ թվում՝ Սակրամենտո Քինգսում, Գոլդեն Սթեյթ Ուորիորսում, Լոս Անջելես Քլիպերսում և Մեմֆիս Գրիզլիսում։</v>
      </c>
    </row>
    <row r="619">
      <c r="A619" s="1" t="s">
        <v>1236</v>
      </c>
      <c r="B619" s="2" t="s">
        <v>1237</v>
      </c>
      <c r="C619" s="3" t="str">
        <f>IFERROR(__xludf.DUMMYFUNCTION("GOOGLETRANSLATE(A619,""en"",""hy"")"),"որտեղից է սկսվում Հորդանան գետը")</f>
        <v>որտեղից է սկսվում Հորդանան գետը</v>
      </c>
      <c r="D619" s="3" t="str">
        <f>IFERROR(__xludf.DUMMYFUNCTION("GOOGLETRANSLATE(B619,""en"",""hy"")"),"Հորդանան գետը սկիզբ է առնում Հերմոն լեռան ստորոտից։")</f>
        <v>Հորդանան գետը սկիզբ է առնում Հերմոն լեռան ստորոտից։</v>
      </c>
    </row>
    <row r="620">
      <c r="A620" s="1" t="s">
        <v>1238</v>
      </c>
      <c r="B620" s="2" t="s">
        <v>1239</v>
      </c>
      <c r="C620" s="3" t="str">
        <f>IFERROR(__xludf.DUMMYFUNCTION("GOOGLETRANSLATE(A620,""en"",""hy"")"),"Ո՞ր քոլեջն է ավարտել Լիլ Ուեյնը:")</f>
        <v>Ո՞ր քոլեջն է ավարտել Լիլ Ուեյնը:</v>
      </c>
      <c r="D620" s="3" t="str">
        <f>IFERROR(__xludf.DUMMYFUNCTION("GOOGLETRANSLATE(B620,""en"",""hy"")"),"Լիլ Ուեյնը չի ավարտել քոլեջը։")</f>
        <v>Լիլ Ուեյնը չի ավարտել քոլեջը։</v>
      </c>
    </row>
    <row r="621">
      <c r="A621" s="1" t="s">
        <v>1240</v>
      </c>
      <c r="B621" s="2" t="s">
        <v>1241</v>
      </c>
      <c r="C621" s="3" t="str">
        <f>IFERROR(__xludf.DUMMYFUNCTION("GOOGLETRANSLATE(A621,""en"",""hy"")"),"որտեղից է հայտնվել Ռիհաննան")</f>
        <v>որտեղից է հայտնվել Ռիհաննան</v>
      </c>
      <c r="D621" s="3" t="str">
        <f>IFERROR(__xludf.DUMMYFUNCTION("GOOGLETRANSLATE(B621,""en"",""hy"")"),"Ռիհաննան գալիս է Բարբադոսից։")</f>
        <v>Ռիհաննան գալիս է Բարբադոսից։</v>
      </c>
    </row>
    <row r="622">
      <c r="A622" s="1" t="s">
        <v>1242</v>
      </c>
      <c r="B622" s="2" t="s">
        <v>1243</v>
      </c>
      <c r="C622" s="3" t="str">
        <f>IFERROR(__xludf.DUMMYFUNCTION("GOOGLETRANSLATE(A622,""en"",""hy"")"),"ովքե՞ր են հիմա քշում kurt busch-ը:")</f>
        <v>ովքե՞ր են հիմա քշում kurt busch-ը:</v>
      </c>
      <c r="D622" s="3" t="str">
        <f>IFERROR(__xludf.DUMMYFUNCTION("GOOGLETRANSLATE(B622,""en"",""hy"")"),"Կուրտ Բուշը ներկայումս վարում է Chip Ganassi Racing-ի համար:")</f>
        <v>Կուրտ Բուշը ներկայումս վարում է Chip Ganassi Racing-ի համար:</v>
      </c>
    </row>
    <row r="623">
      <c r="A623" s="1" t="s">
        <v>1244</v>
      </c>
      <c r="B623" s="2" t="s">
        <v>1245</v>
      </c>
      <c r="C623" s="3" t="str">
        <f>IFERROR(__xludf.DUMMYFUNCTION("GOOGLETRANSLATE(A623,""en"",""hy"")"),"ո՞ր տարիներին են Նիքսը հաղթել առաջնությունում:")</f>
        <v>ո՞ր տարիներին են Նիքսը հաղթել առաջնությունում:</v>
      </c>
      <c r="D623" s="3" t="str">
        <f>IFERROR(__xludf.DUMMYFUNCTION("GOOGLETRANSLATE(B623,""en"",""hy"")"),"Նիքսը չեմպիոն է դարձել 1970 և 1973 թվականներին։")</f>
        <v>Նիքսը չեմպիոն է դարձել 1970 և 1973 թվականներին։</v>
      </c>
    </row>
    <row r="624">
      <c r="A624" s="1" t="s">
        <v>1246</v>
      </c>
      <c r="B624" s="2" t="s">
        <v>1247</v>
      </c>
      <c r="C624" s="3" t="str">
        <f>IFERROR(__xludf.DUMMYFUNCTION("GOOGLETRANSLATE(A624,""en"",""hy"")"),"ո՞րն է այժմ Մեծ Բրիտանիայի ժամային գոտին:")</f>
        <v>ո՞րն է այժմ Մեծ Բրիտանիայի ժամային գոտին:</v>
      </c>
      <c r="D624" s="3" t="str">
        <f>IFERROR(__xludf.DUMMYFUNCTION("GOOGLETRANSLATE(B624,""en"",""hy"")"),"Մեծ Բրիտանիայում ժամային գոտին Գրինվիչի միջին ժամանակն է (GMT) կամ բրիտանական ամառային ժամանակը (BST) ամառային ժամանակին:")</f>
        <v>Մեծ Բրիտանիայում ժամային գոտին Գրինվիչի միջին ժամանակն է (GMT) կամ բրիտանական ամառային ժամանակը (BST) ամառային ժամանակին:</v>
      </c>
    </row>
    <row r="625">
      <c r="A625" s="1" t="s">
        <v>1248</v>
      </c>
      <c r="B625" s="2" t="s">
        <v>1249</v>
      </c>
      <c r="C625" s="3" t="str">
        <f>IFERROR(__xludf.DUMMYFUNCTION("GOOGLETRANSLATE(A625,""en"",""hy"")"),"ի՞նչ է անում հիմա dustin ադամանդը:")</f>
        <v>ի՞նչ է անում հիմա dustin ադամանդը:</v>
      </c>
      <c r="D625" s="3" t="str">
        <f>IFERROR(__xludf.DUMMYFUNCTION("GOOGLETRANSLATE(B625,""en"",""hy"")"),"Դասթին Դայմոնդը ներկայումս մահացել է։ Նա մահացել է 2021 թվականի փետրվարի 1-ին։")</f>
        <v>Դասթին Դայմոնդը ներկայումս մահացել է։ Նա մահացել է 2021 թվականի փետրվարի 1-ին։</v>
      </c>
    </row>
    <row r="626">
      <c r="A626" s="1" t="s">
        <v>1250</v>
      </c>
      <c r="B626" s="2" t="s">
        <v>1251</v>
      </c>
      <c r="C626" s="3" t="str">
        <f>IFERROR(__xludf.DUMMYFUNCTION("GOOGLETRANSLATE(A626,""en"",""hy"")"),"Ո՞ր նահանգում էր ապրում Թոմաս Ջեֆերսոնը")</f>
        <v>Ո՞ր նահանգում էր ապրում Թոմաս Ջեֆերսոնը</v>
      </c>
      <c r="D626" s="3" t="str">
        <f>IFERROR(__xludf.DUMMYFUNCTION("GOOGLETRANSLATE(B626,""en"",""hy"")"),"Վիրջինիա.")</f>
        <v>Վիրջինիա.</v>
      </c>
    </row>
    <row r="627">
      <c r="A627" s="1" t="s">
        <v>1252</v>
      </c>
      <c r="B627" s="2" t="s">
        <v>1253</v>
      </c>
      <c r="C627" s="3" t="str">
        <f>IFERROR(__xludf.DUMMYFUNCTION("GOOGLETRANSLATE(A627,""en"",""hy"")"),"որտեղ են գտնվում google-ի կենտրոնակայանը:")</f>
        <v>որտեղ են գտնվում google-ի կենտրոնակայանը:</v>
      </c>
      <c r="D627" s="3" t="str">
        <f>IFERROR(__xludf.DUMMYFUNCTION("GOOGLETRANSLATE(B627,""en"",""hy"")"),"Google-ի կենտրոնակայանը գտնվում է Մաունթին Վյուում, Կալիֆորնիա, ԱՄՆ:")</f>
        <v>Google-ի կենտրոնակայանը գտնվում է Մաունթին Վյուում, Կալիֆորնիա, ԱՄՆ:</v>
      </c>
    </row>
    <row r="628">
      <c r="A628" s="1" t="s">
        <v>1254</v>
      </c>
      <c r="B628" s="2" t="s">
        <v>1255</v>
      </c>
      <c r="C628" s="3" t="str">
        <f>IFERROR(__xludf.DUMMYFUNCTION("GOOGLETRANSLATE(A628,""en"",""hy"")"),"ով է արքայադուստր Լեան:")</f>
        <v>ով է արքայադուստր Լեան:</v>
      </c>
      <c r="D628" s="3" t="str">
        <f>IFERROR(__xludf.DUMMYFUNCTION("GOOGLETRANSLATE(B628,""en"",""hy"")"),"Արքայադուստր Լեյան գեղարվեստական ​​կերպար է «Աստղային պատերազմներ» ֆրանշիզայից։")</f>
        <v>Արքայադուստր Լեյան գեղարվեստական ​​կերպար է «Աստղային պատերազմներ» ֆրանշիզայից։</v>
      </c>
    </row>
    <row r="629">
      <c r="A629" s="1" t="s">
        <v>1256</v>
      </c>
      <c r="B629" s="2" t="s">
        <v>1257</v>
      </c>
      <c r="C629" s="3" t="str">
        <f>IFERROR(__xludf.DUMMYFUNCTION("GOOGLETRANSLATE(A629,""en"",""hy"")"),"ինչո՞վ էր հայտնի Ռիչարդ Ռայթը:")</f>
        <v>ինչո՞վ էր հայտնի Ռիչարդ Ռայթը:</v>
      </c>
      <c r="D629" s="3" t="str">
        <f>IFERROR(__xludf.DUMMYFUNCTION("GOOGLETRANSLATE(B629,""en"",""hy"")"),"Ռիչարդ Ռայթը հայտնի էր որպես ամերիկացի ազդեցիկ գրող և «Բնիկ որդին» վեպի հեղինակ։")</f>
        <v>Ռիչարդ Ռայթը հայտնի էր որպես ամերիկացի ազդեցիկ գրող և «Բնիկ որդին» վեպի հեղինակ։</v>
      </c>
    </row>
    <row r="630">
      <c r="A630" s="1" t="s">
        <v>1258</v>
      </c>
      <c r="B630" s="2" t="s">
        <v>1259</v>
      </c>
      <c r="C630" s="3" t="str">
        <f>IFERROR(__xludf.DUMMYFUNCTION("GOOGLETRANSLATE(A630,""en"",""hy"")"),"որտեղ է Նասկար փառքի սրահը")</f>
        <v>որտեղ է Նասկար փառքի սրահը</v>
      </c>
      <c r="D630" s="3" t="str">
        <f>IFERROR(__xludf.DUMMYFUNCTION("GOOGLETRANSLATE(B630,""en"",""hy"")"),"NASCAR Փառքի սրահը գտնվում է Հյուսիսային Կարոլինայի Շարլոտ քաղաքում:")</f>
        <v>NASCAR Փառքի սրահը գտնվում է Հյուսիսային Կարոլինայի Շարլոտ քաղաքում:</v>
      </c>
    </row>
    <row r="631">
      <c r="A631" s="1" t="s">
        <v>1260</v>
      </c>
      <c r="B631" s="2" t="s">
        <v>1261</v>
      </c>
      <c r="C631" s="3" t="str">
        <f>IFERROR(__xludf.DUMMYFUNCTION("GOOGLETRANSLATE(A631,""en"",""hy"")"),"ինչպես են Ավստրալիան անվանում իրենց փողերը:")</f>
        <v>ինչպես են Ավստրալիան անվանում իրենց փողերը:</v>
      </c>
      <c r="D631" s="3" t="str">
        <f>IFERROR(__xludf.DUMMYFUNCTION("GOOGLETRANSLATE(B631,""en"",""hy"")"),"Ավստրալիան նրանց փողերն անվանում է «ավստրալիական դոլար»։")</f>
        <v>Ավստրալիան նրանց փողերն անվանում է «ավստրալիական դոլար»։</v>
      </c>
    </row>
    <row r="632">
      <c r="A632" s="1" t="s">
        <v>1262</v>
      </c>
      <c r="B632" s="2" t="s">
        <v>1263</v>
      </c>
      <c r="C632" s="3" t="str">
        <f>IFERROR(__xludf.DUMMYFUNCTION("GOOGLETRANSLATE(A632,""en"",""hy"")"),"ինչ էր Ռայթ եղբայրների ինքնաթիռի անունը:")</f>
        <v>ինչ էր Ռայթ եղբայրների ինքնաթիռի անունը:</v>
      </c>
      <c r="D632" s="3" t="str">
        <f>IFERROR(__xludf.DUMMYFUNCTION("GOOGLETRANSLATE(B632,""en"",""hy"")"),"Wright Brothers-ի ինքնաթիռի անունը եղել է Wright Flyer:")</f>
        <v>Wright Brothers-ի ինքնաթիռի անունը եղել է Wright Flyer:</v>
      </c>
    </row>
    <row r="633">
      <c r="A633" s="1" t="s">
        <v>1264</v>
      </c>
      <c r="B633" s="2" t="s">
        <v>1265</v>
      </c>
      <c r="C633" s="3" t="str">
        <f>IFERROR(__xludf.DUMMYFUNCTION("GOOGLETRANSLATE(A633,""en"",""hy"")"),"որտեղ է գտնվում Լիդսի համալսարանը:")</f>
        <v>որտեղ է գտնվում Լիդսի համալսարանը:</v>
      </c>
      <c r="D633" s="3" t="str">
        <f>IFERROR(__xludf.DUMMYFUNCTION("GOOGLETRANSLATE(B633,""en"",""hy"")"),"Լիդսի համալսարանը գտնվում է Լիդսում, Արևմտյան Յորքշիր, Անգլիա:")</f>
        <v>Լիդսի համալսարանը գտնվում է Լիդսում, Արևմտյան Յորքշիր, Անգլիա:</v>
      </c>
    </row>
    <row r="634">
      <c r="A634" s="1" t="s">
        <v>1266</v>
      </c>
      <c r="B634" s="2" t="s">
        <v>1267</v>
      </c>
      <c r="C634" s="3" t="str">
        <f>IFERROR(__xludf.DUMMYFUNCTION("GOOGLETRANSLATE(A634,""en"",""hy"")"),"ով է Գիլբերտ Գոթֆրիդ ՍՆԼ-ն:")</f>
        <v>ով է Գիլբերտ Գոթֆրիդ ՍՆԼ-ն:</v>
      </c>
      <c r="D634" s="3" t="str">
        <f>IFERROR(__xludf.DUMMYFUNCTION("GOOGLETRANSLATE(B634,""en"",""hy"")"),"Գիլբերտ Գոթֆրիդը կատակերգու է, ով 1980-ականներին կարճ ժամանակահատվածում եղել է Saturday Night Live-ի (SNL) դերասանական կազմի անդամ:")</f>
        <v>Գիլբերտ Գոթֆրիդը կատակերգու է, ով 1980-ականներին կարճ ժամանակահատվածում եղել է Saturday Night Live-ի (SNL) դերասանական կազմի անդամ:</v>
      </c>
    </row>
    <row r="635">
      <c r="A635" s="1" t="s">
        <v>1268</v>
      </c>
      <c r="B635" s="2" t="s">
        <v>1269</v>
      </c>
      <c r="C635" s="3" t="str">
        <f>IFERROR(__xludf.DUMMYFUNCTION("GOOGLETRANSLATE(A635,""en"",""hy"")"),"ինչ լեզու են նրանք դանիերեն:")</f>
        <v>ինչ լեզու են նրանք դանիերեն:</v>
      </c>
      <c r="D635" s="3" t="str">
        <f>IFERROR(__xludf.DUMMYFUNCTION("GOOGLETRANSLATE(B635,""en"",""hy"")"),"Դանիայի պաշտոնական լեզուն դանիերենն է։")</f>
        <v>Դանիայի պաշտոնական լեզուն դանիերենն է։</v>
      </c>
    </row>
    <row r="636">
      <c r="A636" s="1" t="s">
        <v>1270</v>
      </c>
      <c r="B636" s="2" t="s">
        <v>1271</v>
      </c>
      <c r="C636" s="3" t="str">
        <f>IFERROR(__xludf.DUMMYFUNCTION("GOOGLETRANSLATE(A636,""en"",""hy"")"),"ինչ արեց Մարտին Լյութերը")</f>
        <v>ինչ արեց Մարտին Լյութերը</v>
      </c>
      <c r="D636" s="3" t="str">
        <f>IFERROR(__xludf.DUMMYFUNCTION("GOOGLETRANSLATE(B636,""en"",""hy"")"),"Մարտին Լյութերը գերմանացի վանական էր, աստվածաբան և բողոքական ռեֆորմացիայի առանցքային գործիչ։")</f>
        <v>Մարտին Լյութերը գերմանացի վանական էր, աստվածաբան և բողոքական ռեֆորմացիայի առանցքային գործիչ։</v>
      </c>
    </row>
    <row r="637">
      <c r="A637" s="1" t="s">
        <v>1272</v>
      </c>
      <c r="B637" s="2" t="s">
        <v>1273</v>
      </c>
      <c r="C637" s="3" t="str">
        <f>IFERROR(__xludf.DUMMYFUNCTION("GOOGLETRANSLATE(A637,""en"",""hy"")"),"Ո՞ր թիմում է խաղացել Գրովեր Քլիվլենդ Ալեքսանդրը:")</f>
        <v>Ո՞ր թիմում է խաղացել Գրովեր Քլիվլենդ Ալեքսանդրը:</v>
      </c>
      <c r="D637" s="3" t="str">
        <f>IFERROR(__xludf.DUMMYFUNCTION("GOOGLETRANSLATE(B637,""en"",""hy"")"),"Գրովեր Քլիվլենդ Ալեքսանդրը խաղացել է Philadelphia Phillies-ում, Chicago Cubs-ում և St. Louis Cardinals-ում:")</f>
        <v>Գրովեր Քլիվլենդ Ալեքսանդրը խաղացել է Philadelphia Phillies-ում, Chicago Cubs-ում և St. Louis Cardinals-ում:</v>
      </c>
    </row>
    <row r="638">
      <c r="A638" s="1" t="s">
        <v>1274</v>
      </c>
      <c r="B638" s="2" t="s">
        <v>1275</v>
      </c>
      <c r="C638" s="3" t="str">
        <f>IFERROR(__xludf.DUMMYFUNCTION("GOOGLETRANSLATE(A638,""en"",""hy"")"),"ո՞րն էր Էլի Ուիթնիի ազգությունը:")</f>
        <v>ո՞րն էր Էլի Ուիթնիի ազգությունը:</v>
      </c>
      <c r="D638" s="3" t="str">
        <f>IFERROR(__xludf.DUMMYFUNCTION("GOOGLETRANSLATE(B638,""en"",""hy"")"),"Էլի Ուիթնին ամերիկացի էր։")</f>
        <v>Էլի Ուիթնին ամերիկացի էր։</v>
      </c>
    </row>
    <row r="639">
      <c r="A639" s="1" t="s">
        <v>1276</v>
      </c>
      <c r="B639" s="2" t="s">
        <v>1277</v>
      </c>
      <c r="C639" s="3" t="str">
        <f>IFERROR(__xludf.DUMMYFUNCTION("GOOGLETRANSLATE(A639,""en"",""hy"")"),"ինչով էր հայտնի Քրիստիան Բարնարդը:")</f>
        <v>ինչով էր հայտնի Քրիստիան Բարնարդը:</v>
      </c>
      <c r="D639" s="3" t="str">
        <f>IFERROR(__xludf.DUMMYFUNCTION("GOOGLETRANSLATE(B639,""en"",""hy"")"),"Քրիստիան Բարնարդը հայտնի էր նրանով, որ 1967 թվականին կատարեց աշխարհում առաջին հաջողությամբ մարդուց մարդու սրտի փոխպատվաստումը:")</f>
        <v>Քրիստիան Բարնարդը հայտնի էր նրանով, որ 1967 թվականին կատարեց աշխարհում առաջին հաջողությամբ մարդուց մարդու սրտի փոխպատվաստումը:</v>
      </c>
    </row>
    <row r="640">
      <c r="A640" s="1" t="s">
        <v>1278</v>
      </c>
      <c r="B640" s="2" t="s">
        <v>1279</v>
      </c>
      <c r="C640" s="3" t="str">
        <f>IFERROR(__xludf.DUMMYFUNCTION("GOOGLETRANSLATE(A640,""en"",""hy"")"),"որտեղ էր Դվայթը դ. Էյզենհաուե՞րը:")</f>
        <v>որտեղ էր Դվայթը դ. Էյզենհաուե՞րը:</v>
      </c>
      <c r="D640" s="3" t="str">
        <f>IFERROR(__xludf.DUMMYFUNCTION("GOOGLETRANSLATE(B640,""en"",""hy"")"),"Դուայթ Դ. Էյզենհաուերը Միացյալ Նահանգներից էր:")</f>
        <v>Դուայթ Դ. Էյզենհաուերը Միացյալ Նահանգներից էր:</v>
      </c>
    </row>
    <row r="641">
      <c r="A641" s="1" t="s">
        <v>1280</v>
      </c>
      <c r="B641" s="2" t="s">
        <v>1281</v>
      </c>
      <c r="C641" s="3" t="str">
        <f>IFERROR(__xludf.DUMMYFUNCTION("GOOGLETRANSLATE(A641,""en"",""hy"")"),"որտեղից է գալիս աուդին")</f>
        <v>որտեղից է գալիս աուդին</v>
      </c>
      <c r="D641" s="3" t="str">
        <f>IFERROR(__xludf.DUMMYFUNCTION("GOOGLETRANSLATE(B641,""en"",""hy"")"),"Audi-ն ծագում է Գերմանիայից։")</f>
        <v>Audi-ն ծագում է Գերմանիայից։</v>
      </c>
    </row>
    <row r="642">
      <c r="A642" s="1" t="s">
        <v>1282</v>
      </c>
      <c r="B642" s="2" t="s">
        <v>1283</v>
      </c>
      <c r="C642" s="3" t="str">
        <f>IFERROR(__xludf.DUMMYFUNCTION("GOOGLETRANSLATE(A642,""en"",""hy"")"),"Ո՞ր թիմում է Քրիս Փոլը")</f>
        <v>Ո՞ր թիմում է Քրիս Փոլը</v>
      </c>
      <c r="D642" s="3" t="str">
        <f>IFERROR(__xludf.DUMMYFUNCTION("GOOGLETRANSLATE(B642,""en"",""hy"")"),"Քրիս Փոլը ներկայումս հանդես է գալիս «Ֆենիքս Սանսում»:")</f>
        <v>Քրիս Փոլը ներկայումս հանդես է գալիս «Ֆենիքս Սանսում»:</v>
      </c>
    </row>
    <row r="643">
      <c r="A643" s="1" t="s">
        <v>1284</v>
      </c>
      <c r="B643" s="2" t="s">
        <v>1285</v>
      </c>
      <c r="C643" s="3" t="str">
        <f>IFERROR(__xludf.DUMMYFUNCTION("GOOGLETRANSLATE(A643,""en"",""hy"")"),"ինչ անել Վաշինգտոն dc դեկտեմբեր.")</f>
        <v>ինչ անել Վաշինգտոն dc դեկտեմբեր.</v>
      </c>
      <c r="D643" s="3" t="str">
        <f>IFERROR(__xludf.DUMMYFUNCTION("GOOGLETRANSLATE(B643,""en"",""hy"")"),"Դեկտեմբերին կարող եք այցելել տոնական շուկաներ, տեսնել Ազգային տոնածառը, ուսումնասիրել Արվեստի ազգային պատկերասրահը և էքսկուրսիա կատարել ԱՄՆ Կապիտոլիումում:")</f>
        <v>Դեկտեմբերին կարող եք այցելել տոնական շուկաներ, տեսնել Ազգային տոնածառը, ուսումնասիրել Արվեստի ազգային պատկերասրահը և էքսկուրսիա կատարել ԱՄՆ Կապիտոլիումում:</v>
      </c>
    </row>
    <row r="644">
      <c r="A644" s="1" t="s">
        <v>1286</v>
      </c>
      <c r="B644" s="2" t="s">
        <v>1287</v>
      </c>
      <c r="C644" s="3" t="str">
        <f>IFERROR(__xludf.DUMMYFUNCTION("GOOGLETRANSLATE(A644,""en"",""hy"")"),"ինչ լեզվով են խոսում Սինգապուրում")</f>
        <v>ինչ լեզվով են խոսում Սինգապուրում</v>
      </c>
      <c r="D644" s="3" t="str">
        <f>IFERROR(__xludf.DUMMYFUNCTION("GOOGLETRANSLATE(B644,""en"",""hy"")"),"Սինգապուրում խոսվող պաշտոնական լեզուներն են՝ անգլերենը, մալայերենը, մանդարինը և թամիլերենը։")</f>
        <v>Սինգապուրում խոսվող պաշտոնական լեզուներն են՝ անգլերենը, մալայերենը, մանդարինը և թամիլերենը։</v>
      </c>
    </row>
    <row r="645">
      <c r="A645" s="1" t="s">
        <v>1288</v>
      </c>
      <c r="B645" s="2" t="s">
        <v>1289</v>
      </c>
      <c r="C645" s="3" t="str">
        <f>IFERROR(__xludf.DUMMYFUNCTION("GOOGLETRANSLATE(A645,""en"",""hy"")"),"ով է նաև Սանջայ Գուպտան ամուսնացած:")</f>
        <v>ով է նաև Սանջայ Գուպտան ամուսնացած:</v>
      </c>
      <c r="D645" s="3" t="str">
        <f>IFERROR(__xludf.DUMMYFUNCTION("GOOGLETRANSLATE(B645,""en"",""hy"")"),"Սանջայ Գուպտան ամուսնացած է Ռեբեկա Օլսոն Գուպտայի հետ։")</f>
        <v>Սանջայ Գուպտան ամուսնացած է Ռեբեկա Օլսոն Գուպտայի հետ։</v>
      </c>
    </row>
    <row r="646">
      <c r="A646" s="1" t="s">
        <v>1290</v>
      </c>
      <c r="B646" s="2" t="s">
        <v>1291</v>
      </c>
      <c r="C646" s="3" t="str">
        <f>IFERROR(__xludf.DUMMYFUNCTION("GOOGLETRANSLATE(A646,""en"",""hy"")"),"ինչ են խոսում Սինգապուրը")</f>
        <v>ինչ են խոսում Սինգապուրը</v>
      </c>
      <c r="D646" s="3" t="str">
        <f>IFERROR(__xludf.DUMMYFUNCTION("GOOGLETRANSLATE(B646,""en"",""hy"")"),"Սինգապուրցիները խոսում են մի քանի լեզուներով, այդ թվում՝ անգլերեն, մալայերեն, մանդարին և թամիլերեն։")</f>
        <v>Սինգապուրցիները խոսում են մի քանի լեզուներով, այդ թվում՝ անգլերեն, մալայերեն, մանդարին և թամիլերեն։</v>
      </c>
    </row>
    <row r="647">
      <c r="A647" s="1" t="s">
        <v>1292</v>
      </c>
      <c r="B647" s="2" t="s">
        <v>1293</v>
      </c>
      <c r="C647" s="3" t="str">
        <f>IFERROR(__xludf.DUMMYFUNCTION("GOOGLETRANSLATE(A647,""en"",""hy"")"),"Ո՞ր ֆիլմերում է խաղացել Լյուկ Փերին")</f>
        <v>Ո՞ր ֆիլմերում է խաղացել Լյուկ Փերին</v>
      </c>
      <c r="D647" s="3" t="str">
        <f>IFERROR(__xludf.DUMMYFUNCTION("GOOGLETRANSLATE(B647,""en"",""hy"")"),"Լյուկ Փերին խաղացել է այնպիսի ֆիլմերում, ինչպիսիք են՝ «8 վայրկյան», «Բաֆֆի վամպիր սպանողը» և «Հինգերորդ տարրը», ի թիվս այլոց։")</f>
        <v>Լյուկ Փերին խաղացել է այնպիսի ֆիլմերում, ինչպիսիք են՝ «8 վայրկյան», «Բաֆֆի վամպիր սպանողը» և «Հինգերորդ տարրը», ի թիվս այլոց։</v>
      </c>
    </row>
    <row r="648">
      <c r="A648" s="1" t="s">
        <v>1294</v>
      </c>
      <c r="B648" s="2" t="s">
        <v>1295</v>
      </c>
      <c r="C648" s="3" t="str">
        <f>IFERROR(__xludf.DUMMYFUNCTION("GOOGLETRANSLATE(A648,""en"",""hy"")"),"ով գրել է սբ. Ջոն?")</f>
        <v>ով գրել է սբ. Ջոն?</v>
      </c>
      <c r="D648" s="3" t="str">
        <f>IFERROR(__xludf.DUMMYFUNCTION("GOOGLETRANSLATE(B648,""en"",""hy"")"),"Հովհաննեսի գիրքը գրել է Հովհաննես առաքյալը։")</f>
        <v>Հովհաննեսի գիրքը գրել է Հովհաննես առաքյալը։</v>
      </c>
    </row>
    <row r="649">
      <c r="A649" s="1" t="s">
        <v>1296</v>
      </c>
      <c r="B649" s="2" t="s">
        <v>1297</v>
      </c>
      <c r="C649" s="3" t="str">
        <f>IFERROR(__xludf.DUMMYFUNCTION("GOOGLETRANSLATE(A649,""en"",""hy"")"),"ով է Քոբի Բրայանտի հայրը")</f>
        <v>ով է Քոբի Բրայանտի հայրը</v>
      </c>
      <c r="D649" s="3" t="str">
        <f>IFERROR(__xludf.DUMMYFUNCTION("GOOGLETRANSLATE(B649,""en"",""hy"")"),"Քոբի Բրայանթի հայրը Ջո Բրայանտն է։")</f>
        <v>Քոբի Բրայանթի հայրը Ջո Բրայանտն է։</v>
      </c>
    </row>
    <row r="650">
      <c r="A650" s="1" t="s">
        <v>1298</v>
      </c>
      <c r="B650" s="2" t="s">
        <v>1299</v>
      </c>
      <c r="C650" s="3" t="str">
        <f>IFERROR(__xludf.DUMMYFUNCTION("GOOGLETRANSLATE(A650,""en"",""hy"")"),"ո՞ր մայրցամաքին է պատկանում Իսրայելը.")</f>
        <v>ո՞ր մայրցամաքին է պատկանում Իսրայելը.</v>
      </c>
      <c r="D650" s="3" t="str">
        <f>IFERROR(__xludf.DUMMYFUNCTION("GOOGLETRANSLATE(B650,""en"",""hy"")"),"Ասիա.")</f>
        <v>Ասիա.</v>
      </c>
    </row>
    <row r="651">
      <c r="A651" s="1" t="s">
        <v>1300</v>
      </c>
      <c r="B651" s="2" t="s">
        <v>1301</v>
      </c>
      <c r="C651" s="3" t="str">
        <f>IFERROR(__xludf.DUMMYFUNCTION("GOOGLETRANSLATE(A651,""en"",""hy"")"),"ո՞րն է Ալբանիայի մայրաքաղաքը")</f>
        <v>ո՞րն է Ալբանիայի մայրաքաղաքը</v>
      </c>
      <c r="D651" s="3" t="str">
        <f>IFERROR(__xludf.DUMMYFUNCTION("GOOGLETRANSLATE(B651,""en"",""hy"")"),"Տիրան.")</f>
        <v>Տիրան.</v>
      </c>
    </row>
    <row r="652">
      <c r="A652" s="1" t="s">
        <v>1302</v>
      </c>
      <c r="B652" s="2" t="s">
        <v>1303</v>
      </c>
      <c r="C652" s="3" t="str">
        <f>IFERROR(__xludf.DUMMYFUNCTION("GOOGLETRANSLATE(A652,""en"",""hy"")"),"որտեղ է Թոմաս Ջեֆերսոնի տունը")</f>
        <v>որտեղ է Թոմաս Ջեֆերսոնի տունը</v>
      </c>
      <c r="D652" s="3" t="str">
        <f>IFERROR(__xludf.DUMMYFUNCTION("GOOGLETRANSLATE(B652,""en"",""hy"")"),"Թոմաս Ջեֆերսոնի տունը գտնվում է Վիրջինիա նահանգում, Միացյալ Նահանգներ։ Այն կոչվում է Մոնտիկելլո։")</f>
        <v>Թոմաս Ջեֆերսոնի տունը գտնվում է Վիրջինիա նահանգում, Միացյալ Նահանգներ։ Այն կոչվում է Մոնտիկելլո։</v>
      </c>
    </row>
    <row r="653">
      <c r="A653" s="1" t="s">
        <v>1304</v>
      </c>
      <c r="B653" s="2" t="s">
        <v>1305</v>
      </c>
      <c r="C653" s="3" t="str">
        <f>IFERROR(__xludf.DUMMYFUNCTION("GOOGLETRANSLATE(A653,""en"",""hy"")"),"ինչում է Goworth Miller-ը:")</f>
        <v>ինչում է Goworth Miller-ը:</v>
      </c>
      <c r="D653" s="3" t="str">
        <f>IFERROR(__xludf.DUMMYFUNCTION("GOOGLETRANSLATE(B653,""en"",""hy"")"),"Վենթվորթ Միլլերը դերասան է, որը հայտնի է «Prison Break» հեռուստասերիալում իր դերով։")</f>
        <v>Վենթվորթ Միլլերը դերասան է, որը հայտնի է «Prison Break» հեռուստասերիալում իր դերով։</v>
      </c>
    </row>
    <row r="654">
      <c r="A654" s="1" t="s">
        <v>1306</v>
      </c>
      <c r="B654" s="2" t="s">
        <v>1307</v>
      </c>
      <c r="C654" s="3" t="str">
        <f>IFERROR(__xludf.DUMMYFUNCTION("GOOGLETRANSLATE(A654,""en"",""hy"")"),"Ո՞րն է Իսպանիայի մայրաքաղաքը 2010թ.")</f>
        <v>Ո՞րն է Իսպանիայի մայրաքաղաքը 2010թ.</v>
      </c>
      <c r="D654" s="3" t="str">
        <f>IFERROR(__xludf.DUMMYFUNCTION("GOOGLETRANSLATE(B654,""en"",""hy"")"),"Մադրիդ.")</f>
        <v>Մադրիդ.</v>
      </c>
    </row>
    <row r="655">
      <c r="A655" s="1" t="s">
        <v>1308</v>
      </c>
      <c r="B655" s="2" t="s">
        <v>1309</v>
      </c>
      <c r="C655" s="3" t="str">
        <f>IFERROR(__xludf.DUMMYFUNCTION("GOOGLETRANSLATE(A655,""en"",""hy"")"),"ով սպանեց հարվի կաթը")</f>
        <v>ով սպանեց հարվի կաթը</v>
      </c>
      <c r="D655" s="3" t="str">
        <f>IFERROR(__xludf.DUMMYFUNCTION("GOOGLETRANSLATE(B655,""en"",""hy"")"),"Դեն Ուայթ")</f>
        <v>Դեն Ուայթ</v>
      </c>
    </row>
    <row r="656">
      <c r="A656" s="1" t="s">
        <v>1310</v>
      </c>
      <c r="B656" s="2" t="s">
        <v>1311</v>
      </c>
      <c r="C656" s="3" t="str">
        <f>IFERROR(__xludf.DUMMYFUNCTION("GOOGLETRANSLATE(A656,""en"",""hy"")"),"ինչպես էր վերնագրված առաջին գիրքը Dr. seuss գրել?")</f>
        <v>ինչպես էր վերնագրված առաջին գիրքը Dr. seuss գրել?</v>
      </c>
      <c r="D656" s="3" t="str">
        <f>IFERROR(__xludf.DUMMYFUNCTION("GOOGLETRANSLATE(B656,""en"",""hy"")"),"Դոկտոր Սյուսի գրած առաջին գրքի վերնագիրն էր «Եվ կարծել, որ ես տեսա այն Mulberry Street-ում»:")</f>
        <v>Դոկտոր Սյուսի գրած առաջին գրքի վերնագիրն էր «Եվ կարծել, որ ես տեսա այն Mulberry Street-ում»:</v>
      </c>
    </row>
    <row r="657">
      <c r="A657" s="1" t="s">
        <v>1312</v>
      </c>
      <c r="B657" s="2" t="s">
        <v>1313</v>
      </c>
      <c r="C657" s="3" t="str">
        <f>IFERROR(__xludf.DUMMYFUNCTION("GOOGLETRANSLATE(A657,""en"",""hy"")"),"ո՞վ է Nisan ավտոարտադրողի սեփականատերը:")</f>
        <v>ո՞վ է Nisan ավտոարտադրողի սեփականատերը:</v>
      </c>
      <c r="D657" s="3" t="str">
        <f>IFERROR(__xludf.DUMMYFUNCTION("GOOGLETRANSLATE(B657,""en"",""hy"")"),"Nissan-ի ներկայիս սեփականատերը Nissan Motor Co., Ltd.")</f>
        <v>Nissan-ի ներկայիս սեփականատերը Nissan Motor Co., Ltd.</v>
      </c>
    </row>
    <row r="658">
      <c r="A658" s="1" t="s">
        <v>1314</v>
      </c>
      <c r="B658" s="2" t="s">
        <v>1315</v>
      </c>
      <c r="C658" s="3" t="str">
        <f>IFERROR(__xludf.DUMMYFUNCTION("GOOGLETRANSLATE(A658,""en"",""hy"")"),"որտեղ է գտնվում Արևմտյան Ալաբամայի համալսարանը:")</f>
        <v>որտեղ է գտնվում Արևմտյան Ալաբամայի համալսարանը:</v>
      </c>
      <c r="D658" s="3" t="str">
        <f>IFERROR(__xludf.DUMMYFUNCTION("GOOGLETRANSLATE(B658,""en"",""hy"")"),"Արևմտյան Ալաբամայի համալսարանը գտնվում է Ալաբամա նահանգի Լիվինգսթոն քաղաքում:")</f>
        <v>Արևմտյան Ալաբամայի համալսարանը գտնվում է Ալաբամա նահանգի Լիվինգսթոն քաղաքում:</v>
      </c>
    </row>
    <row r="659">
      <c r="A659" s="1" t="s">
        <v>1316</v>
      </c>
      <c r="B659" s="2" t="s">
        <v>1317</v>
      </c>
      <c r="C659" s="3" t="str">
        <f>IFERROR(__xludf.DUMMYFUNCTION("GOOGLETRANSLATE(A659,""en"",""hy"")"),"ինչի՞ց է մահացել Քենի Էվերեթը:")</f>
        <v>ինչի՞ց է մահացել Քենի Էվերեթը:</v>
      </c>
      <c r="D659" s="3" t="str">
        <f>IFERROR(__xludf.DUMMYFUNCTION("GOOGLETRANSLATE(B659,""en"",""hy"")"),"Քենի Էվերեթը մահացել է ՁԻԱՀ-ի բարդություններից:")</f>
        <v>Քենի Էվերեթը մահացել է ՁԻԱՀ-ի բարդություններից:</v>
      </c>
    </row>
    <row r="660">
      <c r="A660" s="1" t="s">
        <v>1318</v>
      </c>
      <c r="B660" s="2" t="s">
        <v>1319</v>
      </c>
      <c r="C660" s="3" t="str">
        <f>IFERROR(__xludf.DUMMYFUNCTION("GOOGLETRANSLATE(A660,""en"",""hy"")"),"ի՞նչ հիմնական լեզվով են խոսում Բրազիլիայում:")</f>
        <v>ի՞նչ հիմնական լեզվով են խոսում Բրազիլիայում:</v>
      </c>
      <c r="D660" s="3" t="str">
        <f>IFERROR(__xludf.DUMMYFUNCTION("GOOGLETRANSLATE(B660,""en"",""hy"")"),"Բրազիլիայում խոսվող հիմնական լեզուն պորտուգալերենն է։")</f>
        <v>Բրազիլիայում խոսվող հիմնական լեզուն պորտուգալերենն է։</v>
      </c>
    </row>
    <row r="661">
      <c r="A661" s="1" t="s">
        <v>1320</v>
      </c>
      <c r="B661" s="2" t="s">
        <v>1321</v>
      </c>
      <c r="C661" s="3" t="str">
        <f>IFERROR(__xludf.DUMMYFUNCTION("GOOGLETRANSLATE(A661,""en"",""hy"")"),"որտեղ է ապրում Ջոյ Քինգը")</f>
        <v>որտեղ է ապրում Ջոյ Քինգը</v>
      </c>
      <c r="D661" s="3" t="str">
        <f>IFERROR(__xludf.DUMMYFUNCTION("GOOGLETRANSLATE(B661,""en"",""hy"")"),"Ջոյ Քինգը ապրում է Լոս Անջելեսում, Կալիֆորնիա:")</f>
        <v>Ջոյ Քինգը ապրում է Լոս Անջելեսում, Կալիֆորնիա:</v>
      </c>
    </row>
    <row r="662">
      <c r="A662" s="1" t="s">
        <v>1322</v>
      </c>
      <c r="B662" s="2" t="s">
        <v>1323</v>
      </c>
      <c r="C662" s="3" t="str">
        <f>IFERROR(__xludf.DUMMYFUNCTION("GOOGLETRANSLATE(A662,""en"",""hy"")"),"ինչ պատահեց Ջասթին Բիբերին 2012 թ.")</f>
        <v>ինչ պատահեց Ջասթին Բիբերին 2012 թ.</v>
      </c>
      <c r="D662" s="3" t="str">
        <f>IFERROR(__xludf.DUMMYFUNCTION("GOOGLETRANSLATE(B662,""en"",""hy"")"),"2012 թվականին Ջասթին Բիբերը թողարկեց իր «Believe» ալբոմը և հաջողությամբ մեկնեց համաշխարհային շրջագայության։")</f>
        <v>2012 թվականին Ջասթին Բիբերը թողարկեց իր «Believe» ալբոմը և հաջողությամբ մեկնեց համաշխարհային շրջագայության։</v>
      </c>
    </row>
    <row r="663">
      <c r="A663" s="1" t="s">
        <v>1324</v>
      </c>
      <c r="B663" s="2" t="s">
        <v>1325</v>
      </c>
      <c r="C663" s="3" t="str">
        <f>IFERROR(__xludf.DUMMYFUNCTION("GOOGLETRANSLATE(A663,""en"",""hy"")"),"քանի՞ ավստրալական նահանգ և տարածք:")</f>
        <v>քանի՞ ավստրալական նահանգ և տարածք:</v>
      </c>
      <c r="D663" s="3" t="str">
        <f>IFERROR(__xludf.DUMMYFUNCTION("GOOGLETRANSLATE(B663,""en"",""hy"")"),"Ավստրալիան ունի 6 նահանգ և 2 տարածք։")</f>
        <v>Ավստրալիան ունի 6 նահանգ և 2 տարածք։</v>
      </c>
    </row>
    <row r="664">
      <c r="A664" s="1" t="s">
        <v>1326</v>
      </c>
      <c r="B664" s="2" t="s">
        <v>1327</v>
      </c>
      <c r="C664" s="3" t="str">
        <f>IFERROR(__xludf.DUMMYFUNCTION("GOOGLETRANSLATE(A664,""en"",""hy"")"),"ինչ էր մանչեսթեր Յունայթեդի անունը:")</f>
        <v>ինչ էր մանչեսթեր Յունայթեդի անունը:</v>
      </c>
      <c r="D664" s="3" t="str">
        <f>IFERROR(__xludf.DUMMYFUNCTION("GOOGLETRANSLATE(B664,""en"",""hy"")"),"Newton Heath LYR ֆուտբոլային ակումբ")</f>
        <v>Newton Heath LYR ֆուտբոլային ակումբ</v>
      </c>
    </row>
    <row r="665">
      <c r="A665" s="1" t="s">
        <v>1328</v>
      </c>
      <c r="B665" s="2" t="s">
        <v>1329</v>
      </c>
      <c r="C665" s="3" t="str">
        <f>IFERROR(__xludf.DUMMYFUNCTION("GOOGLETRANSLATE(A665,""en"",""hy"")"),"ով է այժմ Հավայան կղզիների նահանգապետը.")</f>
        <v>ով է այժմ Հավայան կղզիների նահանգապետը.</v>
      </c>
      <c r="D665" s="3" t="str">
        <f>IFERROR(__xludf.DUMMYFUNCTION("GOOGLETRANSLATE(B665,""en"",""hy"")"),"Հավայան կղզիների նահանգապետն է Դեյվիդ Իգեն։")</f>
        <v>Հավայան կղզիների նահանգապետն է Դեյվիդ Իգեն։</v>
      </c>
    </row>
    <row r="666">
      <c r="A666" s="1" t="s">
        <v>1330</v>
      </c>
      <c r="B666" s="2" t="s">
        <v>1331</v>
      </c>
      <c r="C666" s="3" t="str">
        <f>IFERROR(__xludf.DUMMYFUNCTION("GOOGLETRANSLATE(A666,""en"",""hy"")"),"երբ Հերբերտ Հուվերը դարձավ նախագահ")</f>
        <v>երբ Հերբերտ Հուվերը դարձավ նախագահ</v>
      </c>
      <c r="D666" s="3" t="str">
        <f>IFERROR(__xludf.DUMMYFUNCTION("GOOGLETRANSLATE(B666,""en"",""hy"")"),"Հերբերտ Հուվերը նախագահ է դարձել 1929 թվականին։")</f>
        <v>Հերբերտ Հուվերը նախագահ է դարձել 1929 թվականին։</v>
      </c>
    </row>
    <row r="667">
      <c r="A667" s="1" t="s">
        <v>1332</v>
      </c>
      <c r="B667" s="2" t="s">
        <v>1333</v>
      </c>
      <c r="C667" s="3" t="str">
        <f>IFERROR(__xludf.DUMMYFUNCTION("GOOGLETRANSLATE(A667,""en"",""hy"")"),"որտեղի՞ց է Էլվիս Փրեսլին սկսել իր կարիերան:")</f>
        <v>որտեղի՞ց է Էլվիս Փրեսլին սկսել իր կարիերան:</v>
      </c>
      <c r="D667" s="3" t="str">
        <f>IFERROR(__xludf.DUMMYFUNCTION("GOOGLETRANSLATE(B667,""en"",""hy"")"),"Էլվիս Փրեսլին իր կարիերան սկսել է Թենեսի նահանգի Մեմֆիս քաղաքում։")</f>
        <v>Էլվիս Փրեսլին իր կարիերան սկսել է Թենեսի նահանգի Մեմֆիս քաղաքում։</v>
      </c>
    </row>
    <row r="668">
      <c r="A668" s="1" t="s">
        <v>1334</v>
      </c>
      <c r="B668" s="2" t="s">
        <v>1335</v>
      </c>
      <c r="C668" s="3" t="str">
        <f>IFERROR(__xludf.DUMMYFUNCTION("GOOGLETRANSLATE(A668,""en"",""hy"")"),"ինչ է պատահել վինս Մակմահոն")</f>
        <v>ինչ է պատահել վինս Մակմահոն</v>
      </c>
      <c r="D668" s="3" t="str">
        <f>IFERROR(__xludf.DUMMYFUNCTION("GOOGLETRANSLATE(B668,""en"",""hy"")"),"Վինս Մաքմահոնը WWE-ի (World Wrestling Entertainment) նախագահն ու գործադիր տնօրենն է։")</f>
        <v>Վինս Մաքմահոնը WWE-ի (World Wrestling Entertainment) նախագահն ու գործադիր տնօրենն է։</v>
      </c>
    </row>
    <row r="669">
      <c r="A669" s="1" t="s">
        <v>1336</v>
      </c>
      <c r="B669" s="2" t="s">
        <v>1337</v>
      </c>
      <c r="C669" s="3" t="str">
        <f>IFERROR(__xludf.DUMMYFUNCTION("GOOGLETRANSLATE(A669,""en"",""hy"")"),"ի՞նչ աշխատանք ուներ Հարիետ Թաբմանը:")</f>
        <v>ի՞նչ աշխատանք ուներ Հարիետ Թաբմանը:</v>
      </c>
      <c r="D669" s="3" t="str">
        <f>IFERROR(__xludf.DUMMYFUNCTION("GOOGLETRANSLATE(B669,""en"",""hy"")"),"Հարիետ Թաբմենն ուներ մի քանի աշխատանք՝ ներառյալ բուժքույր, խոհարար և լվացքուհի:")</f>
        <v>Հարիետ Թաբմենն ուներ մի քանի աշխատանք՝ ներառյալ բուժքույր, խոհարար և լվացքուհի:</v>
      </c>
    </row>
    <row r="670">
      <c r="A670" s="1" t="s">
        <v>1338</v>
      </c>
      <c r="B670" s="2" t="s">
        <v>1339</v>
      </c>
      <c r="C670" s="3" t="str">
        <f>IFERROR(__xludf.DUMMYFUNCTION("GOOGLETRANSLATE(A670,""en"",""hy"")"),"որտեղ է գործում ՅՈՒՆԵՍԿՕ-ն")</f>
        <v>որտեղ է գործում ՅՈՒՆԵՍԿՕ-ն</v>
      </c>
      <c r="D670" s="3" t="str">
        <f>IFERROR(__xludf.DUMMYFUNCTION("GOOGLETRANSLATE(B670,""en"",""hy"")"),"ՅՈՒՆԵՍԿՕ-ն գործում է ամբողջ աշխարհում:")</f>
        <v>ՅՈՒՆԵՍԿՕ-ն գործում է ամբողջ աշխարհում:</v>
      </c>
    </row>
    <row r="671">
      <c r="A671" s="1" t="s">
        <v>1340</v>
      </c>
      <c r="B671" s="2" t="s">
        <v>1341</v>
      </c>
      <c r="C671" s="3" t="str">
        <f>IFERROR(__xludf.DUMMYFUNCTION("GOOGLETRANSLATE(A671,""en"",""hy"")"),"ինչ է աճեցնում Կանադան սննդի համար:")</f>
        <v>ինչ է աճեցնում Կանադան սննդի համար:</v>
      </c>
      <c r="D671" s="3" t="str">
        <f>IFERROR(__xludf.DUMMYFUNCTION("GOOGLETRANSLATE(B671,""en"",""hy"")"),"Կանադան աճեցնում է սննդի համար մի շարք մշակաբույսեր, այդ թվում՝ ցորեն, կանոլա, գարի, եգիպտացորեն, սոյա, մրգեր, բանջարեղեն և կաթնամթերք:")</f>
        <v>Կանադան աճեցնում է սննդի համար մի շարք մշակաբույսեր, այդ թվում՝ ցորեն, կանոլա, գարի, եգիպտացորեն, սոյա, մրգեր, բանջարեղեն և կաթնամթերք:</v>
      </c>
    </row>
    <row r="672">
      <c r="A672" s="1" t="s">
        <v>1342</v>
      </c>
      <c r="B672" s="2" t="s">
        <v>1343</v>
      </c>
      <c r="C672" s="3" t="str">
        <f>IFERROR(__xludf.DUMMYFUNCTION("GOOGLETRANSLATE(A672,""en"",""hy"")"),"Աստվածաշնչում որտեղ է խոսվում Դավթի մասին")</f>
        <v>Աստվածաշնչում որտեղ է խոսվում Դավթի մասին</v>
      </c>
      <c r="D672" s="3" t="str">
        <f>IFERROR(__xludf.DUMMYFUNCTION("GOOGLETRANSLATE(B672,""en"",""hy"")"),"Դավթի պատմությունը հանդիպում է Հին Կտակարանում, մասնավորապես 1 Սամուել, 2 Սամուել, 1 Թագավորներ և 1 Տարեգրություն գրքերում:")</f>
        <v>Դավթի պատմությունը հանդիպում է Հին Կտակարանում, մասնավորապես 1 Սամուել, 2 Սամուել, 1 Թագավորներ և 1 Տարեգրություն գրքերում:</v>
      </c>
    </row>
    <row r="673">
      <c r="A673" s="1" t="s">
        <v>1344</v>
      </c>
      <c r="B673" s="2" t="s">
        <v>1345</v>
      </c>
      <c r="C673" s="3" t="str">
        <f>IFERROR(__xludf.DUMMYFUNCTION("GOOGLETRANSLATE(A673,""en"",""hy"")"),"ինչում է խաղում Ամանդա Սեյֆրիդը")</f>
        <v>ինչում է խաղում Ամանդա Սեյֆրիդը</v>
      </c>
      <c r="D673" s="3" t="str">
        <f>IFERROR(__xludf.DUMMYFUNCTION("GOOGLETRANSLATE(B673,""en"",""hy"")"),"Ամանդա Սեյֆրիդը խաղացել է տարբեր ֆիլմերում և հեռուստաշոուներում, այդ թվում՝ «Mamma Mia!», «Les Misérables», «Mean Girls» և «Big Love»։")</f>
        <v>Ամանդա Սեյֆրիդը խաղացել է տարբեր ֆիլմերում և հեռուստաշոուներում, այդ թվում՝ «Mamma Mia!», «Les Misérables», «Mean Girls» և «Big Love»։</v>
      </c>
    </row>
    <row r="674">
      <c r="A674" s="1" t="s">
        <v>1346</v>
      </c>
      <c r="B674" s="2" t="s">
        <v>1347</v>
      </c>
      <c r="C674" s="3" t="str">
        <f>IFERROR(__xludf.DUMMYFUNCTION("GOOGLETRANSLATE(A674,""en"",""hy"")"),"ինչ լեզվով են խոսում Իրանում")</f>
        <v>ինչ լեզվով են խոսում Իրանում</v>
      </c>
      <c r="D674" s="3" t="str">
        <f>IFERROR(__xludf.DUMMYFUNCTION("GOOGLETRANSLATE(B674,""en"",""hy"")"),"պարսկ.")</f>
        <v>պարսկ.</v>
      </c>
    </row>
    <row r="675">
      <c r="A675" s="1" t="s">
        <v>1348</v>
      </c>
      <c r="B675" s="2" t="s">
        <v>1349</v>
      </c>
      <c r="C675" s="3" t="str">
        <f>IFERROR(__xludf.DUMMYFUNCTION("GOOGLETRANSLATE(A675,""en"",""hy"")"),"ո՞րն է ԱՄՆ Գերագույն դատարանի իրավասությունը.")</f>
        <v>ո՞րն է ԱՄՆ Գերագույն դատարանի իրավասությունը.</v>
      </c>
      <c r="D675" s="3" t="str">
        <f>IFERROR(__xludf.DUMMYFUNCTION("GOOGLETRANSLATE(B675,""en"",""hy"")"),"ԱՄՆ Գերագույն դատարանի իրավասությունը ներառում է գործեր, որոնք վերաբերում են դաշնային օրենքներին, սահմանադրական խնդիրներին և նահանգների միջև վեճերին:")</f>
        <v>ԱՄՆ Գերագույն դատարանի իրավասությունը ներառում է գործեր, որոնք վերաբերում են դաշնային օրենքներին, սահմանադրական խնդիրներին և նահանգների միջև վեճերին:</v>
      </c>
    </row>
    <row r="676">
      <c r="A676" s="1" t="s">
        <v>1350</v>
      </c>
      <c r="B676" s="2" t="s">
        <v>1351</v>
      </c>
      <c r="C676" s="3" t="str">
        <f>IFERROR(__xludf.DUMMYFUNCTION("GOOGLETRANSLATE(A676,""en"",""hy"")"),"Ի՞նչ ձայն է տալիս Հենք Ազարիան Սիմփսոնների վրա:")</f>
        <v>Ի՞նչ ձայն է տալիս Հենք Ազարիան Սիմփսոնների վրա:</v>
      </c>
      <c r="D676" s="3" t="str">
        <f>IFERROR(__xludf.DUMMYFUNCTION("GOOGLETRANSLATE(B676,""en"",""hy"")"),"Հենք Ազարիան կատարում է «Սիմփսոնների» բազմաթիվ կերպարների ձայնը, այդ թվում՝ Մո Շիսլակը, Ապու Նահասապեեմպետիլոնը, Չեֆ Վիգգումը և Կոմիքս Գայը և այլն:")</f>
        <v>Հենք Ազարիան կատարում է «Սիմփսոնների» բազմաթիվ կերպարների ձայնը, այդ թվում՝ Մո Շիսլակը, Ապու Նահասապեեմպետիլոնը, Չեֆ Վիգգումը և Կոմիքս Գայը և այլն:</v>
      </c>
    </row>
    <row r="677">
      <c r="A677" s="1" t="s">
        <v>1352</v>
      </c>
      <c r="B677" s="2" t="s">
        <v>1353</v>
      </c>
      <c r="C677" s="3" t="str">
        <f>IFERROR(__xludf.DUMMYFUNCTION("GOOGLETRANSLATE(A677,""en"",""hy"")"),"ով է Ճապոնիայի ղեկավարը")</f>
        <v>ով է Ճապոնիայի ղեկավարը</v>
      </c>
      <c r="D677" s="3" t="str">
        <f>IFERROR(__xludf.DUMMYFUNCTION("GOOGLETRANSLATE(B677,""en"",""hy"")"),"Ճապոնիայի ներկայիս ղեկավարը Յոսիհիդե Սուգան է։")</f>
        <v>Ճապոնիայի ներկայիս ղեկավարը Յոսիհիդե Սուգան է։</v>
      </c>
    </row>
    <row r="678">
      <c r="A678" s="1" t="s">
        <v>1354</v>
      </c>
      <c r="B678" s="2" t="s">
        <v>1355</v>
      </c>
      <c r="C678" s="3" t="str">
        <f>IFERROR(__xludf.DUMMYFUNCTION("GOOGLETRANSLATE(A678,""en"",""hy"")"),"ո՞ր ժամային գոտում է գտնվում Մեծ Բրիտանիան այս պահին:")</f>
        <v>ո՞ր ժամային գոտում է գտնվում Մեծ Բրիտանիան այս պահին:</v>
      </c>
      <c r="D678" s="3" t="str">
        <f>IFERROR(__xludf.DUMMYFUNCTION("GOOGLETRANSLATE(B678,""en"",""hy"")"),"Մեծ Բրիտանիան ներկայումս գտնվում է Գրինվիչի ժամանակով (GMT) կամ GMT+0 ժամային գոտում:")</f>
        <v>Մեծ Բրիտանիան ներկայումս գտնվում է Գրինվիչի ժամանակով (GMT) կամ GMT+0 ժամային գոտում:</v>
      </c>
    </row>
    <row r="679">
      <c r="A679" s="1" t="s">
        <v>1356</v>
      </c>
      <c r="B679" s="2" t="s">
        <v>1357</v>
      </c>
      <c r="C679" s="3" t="str">
        <f>IFERROR(__xludf.DUMMYFUNCTION("GOOGLETRANSLATE(A679,""en"",""hy"")"),"ի՞նչ գործիք է նվագում Բելա Ֆլեքը")</f>
        <v>ի՞նչ գործիք է նվագում Բելա Ֆլեքը</v>
      </c>
      <c r="D679" s="3" t="str">
        <f>IFERROR(__xludf.DUMMYFUNCTION("GOOGLETRANSLATE(B679,""en"",""hy"")"),"Բելա Ֆլեքը բանջո է նվագում։")</f>
        <v>Բելա Ֆլեքը բանջո է նվագում։</v>
      </c>
    </row>
    <row r="680">
      <c r="A680" s="1" t="s">
        <v>1358</v>
      </c>
      <c r="B680" s="2" t="s">
        <v>1359</v>
      </c>
      <c r="C680" s="3" t="str">
        <f>IFERROR(__xludf.DUMMYFUNCTION("GOOGLETRANSLATE(A680,""en"",""hy"")"),"ինչ դիրք է զբաղեցնում Ռեյ Ալենը:")</f>
        <v>ինչ դիրք է զբաղեցնում Ռեյ Ալենը:</v>
      </c>
      <c r="D680" s="3" t="str">
        <f>IFERROR(__xludf.DUMMYFUNCTION("GOOGLETRANSLATE(B680,""en"",""hy"")"),"Ռեյ Ալենը թոշակի անցած պրոֆեսիոնալ բասկետբոլիստ է, ով հիմնականում խաղում էր որպես հրաձիգ։")</f>
        <v>Ռեյ Ալենը թոշակի անցած պրոֆեսիոնալ բասկետբոլիստ է, ով հիմնականում խաղում էր որպես հրաձիգ։</v>
      </c>
    </row>
    <row r="681">
      <c r="A681" s="1" t="s">
        <v>1360</v>
      </c>
      <c r="B681" s="2" t="s">
        <v>1361</v>
      </c>
      <c r="C681" s="3" t="str">
        <f>IFERROR(__xludf.DUMMYFUNCTION("GOOGLETRANSLATE(A681,""en"",""hy"")"),"ո՞ր մասնաճյուղն է կազմված ներկայացուցիչների պալատից.")</f>
        <v>ո՞ր մասնաճյուղն է կազմված ներկայացուցիչների պալատից.</v>
      </c>
      <c r="D681" s="3" t="str">
        <f>IFERROR(__xludf.DUMMYFUNCTION("GOOGLETRANSLATE(B681,""en"",""hy"")"),"Ներկայացուցիչների պալատից կազմված մասնաճյուղը օրենսդիր ճյուղն է։")</f>
        <v>Ներկայացուցիչների պալատից կազմված մասնաճյուղը օրենսդիր ճյուղն է։</v>
      </c>
    </row>
    <row r="682">
      <c r="A682" s="1" t="s">
        <v>1362</v>
      </c>
      <c r="B682" s="2" t="s">
        <v>1363</v>
      </c>
      <c r="C682" s="3" t="str">
        <f>IFERROR(__xludf.DUMMYFUNCTION("GOOGLETRANSLATE(A682,""en"",""hy"")"),"որտեղի՞ց են ծագել քրդերը.")</f>
        <v>որտեղի՞ց են ծագել քրդերը.</v>
      </c>
      <c r="D682" s="3" t="str">
        <f>IFERROR(__xludf.DUMMYFUNCTION("GOOGLETRANSLATE(B682,""en"",""hy"")"),"Ենթադրվում է, որ քրդերը ծագել են Արևմտյան Իրանի, Արևելյան Թուրքիայի, Հյուսիսային Իրաքի և Սիրիայի որոշ լեռնային շրջաններից:")</f>
        <v>Ենթադրվում է, որ քրդերը ծագել են Արևմտյան Իրանի, Արևելյան Թուրքիայի, Հյուսիսային Իրաքի և Սիրիայի որոշ լեռնային շրջաններից:</v>
      </c>
    </row>
    <row r="683">
      <c r="A683" s="1" t="s">
        <v>1364</v>
      </c>
      <c r="B683" s="2" t="s">
        <v>1365</v>
      </c>
      <c r="C683" s="3" t="str">
        <f>IFERROR(__xludf.DUMMYFUNCTION("GOOGLETRANSLATE(A683,""en"",""hy"")"),"որտեղ տեղի ունեցավ կանցլերսվիլի ճակատամարտը:")</f>
        <v>որտեղ տեղի ունեցավ կանցլերսվիլի ճակատամարտը:</v>
      </c>
      <c r="D683" s="3" t="str">
        <f>IFERROR(__xludf.DUMMYFUNCTION("GOOGLETRANSLATE(B683,""en"",""hy"")"),"ԱՄՆ Վիրջինիա նահանգում տեղի է ունեցել Չենսելորսվիլի ճակատամարտը։")</f>
        <v>ԱՄՆ Վիրջինիա նահանգում տեղի է ունեցել Չենսելորսվիլի ճակատամարտը։</v>
      </c>
    </row>
    <row r="684">
      <c r="A684" s="1" t="s">
        <v>1366</v>
      </c>
      <c r="B684" s="2" t="s">
        <v>1367</v>
      </c>
      <c r="C684" s="3" t="str">
        <f>IFERROR(__xludf.DUMMYFUNCTION("GOOGLETRANSLATE(A684,""en"",""hy"")"),"ո՞ր տարին էր ձագերի վերջին համաշխարհային շարքը:")</f>
        <v>ո՞ր տարին էր ձագերի վերջին համաշխարհային շարքը:</v>
      </c>
      <c r="D684" s="3" t="str">
        <f>IFERROR(__xludf.DUMMYFUNCTION("GOOGLETRANSLATE(B684,""en"",""hy"")"),"Չիկագո Քաբսը վերջին անգամ աշխարհի առաջնությունում հաղթել է 2016 թվականին:")</f>
        <v>Չիկագո Քաբսը վերջին անգամ աշխարհի առաջնությունում հաղթել է 2016 թվականին:</v>
      </c>
    </row>
    <row r="685">
      <c r="A685" s="1" t="s">
        <v>1368</v>
      </c>
      <c r="B685" s="2" t="s">
        <v>1369</v>
      </c>
      <c r="C685" s="3" t="str">
        <f>IFERROR(__xludf.DUMMYFUNCTION("GOOGLETRANSLATE(A685,""en"",""hy"")"),"Ո՞վ է խաղում բազեների վրիժառուների ֆիլմում:")</f>
        <v>Ո՞վ է խաղում բազեների վրիժառուների ֆիլմում:</v>
      </c>
      <c r="D685" s="3" t="str">
        <f>IFERROR(__xludf.DUMMYFUNCTION("GOOGLETRANSLATE(B685,""en"",""hy"")"),"Ջերեմի Ռեններ.")</f>
        <v>Ջերեմի Ռեններ.</v>
      </c>
    </row>
    <row r="686">
      <c r="A686" s="1" t="s">
        <v>1370</v>
      </c>
      <c r="B686" s="2" t="s">
        <v>1371</v>
      </c>
      <c r="C686" s="3" t="str">
        <f>IFERROR(__xludf.DUMMYFUNCTION("GOOGLETRANSLATE(A686,""en"",""hy"")"),"ո՞ր երկիրն է խոսում անգլերենը որպես մայրենի լեզու:")</f>
        <v>ո՞ր երկիրն է խոսում անգլերենը որպես մայրենի լեզու:</v>
      </c>
      <c r="D686" s="3" t="str">
        <f>IFERROR(__xludf.DUMMYFUNCTION("GOOGLETRANSLATE(B686,""en"",""hy"")"),"Անգլերենը որպես մայրենի լեզու խոսող երկիրը Անգլիան է։")</f>
        <v>Անգլերենը որպես մայրենի լեզու խոսող երկիրը Անգլիան է։</v>
      </c>
    </row>
    <row r="687">
      <c r="A687" s="1" t="s">
        <v>1372</v>
      </c>
      <c r="B687" s="2" t="s">
        <v>1373</v>
      </c>
      <c r="C687" s="3" t="str">
        <f>IFERROR(__xludf.DUMMYFUNCTION("GOOGLETRANSLATE(A687,""en"",""hy"")"),"ով էր թագավոր կամ թագուհի Վիկտորիայից հետո")</f>
        <v>ով էր թագավոր կամ թագուհի Վիկտորիայից հետո</v>
      </c>
      <c r="D687" s="3" t="str">
        <f>IFERROR(__xludf.DUMMYFUNCTION("GOOGLETRANSLATE(B687,""en"",""hy"")"),"Թագավոր Էդվարդ VII")</f>
        <v>Թագավոր Էդվարդ VII</v>
      </c>
    </row>
    <row r="688">
      <c r="A688" s="1" t="s">
        <v>1374</v>
      </c>
      <c r="B688" s="2" t="s">
        <v>1375</v>
      </c>
      <c r="C688" s="3" t="str">
        <f>IFERROR(__xludf.DUMMYFUNCTION("GOOGLETRANSLATE(A688,""en"",""hy"")"),"ինչ ֆիլմում է խաղացել Ռիհաննան")</f>
        <v>ինչ ֆիլմում է խաղացել Ռիհաննան</v>
      </c>
      <c r="D688" s="3" t="str">
        <f>IFERROR(__xludf.DUMMYFUNCTION("GOOGLETRANSLATE(B688,""en"",""hy"")"),"Ռիհաննան խաղացել է «Օուշենի 8» ֆիլմում։")</f>
        <v>Ռիհաննան խաղացել է «Օուշենի 8» ֆիլմում։</v>
      </c>
    </row>
    <row r="689">
      <c r="A689" s="1" t="s">
        <v>1376</v>
      </c>
      <c r="B689" s="2" t="s">
        <v>1377</v>
      </c>
      <c r="C689" s="3" t="str">
        <f>IFERROR(__xludf.DUMMYFUNCTION("GOOGLETRANSLATE(A689,""en"",""hy"")"),"Ե՞րբ է վերջին անգամ Օքլենդի ռեյդերները եղել սուպեր գավաթում:")</f>
        <v>Ե՞րբ է վերջին անգամ Օքլենդի ռեյդերները եղել սուպեր գավաթում:</v>
      </c>
      <c r="D689" s="3" t="str">
        <f>IFERROR(__xludf.DUMMYFUNCTION("GOOGLETRANSLATE(B689,""en"",""hy"")"),"Oakland Raiders-ը վերջին անգամ Super Bowl-ում մասնակցել է 2003 թվականին:")</f>
        <v>Oakland Raiders-ը վերջին անգամ Super Bowl-ում մասնակցել է 2003 թվականին:</v>
      </c>
    </row>
    <row r="690">
      <c r="A690" s="1" t="s">
        <v>1378</v>
      </c>
      <c r="B690" s="2" t="s">
        <v>1379</v>
      </c>
      <c r="C690" s="3" t="str">
        <f>IFERROR(__xludf.DUMMYFUNCTION("GOOGLETRANSLATE(A690,""en"",""hy"")"),"Ինչ կրոն էր Մերի Թոդ Լինքոլնը:")</f>
        <v>Ինչ կրոն էր Մերի Թոդ Լինքոլնը:</v>
      </c>
      <c r="D690" s="3" t="str">
        <f>IFERROR(__xludf.DUMMYFUNCTION("GOOGLETRANSLATE(B690,""en"",""hy"")"),"Մերի Թոդ Լինքոլնը մեծացել է Պրեսբիտերական եկեղեցում, սակայն հետագայում դարձի է եկել Եպիսկոպոսական եկեղեցու։")</f>
        <v>Մերի Թոդ Լինքոլնը մեծացել է Պրեսբիտերական եկեղեցում, սակայն հետագայում դարձի է եկել Եպիսկոպոսական եկեղեցու։</v>
      </c>
    </row>
    <row r="691">
      <c r="A691" s="1" t="s">
        <v>1380</v>
      </c>
      <c r="B691" s="2" t="s">
        <v>1381</v>
      </c>
      <c r="C691" s="3" t="str">
        <f>IFERROR(__xludf.DUMMYFUNCTION("GOOGLETRANSLATE(A691,""en"",""hy"")"),"ումի՞ց է կազմված ներկայացուցիչների պալատը.")</f>
        <v>ումի՞ց է կազմված ներկայացուցիչների պալատը.</v>
      </c>
      <c r="D691" s="3" t="str">
        <f>IFERROR(__xludf.DUMMYFUNCTION("GOOGLETRANSLATE(B691,""en"",""hy"")"),"Ներկայացուցիչների պալատը կազմված է ժողովրդի կողմից ընտրված անդամներից։")</f>
        <v>Ներկայացուցիչների պալատը կազմված է ժողովրդի կողմից ընտրված անդամներից։</v>
      </c>
    </row>
    <row r="692">
      <c r="A692" s="1" t="s">
        <v>1382</v>
      </c>
      <c r="B692" s="2" t="s">
        <v>1383</v>
      </c>
      <c r="C692" s="3" t="str">
        <f>IFERROR(__xludf.DUMMYFUNCTION("GOOGLETRANSLATE(A692,""en"",""hy"")"),"ո՞ւմ համար է խաղացել Ջեյսոն Քիդը:")</f>
        <v>ո՞ւմ համար է խաղացել Ջեյսոն Քիդը:</v>
      </c>
      <c r="D692" s="3" t="str">
        <f>IFERROR(__xludf.DUMMYFUNCTION("GOOGLETRANSLATE(B692,""en"",""hy"")"),"Ջեյսոն Քիդը խաղացել է Դալաս Մավերիկսում, Ֆենիքս Սանսում, Նյու Ջերսի Նեթսում և Նյու Յորք Նիքսում։")</f>
        <v>Ջեյսոն Քիդը խաղացել է Դալաս Մավերիկսում, Ֆենիքս Սանսում, Նյու Ջերսի Նեթսում և Նյու Յորք Նիքսում։</v>
      </c>
    </row>
    <row r="693">
      <c r="A693" s="1" t="s">
        <v>1384</v>
      </c>
      <c r="B693" s="2" t="s">
        <v>1385</v>
      </c>
      <c r="C693" s="3" t="str">
        <f>IFERROR(__xludf.DUMMYFUNCTION("GOOGLETRANSLATE(A693,""en"",""hy"")"),"որտեղ է Verizon-ի շտաբը")</f>
        <v>որտեղ է Verizon-ի շտաբը</v>
      </c>
      <c r="D693" s="3" t="str">
        <f>IFERROR(__xludf.DUMMYFUNCTION("GOOGLETRANSLATE(B693,""en"",""hy"")"),"Verizon-ի շտաբ-բնակարանը գտնվում է ԱՄՆ-ի Նյու Յորք քաղաքում:")</f>
        <v>Verizon-ի շտաբ-բնակարանը գտնվում է ԱՄՆ-ի Նյու Յորք քաղաքում:</v>
      </c>
    </row>
    <row r="694">
      <c r="A694" s="1" t="s">
        <v>1386</v>
      </c>
      <c r="B694" s="2" t="s">
        <v>1387</v>
      </c>
      <c r="C694" s="3" t="str">
        <f>IFERROR(__xludf.DUMMYFUNCTION("GOOGLETRANSLATE(A694,""en"",""hy"")"),"որտեղ է գտնվում Կիպրոսի երկիրը")</f>
        <v>որտեղ է գտնվում Կիպրոսի երկիրը</v>
      </c>
      <c r="D694" s="3" t="str">
        <f>IFERROR(__xludf.DUMMYFUNCTION("GOOGLETRANSLATE(B694,""en"",""hy"")"),"Կիպրոսը գտնվում է Արևելյան Միջերկրական ծովում։")</f>
        <v>Կիպրոսը գտնվում է Արևելյան Միջերկրական ծովում։</v>
      </c>
    </row>
    <row r="695">
      <c r="A695" s="1" t="s">
        <v>1388</v>
      </c>
      <c r="B695" s="2" t="s">
        <v>1389</v>
      </c>
      <c r="C695" s="3" t="str">
        <f>IFERROR(__xludf.DUMMYFUNCTION("GOOGLETRANSLATE(A695,""en"",""hy"")"),"ով է հորինել dell համակարգիչը:")</f>
        <v>ով է հորինել dell համակարգիչը:</v>
      </c>
      <c r="D695" s="3" t="str">
        <f>IFERROR(__xludf.DUMMYFUNCTION("GOOGLETRANSLATE(B695,""en"",""hy"")"),"Մայքլ Դելլ.")</f>
        <v>Մայքլ Դելլ.</v>
      </c>
    </row>
    <row r="696">
      <c r="A696" s="1" t="s">
        <v>1390</v>
      </c>
      <c r="B696" s="2" t="s">
        <v>1391</v>
      </c>
      <c r="C696" s="3" t="str">
        <f>IFERROR(__xludf.DUMMYFUNCTION("GOOGLETRANSLATE(A696,""en"",""hy"")"),"որտեղի՞ց է հայտնվել Մորգան Ֆրիմենը:")</f>
        <v>որտեղի՞ց է հայտնվել Մորգան Ֆրիմենը:</v>
      </c>
      <c r="D696" s="3" t="str">
        <f>IFERROR(__xludf.DUMMYFUNCTION("GOOGLETRANSLATE(B696,""en"",""hy"")"),"Մորգան Ֆրիմանը ծնվել է ԱՄՆ Թենեսի նահանգի Մեմֆիս քաղաքում։")</f>
        <v>Մորգան Ֆրիմանը ծնվել է ԱՄՆ Թենեսի նահանգի Մեմֆիս քաղաքում։</v>
      </c>
    </row>
    <row r="697">
      <c r="A697" s="1" t="s">
        <v>1392</v>
      </c>
      <c r="B697" s="2" t="s">
        <v>1393</v>
      </c>
      <c r="C697" s="3" t="str">
        <f>IFERROR(__xludf.DUMMYFUNCTION("GOOGLETRANSLATE(A697,""en"",""hy"")"),"որտեղ է մեծացել Բոբ Բարքերը")</f>
        <v>որտեղ է մեծացել Բոբ Բարքերը</v>
      </c>
      <c r="D697" s="3" t="str">
        <f>IFERROR(__xludf.DUMMYFUNCTION("GOOGLETRANSLATE(B697,""en"",""hy"")"),"Բոբ Բարքերը մեծացել է Դարինգթոնում, Վաշինգտոն:")</f>
        <v>Բոբ Բարքերը մեծացել է Դարինգթոնում, Վաշինգտոն:</v>
      </c>
    </row>
    <row r="698">
      <c r="A698" s="1" t="s">
        <v>1394</v>
      </c>
      <c r="B698" s="2" t="s">
        <v>1395</v>
      </c>
      <c r="C698" s="3" t="str">
        <f>IFERROR(__xludf.DUMMYFUNCTION("GOOGLETRANSLATE(A698,""en"",""hy"")"),"ինչ են Քինգ Չարլզ Սպանիելները:")</f>
        <v>ինչ են Քինգ Չարլզ Սպանիելները:</v>
      </c>
      <c r="D698" s="3" t="str">
        <f>IFERROR(__xludf.DUMMYFUNCTION("GOOGLETRANSLATE(B698,""en"",""hy"")"),"Քինգ Չարլզ Սպանիելները փոքրիկ խաղալիք շների ցեղատեսակ են, որոնք հայտնի են իրենց ընկերասեր և սիրալիր բնավորությամբ:")</f>
        <v>Քինգ Չարլզ Սպանիելները փոքրիկ խաղալիք շների ցեղատեսակ են, որոնք հայտնի են իրենց ընկերասեր և սիրալիր բնավորությամբ:</v>
      </c>
    </row>
    <row r="699">
      <c r="A699" s="1" t="s">
        <v>1396</v>
      </c>
      <c r="B699" s="2" t="s">
        <v>1397</v>
      </c>
      <c r="C699" s="3" t="str">
        <f>IFERROR(__xludf.DUMMYFUNCTION("GOOGLETRANSLATE(A699,""en"",""hy"")"),"Ե՞րբ է նախագծվել չինական դրոշը:")</f>
        <v>Ե՞րբ է նախագծվել չինական դրոշը:</v>
      </c>
      <c r="D699" s="3" t="str">
        <f>IFERROR(__xludf.DUMMYFUNCTION("GOOGLETRANSLATE(B699,""en"",""hy"")"),"Չինաստանի դրոշը նախագծվել է 1949 թվականին։")</f>
        <v>Չինաստանի դրոշը նախագծվել է 1949 թվականին։</v>
      </c>
    </row>
    <row r="700">
      <c r="A700" s="1" t="s">
        <v>1398</v>
      </c>
      <c r="B700" s="2" t="s">
        <v>1399</v>
      </c>
      <c r="C700" s="3" t="str">
        <f>IFERROR(__xludf.DUMMYFUNCTION("GOOGLETRANSLATE(A700,""en"",""hy"")"),"որտեղի՞ց են առաջացել բոստոն տերիերները:")</f>
        <v>որտեղի՞ց են առաջացել բոստոն տերիերները:</v>
      </c>
      <c r="D700" s="3" t="str">
        <f>IFERROR(__xludf.DUMMYFUNCTION("GOOGLETRANSLATE(B700,""en"",""hy"")"),"Boston Terriers-ը ծագել է ԱՄՆ-ում։")</f>
        <v>Boston Terriers-ը ծագել է ԱՄՆ-ում։</v>
      </c>
    </row>
    <row r="701">
      <c r="A701" s="1" t="s">
        <v>1400</v>
      </c>
      <c r="B701" s="2" t="s">
        <v>1401</v>
      </c>
      <c r="C701" s="3" t="str">
        <f>IFERROR(__xludf.DUMMYFUNCTION("GOOGLETRANSLATE(A701,""en"",""hy"")"),"ի՞նչն է խելացի դարձնում Էյնշտեյնին")</f>
        <v>ի՞նչն է խելացի դարձնում Էյնշտեյնին</v>
      </c>
      <c r="D701" s="3" t="str">
        <f>IFERROR(__xludf.DUMMYFUNCTION("GOOGLETRANSLATE(B701,""en"",""hy"")"),"Ալբերտ Էյնշտեյնը լայնորեն համարվում էր հանճար՝ շնորհիվ իր բացառիկ խելացիության, վերլուծական մտածողության, երևակայության և գիտական ​​գործունեության մեջ հաստատակամության:")</f>
        <v>Ալբերտ Էյնշտեյնը լայնորեն համարվում էր հանճար՝ շնորհիվ իր բացառիկ խելացիության, վերլուծական մտածողության, երևակայության և գիտական ​​գործունեության մեջ հաստատակամության:</v>
      </c>
    </row>
    <row r="702">
      <c r="A702" s="1" t="s">
        <v>1402</v>
      </c>
      <c r="B702" s="2" t="s">
        <v>1403</v>
      </c>
      <c r="C702" s="3" t="str">
        <f>IFERROR(__xludf.DUMMYFUNCTION("GOOGLETRANSLATE(A702,""en"",""hy"")"),"ով խաղացել է juni լրտես երեխաների մեջ 4?")</f>
        <v>ով խաղացել է juni լրտես երեխաների մեջ 4?</v>
      </c>
      <c r="D702" s="3" t="str">
        <f>IFERROR(__xludf.DUMMYFUNCTION("GOOGLETRANSLATE(B702,""en"",""hy"")"),"Մեյսոն Կուկ.")</f>
        <v>Մեյսոն Կուկ.</v>
      </c>
    </row>
    <row r="703">
      <c r="A703" s="1" t="s">
        <v>1404</v>
      </c>
      <c r="B703" s="2" t="s">
        <v>1405</v>
      </c>
      <c r="C703" s="3" t="str">
        <f>IFERROR(__xludf.DUMMYFUNCTION("GOOGLETRANSLATE(A703,""en"",""hy"")"),"Ո՞ր տարին է սկսվել Նյու Յորքի հանդիպումները:")</f>
        <v>Ո՞ր տարին է սկսվել Նյու Յորքի հանդիպումները:</v>
      </c>
      <c r="D703" s="3" t="str">
        <f>IFERROR(__xludf.DUMMYFUNCTION("GOOGLETRANSLATE(B703,""en"",""hy"")"),"Նյու Յորք Մեծը սկսվել է 1962 թվականին։")</f>
        <v>Նյու Յորք Մեծը սկսվել է 1962 թվականին։</v>
      </c>
    </row>
    <row r="704">
      <c r="A704" s="1" t="s">
        <v>1406</v>
      </c>
      <c r="B704" s="2" t="s">
        <v>1407</v>
      </c>
      <c r="C704" s="3" t="str">
        <f>IFERROR(__xludf.DUMMYFUNCTION("GOOGLETRANSLATE(A704,""en"",""hy"")"),"որտեղ է մեծացել Նիլ Գեյմանը")</f>
        <v>որտեղ է մեծացել Նիլ Գեյմանը</v>
      </c>
      <c r="D704" s="3" t="str">
        <f>IFERROR(__xludf.DUMMYFUNCTION("GOOGLETRANSLATE(B704,""en"",""hy"")"),"Նիլ Գեյմանը մեծացել է Անգլիայում։")</f>
        <v>Նիլ Գեյմանը մեծացել է Անգլիայում։</v>
      </c>
    </row>
    <row r="705">
      <c r="A705" s="1" t="s">
        <v>1408</v>
      </c>
      <c r="B705" s="2" t="s">
        <v>1409</v>
      </c>
      <c r="C705" s="3" t="str">
        <f>IFERROR(__xludf.DUMMYFUNCTION("GOOGLETRANSLATE(A705,""en"",""hy"")"),"ի՞նչ գրքեր է գրել Արիստոտելը:")</f>
        <v>ի՞նչ գրքեր է գրել Արիստոտելը:</v>
      </c>
      <c r="D705" s="3" t="str">
        <f>IFERROR(__xludf.DUMMYFUNCTION("GOOGLETRANSLATE(B705,""en"",""hy"")"),"Արիստոտելը գրել է մի քանի գրքեր, այդ թվում՝ «Նիկոմաքեյան էթիկան», «Քաղաքականություն», «Մետաֆիզիկա» և «Ֆիզիկա», ի թիվս այլոց։")</f>
        <v>Արիստոտելը գրել է մի քանի գրքեր, այդ թվում՝ «Նիկոմաքեյան էթիկան», «Քաղաքականություն», «Մետաֆիզիկա» և «Ֆիզիկա», ի թիվս այլոց։</v>
      </c>
    </row>
    <row r="706">
      <c r="A706" s="1" t="s">
        <v>1410</v>
      </c>
      <c r="B706" s="2" t="s">
        <v>1411</v>
      </c>
      <c r="C706" s="3" t="str">
        <f>IFERROR(__xludf.DUMMYFUNCTION("GOOGLETRANSLATE(A706,""en"",""hy"")"),"որտեղ է գտնվում ԵՄ կենտրոնակայանը")</f>
        <v>որտեղ է գտնվում ԵՄ կենտրոնակայանը</v>
      </c>
      <c r="D706" s="3" t="str">
        <f>IFERROR(__xludf.DUMMYFUNCTION("GOOGLETRANSLATE(B706,""en"",""hy"")"),"Եվրամիության կենտրոնակայանը գտնվում է Բելգիայի Բրյուսել քաղաքում։")</f>
        <v>Եվրամիության կենտրոնակայանը գտնվում է Բելգիայի Բրյուսել քաղաքում։</v>
      </c>
    </row>
    <row r="707">
      <c r="A707" s="1" t="s">
        <v>1412</v>
      </c>
      <c r="B707" s="2" t="s">
        <v>1413</v>
      </c>
      <c r="C707" s="3" t="str">
        <f>IFERROR(__xludf.DUMMYFUNCTION("GOOGLETRANSLATE(A707,""en"",""hy"")"),"ո՞վ է հիմա ղեկավարում կորնելիա մարին:")</f>
        <v>ո՞վ է հիմա ղեկավարում կորնելիա մարին:</v>
      </c>
      <c r="D707" s="3" t="str">
        <f>IFERROR(__xludf.DUMMYFUNCTION("GOOGLETRANSLATE(B707,""en"",""hy"")"),"Ջոշ Հարիսը ներկայումս ղեկավարում է Cornelia Marie-ն:")</f>
        <v>Ջոշ Հարիսը ներկայումս ղեկավարում է Cornelia Marie-ն:</v>
      </c>
    </row>
    <row r="708">
      <c r="A708" s="1" t="s">
        <v>1414</v>
      </c>
      <c r="B708" s="2" t="s">
        <v>1415</v>
      </c>
      <c r="C708" s="3" t="str">
        <f>IFERROR(__xludf.DUMMYFUNCTION("GOOGLETRANSLATE(A708,""en"",""hy"")"),"որտեղ է մահացել Ջոն Մյուրը")</f>
        <v>որտեղ է մահացել Ջոն Մյուրը</v>
      </c>
      <c r="D708" s="3" t="str">
        <f>IFERROR(__xludf.DUMMYFUNCTION("GOOGLETRANSLATE(B708,""en"",""hy"")"),"Ջոն Մյուիրը մահացել է Լոս Անջելեսում, Կալիֆորնիա։")</f>
        <v>Ջոն Մյուիրը մահացել է Լոս Անջելեսում, Կալիֆորնիա։</v>
      </c>
    </row>
    <row r="709">
      <c r="A709" s="1" t="s">
        <v>1416</v>
      </c>
      <c r="B709" s="2" t="s">
        <v>1417</v>
      </c>
      <c r="C709" s="3" t="str">
        <f>IFERROR(__xludf.DUMMYFUNCTION("GOOGLETRANSLATE(A709,""en"",""hy"")"),"որտեղ է մեծացել Սելենա Գոմեսը")</f>
        <v>որտեղ է մեծացել Սելենա Գոմեսը</v>
      </c>
      <c r="D709" s="3" t="str">
        <f>IFERROR(__xludf.DUMMYFUNCTION("GOOGLETRANSLATE(B709,""en"",""hy"")"),"Սելենա Գոմեսը մեծացել է Գրանդ Պրեյրիում, Տեխաս:")</f>
        <v>Սելենա Գոմեսը մեծացել է Գրանդ Պրեյրիում, Տեխաս:</v>
      </c>
    </row>
    <row r="710">
      <c r="A710" s="1" t="s">
        <v>1418</v>
      </c>
      <c r="B710" s="2" t="s">
        <v>1419</v>
      </c>
      <c r="C710" s="3" t="str">
        <f>IFERROR(__xludf.DUMMYFUNCTION("GOOGLETRANSLATE(A710,""en"",""hy"")"),"որ երկրներն են գտնվում Անդյան տարածաշրջանում:")</f>
        <v>որ երկրներն են գտնվում Անդյան տարածաշրջանում:</v>
      </c>
      <c r="D710" s="3" t="str">
        <f>IFERROR(__xludf.DUMMYFUNCTION("GOOGLETRANSLATE(B710,""en"",""hy"")"),"Անդյան տարածաշրջանի երկրներն են՝ Կոլումբիան, Էկվադորը, Պերուն, Բոլիվիան և Չիլին։")</f>
        <v>Անդյան տարածաշրջանի երկրներն են՝ Կոլումբիան, Էկվադորը, Պերուն, Բոլիվիան և Չիլին։</v>
      </c>
    </row>
    <row r="711">
      <c r="A711" s="1" t="s">
        <v>1420</v>
      </c>
      <c r="B711" s="2" t="s">
        <v>1421</v>
      </c>
      <c r="C711" s="3" t="str">
        <f>IFERROR(__xludf.DUMMYFUNCTION("GOOGLETRANSLATE(A711,""en"",""hy"")"),"ով է ստեղծել անգլերեն այբուբենը:")</f>
        <v>ով է ստեղծել անգլերեն այբուբենը:</v>
      </c>
      <c r="D711" s="3" t="str">
        <f>IFERROR(__xludf.DUMMYFUNCTION("GOOGLETRANSLATE(B711,""en"",""hy"")"),"Անգլերեն այբուբենը չի ստեղծվել որևէ մեկի կողմից: Այն ժամանակի ընթացքում առաջացել է տարբեր հին այբուբեններից, այդ թվում՝ փյունիկյան այբուբենից։")</f>
        <v>Անգլերեն այբուբենը չի ստեղծվել որևէ մեկի կողմից: Այն ժամանակի ընթացքում առաջացել է տարբեր հին այբուբեններից, այդ թվում՝ փյունիկյան այբուբենից։</v>
      </c>
    </row>
    <row r="712">
      <c r="A712" s="1" t="s">
        <v>1422</v>
      </c>
      <c r="B712" s="2" t="s">
        <v>1423</v>
      </c>
      <c r="C712" s="3" t="str">
        <f>IFERROR(__xludf.DUMMYFUNCTION("GOOGLETRANSLATE(A712,""en"",""hy"")"),"ե՞րբ է վերջին անգամ Սան Ֆրանցիսկոյի հսկաները հաղթել համաշխարհային շարքում:")</f>
        <v>ե՞րբ է վերջին անգամ Սան Ֆրանցիսկոյի հսկաները հաղթել համաշխարհային շարքում:</v>
      </c>
      <c r="D712" s="3" t="str">
        <f>IFERROR(__xludf.DUMMYFUNCTION("GOOGLETRANSLATE(B712,""en"",""hy"")"),"Սան Ֆրանցիսկո Ջայանցը վերջին անգամ աշխարհի առաջնությունում հաղթել է 2014 թվականին:")</f>
        <v>Սան Ֆրանցիսկո Ջայանցը վերջին անգամ աշխարհի առաջնությունում հաղթել է 2014 թվականին:</v>
      </c>
    </row>
    <row r="713">
      <c r="A713" s="1" t="s">
        <v>1424</v>
      </c>
      <c r="B713" s="2" t="s">
        <v>1425</v>
      </c>
      <c r="C713" s="3" t="str">
        <f>IFERROR(__xludf.DUMMYFUNCTION("GOOGLETRANSLATE(A713,""en"",""hy"")"),"ո՞ր օդանավակայան եք թռչում դեպի ուղղություն:")</f>
        <v>ո՞ր օդանավակայան եք թռչում դեպի ուղղություն:</v>
      </c>
      <c r="D713" s="3" t="str">
        <f>IFERROR(__xludf.DUMMYFUNCTION("GOOGLETRANSLATE(B713,""en"",""hy"")"),"Օդանավակայանը, որտեղ դուք թռչում եք Դեստինի համար, Հյուսիսարևմտյան Ֆլորիդայի տարածաշրջանային օդանավակայանն է (VPS):")</f>
        <v>Օդանավակայանը, որտեղ դուք թռչում եք Դեստինի համար, Հյուսիսարևմտյան Ֆլորիդայի տարածաշրջանային օդանավակայանն է (VPS):</v>
      </c>
    </row>
    <row r="714">
      <c r="A714" s="1" t="s">
        <v>1426</v>
      </c>
      <c r="B714" s="2" t="s">
        <v>1427</v>
      </c>
      <c r="C714" s="3" t="str">
        <f>IFERROR(__xludf.DUMMYFUNCTION("GOOGLETRANSLATE(A714,""en"",""hy"")"),"ով է խաղացել Վիոլետի մորը Չարլիում և շոկոլադի գործարանում:")</f>
        <v>ով է խաղացել Վիոլետի մորը Չարլիում և շոկոլադի գործարանում:</v>
      </c>
      <c r="D714" s="3" t="str">
        <f>IFERROR(__xludf.DUMMYFUNCTION("GOOGLETRANSLATE(B714,""en"",""hy"")"),"Հելենա Բոնեմ Քարթեր.")</f>
        <v>Հելենա Բոնեմ Քարթեր.</v>
      </c>
    </row>
    <row r="715">
      <c r="A715" s="1" t="s">
        <v>1428</v>
      </c>
      <c r="B715" s="2" t="s">
        <v>1429</v>
      </c>
      <c r="C715" s="3" t="str">
        <f>IFERROR(__xludf.DUMMYFUNCTION("GOOGLETRANSLATE(A715,""en"",""hy"")"),"Ո՞ր երկրից էր Ջորջ Վաշինգթոնը")</f>
        <v>Ո՞ր երկրից էր Ջորջ Վաշինգթոնը</v>
      </c>
      <c r="D715" s="3" t="str">
        <f>IFERROR(__xludf.DUMMYFUNCTION("GOOGLETRANSLATE(B715,""en"",""hy"")"),"Ջորջ Վաշինգտոնը Միացյալ Նահանգներից էր։")</f>
        <v>Ջորջ Վաշինգտոնը Միացյալ Նահանգներից էր։</v>
      </c>
    </row>
    <row r="716">
      <c r="A716" s="1" t="s">
        <v>1430</v>
      </c>
      <c r="B716" s="2" t="s">
        <v>1431</v>
      </c>
      <c r="C716" s="3" t="str">
        <f>IFERROR(__xludf.DUMMYFUNCTION("GOOGLETRANSLATE(A716,""en"",""hy"")"),"Ո՞ր տարին է խաղացել Փիթ Ռոուզը:")</f>
        <v>Ո՞ր տարին է խաղացել Փիթ Ռոուզը:</v>
      </c>
      <c r="D716" s="3" t="str">
        <f>IFERROR(__xludf.DUMMYFUNCTION("GOOGLETRANSLATE(B716,""en"",""hy"")"),"Փիթ Ռոուզը խաղացել է 1963-ից 1986 թվականներին։")</f>
        <v>Փիթ Ռոուզը խաղացել է 1963-ից 1986 թվականներին։</v>
      </c>
    </row>
    <row r="717">
      <c r="A717" s="1" t="s">
        <v>1432</v>
      </c>
      <c r="B717" s="2" t="s">
        <v>1433</v>
      </c>
      <c r="C717" s="3" t="str">
        <f>IFERROR(__xludf.DUMMYFUNCTION("GOOGLETRANSLATE(A717,""en"",""hy"")"),"որտեղ է ապրում kyla ross-ը")</f>
        <v>որտեղ է ապրում kyla ross-ը</v>
      </c>
      <c r="D717" s="3" t="str">
        <f>IFERROR(__xludf.DUMMYFUNCTION("GOOGLETRANSLATE(B717,""en"",""hy"")"),"Ներողություն եմ խնդրում, բայց ես մուտք չունեմ անհատների անձնական տվյալներին, եթե դրանք ինձ հետ չեն կիսվել մեր զրույցի ընթացքում:")</f>
        <v>Ներողություն եմ խնդրում, բայց ես մուտք չունեմ անհատների անձնական տվյալներին, եթե դրանք ինձ հետ չեն կիսվել մեր զրույցի ընթացքում:</v>
      </c>
    </row>
    <row r="718">
      <c r="A718" s="1" t="s">
        <v>1434</v>
      </c>
      <c r="B718" s="2" t="s">
        <v>1435</v>
      </c>
      <c r="C718" s="3" t="str">
        <f>IFERROR(__xludf.DUMMYFUNCTION("GOOGLETRANSLATE(A718,""en"",""hy"")"),"Ե՞րբ է զորակոչվել Ալեն Այվերսոնը:")</f>
        <v>Ե՞րբ է զորակոչվել Ալեն Այվերսոնը:</v>
      </c>
      <c r="D718" s="3" t="str">
        <f>IFERROR(__xludf.DUMMYFUNCTION("GOOGLETRANSLATE(B718,""en"",""hy"")"),"Ալեն Այվերսոնը զորակոչվել է 1996թ.")</f>
        <v>Ալեն Այվերսոնը զորակոչվել է 1996թ.</v>
      </c>
    </row>
    <row r="719">
      <c r="A719" s="1" t="s">
        <v>1436</v>
      </c>
      <c r="B719" s="2" t="s">
        <v>1437</v>
      </c>
      <c r="C719" s="3" t="str">
        <f>IFERROR(__xludf.DUMMYFUNCTION("GOOGLETRANSLATE(A719,""en"",""hy"")"),"ինչ է երգում Ջեքսոն Բրաունը")</f>
        <v>ինչ է երգում Ջեքսոն Բրաունը</v>
      </c>
      <c r="D719" s="3" t="str">
        <f>IFERROR(__xludf.DUMMYFUNCTION("GOOGLETRANSLATE(B719,""en"",""hy"")"),"Ջեքսոն Բրաունը երգում է ֆոլկ ռոք երաժշտություն։")</f>
        <v>Ջեքսոն Բրաունը երգում է ֆոլկ ռոք երաժշտություն։</v>
      </c>
    </row>
    <row r="720">
      <c r="A720" s="1" t="s">
        <v>1438</v>
      </c>
      <c r="B720" s="2" t="s">
        <v>1439</v>
      </c>
      <c r="C720" s="3" t="str">
        <f>IFERROR(__xludf.DUMMYFUNCTION("GOOGLETRANSLATE(A720,""en"",""hy"")"),"ով է խաղում Ֆերիս Բյուլերի լավագույն ընկերոջ դերը:")</f>
        <v>ով է խաղում Ֆերիս Բյուլերի լավագույն ընկերոջ դերը:</v>
      </c>
      <c r="D720" s="3" t="str">
        <f>IFERROR(__xludf.DUMMYFUNCTION("GOOGLETRANSLATE(B720,""en"",""hy"")"),"Ալան Ռակ.")</f>
        <v>Ալան Ռակ.</v>
      </c>
    </row>
    <row r="721">
      <c r="A721" s="1" t="s">
        <v>1440</v>
      </c>
      <c r="B721" s="2" t="s">
        <v>1441</v>
      </c>
      <c r="C721" s="3" t="str">
        <f>IFERROR(__xludf.DUMMYFUNCTION("GOOGLETRANSLATE(A721,""en"",""hy"")"),"ինչում էր Աննա Քենդրիկը")</f>
        <v>ինչում էր Աննա Քենդրիկը</v>
      </c>
      <c r="D721" s="3" t="str">
        <f>IFERROR(__xludf.DUMMYFUNCTION("GOOGLETRANSLATE(B721,""en"",""hy"")"),"Աննա Քենդրիկը նկարահանվել է այնպիսի ֆիլմերում, ինչպիսիք են «Pitch Perfect», «Up in the Air», «The Twilight Saga» և «Into the Woods»:")</f>
        <v>Աննա Քենդրիկը նկարահանվել է այնպիսի ֆիլմերում, ինչպիսիք են «Pitch Perfect», «Up in the Air», «The Twilight Saga» և «Into the Woods»:</v>
      </c>
    </row>
    <row r="722">
      <c r="A722" s="1" t="s">
        <v>1442</v>
      </c>
      <c r="B722" s="2" t="s">
        <v>1443</v>
      </c>
      <c r="C722" s="3" t="str">
        <f>IFERROR(__xludf.DUMMYFUNCTION("GOOGLETRANSLATE(A722,""en"",""hy"")"),"որո՞նք են Միացյալ Նահանգների հիմնական ներմուծումները:")</f>
        <v>որո՞նք են Միացյալ Նահանգների հիմնական ներմուծումները:</v>
      </c>
      <c r="D722" s="3" t="str">
        <f>IFERROR(__xludf.DUMMYFUNCTION("GOOGLETRANSLATE(B722,""en"",""hy"")"),"Միացյալ Նահանգների որոշ հիմնական ներմուծումներից են ավտոմեքենաները, նավթը և նավթամթերքները, էլեկտրոնային սարքավորումները և դեղագործական ապրանքները:")</f>
        <v>Միացյալ Նահանգների որոշ հիմնական ներմուծումներից են ավտոմեքենաները, նավթը և նավթամթերքները, էլեկտրոնային սարքավորումները և դեղագործական ապրանքները:</v>
      </c>
    </row>
    <row r="723">
      <c r="A723" s="1" t="s">
        <v>1444</v>
      </c>
      <c r="B723" s="2" t="s">
        <v>1445</v>
      </c>
      <c r="C723" s="3" t="str">
        <f>IFERROR(__xludf.DUMMYFUNCTION("GOOGLETRANSLATE(A723,""en"",""hy"")"),"որո՞նք են թիմի գույները Պիտսբուրգի Ստիլերսների համար:")</f>
        <v>որո՞նք են թիմի գույները Պիտսբուրգի Ստիլերսների համար:</v>
      </c>
      <c r="D723" s="3" t="str">
        <f>IFERROR(__xludf.DUMMYFUNCTION("GOOGLETRANSLATE(B723,""en"",""hy"")"),"Pittsburgh Steelers-ի թիմի գույները սև և ոսկեգույն են:")</f>
        <v>Pittsburgh Steelers-ի թիմի գույները սև և ոսկեգույն են:</v>
      </c>
    </row>
    <row r="724">
      <c r="A724" s="1" t="s">
        <v>1446</v>
      </c>
      <c r="B724" s="2" t="s">
        <v>1447</v>
      </c>
      <c r="C724" s="3" t="str">
        <f>IFERROR(__xludf.DUMMYFUNCTION("GOOGLETRANSLATE(A724,""en"",""hy"")"),"ինչպիսի՞ն է ներկայիս կառավարման համակարգը Ֆրանսիայում:")</f>
        <v>ինչպիսի՞ն է ներկայիս կառավարման համակարգը Ֆրանսիայում:</v>
      </c>
      <c r="D724" s="3" t="str">
        <f>IFERROR(__xludf.DUMMYFUNCTION("GOOGLETRANSLATE(B724,""en"",""hy"")"),"Ֆրանսիայում գործող կառավարման համակարգը կիսանախագահական հանրապետություն է։")</f>
        <v>Ֆրանսիայում գործող կառավարման համակարգը կիսանախագահական հանրապետություն է։</v>
      </c>
    </row>
    <row r="725">
      <c r="A725" s="1" t="s">
        <v>1448</v>
      </c>
      <c r="B725" s="2" t="s">
        <v>1449</v>
      </c>
      <c r="C725" s="3" t="str">
        <f>IFERROR(__xludf.DUMMYFUNCTION("GOOGLETRANSLATE(A725,""en"",""hy"")"),"ինչի՞ց է մահացել Ռոյ Ռոջերսը.")</f>
        <v>ինչի՞ց է մահացել Ռոյ Ռոջերսը.</v>
      </c>
      <c r="D725" s="3" t="str">
        <f>IFERROR(__xludf.DUMMYFUNCTION("GOOGLETRANSLATE(B725,""en"",""hy"")"),"Սրտի կանգ.")</f>
        <v>Սրտի կանգ.</v>
      </c>
    </row>
    <row r="726">
      <c r="A726" s="1" t="s">
        <v>1450</v>
      </c>
      <c r="B726" s="2" t="s">
        <v>1451</v>
      </c>
      <c r="C726" s="3" t="str">
        <f>IFERROR(__xludf.DUMMYFUNCTION("GOOGLETRANSLATE(A726,""en"",""hy"")"),"ինչ է Կալաբրիա Իտալիան:")</f>
        <v>ինչ է Կալաբրիա Իտալիան:</v>
      </c>
      <c r="D726" s="3" t="str">
        <f>IFERROR(__xludf.DUMMYFUNCTION("GOOGLETRANSLATE(B726,""en"",""hy"")"),"Կալաբրիան շրջան է Իտալիայի հարավում։")</f>
        <v>Կալաբրիան շրջան է Իտալիայի հարավում։</v>
      </c>
    </row>
    <row r="727">
      <c r="A727" s="1" t="s">
        <v>1452</v>
      </c>
      <c r="B727" s="2" t="s">
        <v>1453</v>
      </c>
      <c r="C727" s="3" t="str">
        <f>IFERROR(__xludf.DUMMYFUNCTION("GOOGLETRANSLATE(A727,""en"",""hy"")"),"ինչպիսի՞ն էին նախկինում Նոր Օռլեանի Հորնեթսը:")</f>
        <v>ինչպիսի՞ն էին նախկինում Նոր Օռլեանի Հորնեթսը:</v>
      </c>
      <c r="D727" s="3" t="str">
        <f>IFERROR(__xludf.DUMMYFUNCTION("GOOGLETRANSLATE(B727,""en"",""hy"")"),"Նոր Օռլեան Հորնեթսը նախկինում եղել է Շարլոտ Հորնեթսը:")</f>
        <v>Նոր Օռլեան Հորնեթսը նախկինում եղել է Շարլոտ Հորնեթսը:</v>
      </c>
    </row>
    <row r="728">
      <c r="A728" s="1" t="s">
        <v>1454</v>
      </c>
      <c r="B728" s="2" t="s">
        <v>1455</v>
      </c>
      <c r="C728" s="3" t="str">
        <f>IFERROR(__xludf.DUMMYFUNCTION("GOOGLETRANSLATE(A728,""en"",""hy"")"),"որո՞նք են Իսրայելում կիրառվող հիմնական կրոնները:")</f>
        <v>որո՞նք են Իսրայելում կիրառվող հիմնական կրոնները:</v>
      </c>
      <c r="D728" s="3" t="str">
        <f>IFERROR(__xludf.DUMMYFUNCTION("GOOGLETRANSLATE(B728,""en"",""hy"")"),"Իսրայելում կիրառվող հիմնական կրոններն են հուդայականությունը, իսլամը և քրիստոնեությունը։")</f>
        <v>Իսրայելում կիրառվող հիմնական կրոններն են հուդայականությունը, իսլամը և քրիստոնեությունը։</v>
      </c>
    </row>
    <row r="729">
      <c r="A729" s="1" t="s">
        <v>1456</v>
      </c>
      <c r="B729" s="2" t="s">
        <v>1457</v>
      </c>
      <c r="C729" s="3" t="str">
        <f>IFERROR(__xludf.DUMMYFUNCTION("GOOGLETRANSLATE(A729,""en"",""hy"")"),"ինչ է Jamaica արտադրող.")</f>
        <v>ինչ է Jamaica արտադրող.</v>
      </c>
      <c r="D729" s="3" t="str">
        <f>IFERROR(__xludf.DUMMYFUNCTION("GOOGLETRANSLATE(B729,""en"",""hy"")"),"Ջամայկան արտադրում է տարբեր ապրանքներ, ներառյալ սննդամթերք, խմիչքներ, քիմիական նյութեր, տեքստիլ և ավտոմոբիլային մասեր:")</f>
        <v>Ջամայկան արտադրում է տարբեր ապրանքներ, ներառյալ սննդամթերք, խմիչքներ, քիմիական նյութեր, տեքստիլ և ավտոմոբիլային մասեր:</v>
      </c>
    </row>
    <row r="730">
      <c r="A730" s="1" t="s">
        <v>1458</v>
      </c>
      <c r="B730" s="2" t="s">
        <v>1459</v>
      </c>
      <c r="C730" s="3" t="str">
        <f>IFERROR(__xludf.DUMMYFUNCTION("GOOGLETRANSLATE(A730,""en"",""hy"")"),"քանի՞ տարի է Էնդրյու Ջեքսոնը առաջադրվել նախագահի պաշտոնում:")</f>
        <v>քանի՞ տարի է Էնդրյու Ջեքսոնը առաջադրվել նախագահի պաշտոնում:</v>
      </c>
      <c r="D730" s="3" t="str">
        <f>IFERROR(__xludf.DUMMYFUNCTION("GOOGLETRANSLATE(B730,""en"",""hy"")"),"Էնդրյու Ջեքսոնը առաջադրվել է նախագահի պաշտոնում 1824, 1828, 1832 և 1836 թվականներին:")</f>
        <v>Էնդրյու Ջեքսոնը առաջադրվել է նախագահի պաշտոնում 1824, 1828, 1832 և 1836 թվականներին:</v>
      </c>
    </row>
    <row r="731">
      <c r="A731" s="1" t="s">
        <v>1460</v>
      </c>
      <c r="B731" s="2" t="s">
        <v>1461</v>
      </c>
      <c r="C731" s="3" t="str">
        <f>IFERROR(__xludf.DUMMYFUNCTION("GOOGLETRANSLATE(A731,""en"",""hy"")"),"Ո՞ր 4 երկրներն են կազմում Մեծ Բրիտանիան:")</f>
        <v>Ո՞ր 4 երկրներն են կազմում Մեծ Բրիտանիան:</v>
      </c>
      <c r="D731" s="3" t="str">
        <f>IFERROR(__xludf.DUMMYFUNCTION("GOOGLETRANSLATE(B731,""en"",""hy"")"),"Անգլիա, Շոտլանդիա, Ուելս և Հյուսիսային Իռլանդիա:")</f>
        <v>Անգլիա, Շոտլանդիա, Ուելս և Հյուսիսային Իռլանդիա:</v>
      </c>
    </row>
    <row r="732">
      <c r="A732" s="1" t="s">
        <v>1462</v>
      </c>
      <c r="B732" s="2" t="s">
        <v>1463</v>
      </c>
      <c r="C732" s="3" t="str">
        <f>IFERROR(__xludf.DUMMYFUNCTION("GOOGLETRANSLATE(A732,""en"",""hy"")"),"որտեղ է ապրել Մեդոֆը Նյու Յորքում:")</f>
        <v>որտեղ է ապրել Մեդոֆը Նյու Յորքում:</v>
      </c>
      <c r="D732" s="3" t="str">
        <f>IFERROR(__xludf.DUMMYFUNCTION("GOOGLETRANSLATE(B732,""en"",""hy"")"),"Մեդոֆն ապրում էր Նյու Յորքում։")</f>
        <v>Մեդոֆն ապրում էր Նյու Յորքում։</v>
      </c>
    </row>
    <row r="733">
      <c r="A733" s="1" t="s">
        <v>1464</v>
      </c>
      <c r="B733" s="2" t="s">
        <v>1465</v>
      </c>
      <c r="C733" s="3" t="str">
        <f>IFERROR(__xludf.DUMMYFUNCTION("GOOGLETRANSLATE(A733,""en"",""hy"")"),"քանի լեզու կա Ֆիլիպիններում:")</f>
        <v>քանի լեզու կա Ֆիլիպիններում:</v>
      </c>
      <c r="D733" s="3" t="str">
        <f>IFERROR(__xludf.DUMMYFUNCTION("GOOGLETRANSLATE(B733,""en"",""hy"")"),"Ֆիլիպիններում ավելի քան 170 լեզու կա։")</f>
        <v>Ֆիլիպիններում ավելի քան 170 լեզու կա։</v>
      </c>
    </row>
    <row r="734">
      <c r="A734" s="1" t="s">
        <v>1466</v>
      </c>
      <c r="B734" s="2" t="s">
        <v>1467</v>
      </c>
      <c r="C734" s="3" t="str">
        <f>IFERROR(__xludf.DUMMYFUNCTION("GOOGLETRANSLATE(A734,""en"",""hy"")"),"ո՞ր երգով է հայտնի մոնիֆան")</f>
        <v>ո՞ր երգով է հայտնի մոնիֆան</v>
      </c>
      <c r="D734" s="3" t="str">
        <f>IFERROR(__xludf.DUMMYFUNCTION("GOOGLETRANSLATE(B734,""en"",""hy"")"),"Մոնիֆան հայտնի է «Touch It» երգով։")</f>
        <v>Մոնիֆան հայտնի է «Touch It» երգով։</v>
      </c>
    </row>
    <row r="735">
      <c r="A735" s="1" t="s">
        <v>1468</v>
      </c>
      <c r="B735" s="2" t="s">
        <v>1469</v>
      </c>
      <c r="C735" s="3" t="str">
        <f>IFERROR(__xludf.DUMMYFUNCTION("GOOGLETRANSLATE(A735,""en"",""hy"")"),"ում հետ ամուսնացավ Հենրիխ Հիմլերը:")</f>
        <v>ում հետ ամուսնացավ Հենրիխ Հիմլերը:</v>
      </c>
      <c r="D735" s="3" t="str">
        <f>IFERROR(__xludf.DUMMYFUNCTION("GOOGLETRANSLATE(B735,""en"",""hy"")"),"Հենրիխ Հիմլերն ամուսնացավ Մարգարեթ Բոդենի հետ։")</f>
        <v>Հենրիխ Հիմլերն ամուսնացավ Մարգարեթ Բոդենի հետ։</v>
      </c>
    </row>
    <row r="736">
      <c r="A736" s="1" t="s">
        <v>1470</v>
      </c>
      <c r="B736" s="2" t="s">
        <v>1471</v>
      </c>
      <c r="C736" s="3" t="str">
        <f>IFERROR(__xludf.DUMMYFUNCTION("GOOGLETRANSLATE(A736,""en"",""hy"")"),"ով է կրում Շերվին Ուիլյամսի ներկը:")</f>
        <v>ով է կրում Շերվին Ուիլյամսի ներկը:</v>
      </c>
      <c r="D736" s="3" t="str">
        <f>IFERROR(__xludf.DUMMYFUNCTION("GOOGLETRANSLATE(B736,""en"",""hy"")"),"Sherwin Williams ներկը կրում են Sherwin Williams խանութները:")</f>
        <v>Sherwin Williams ներկը կրում են Sherwin Williams խանութները:</v>
      </c>
    </row>
    <row r="737">
      <c r="A737" s="1" t="s">
        <v>1472</v>
      </c>
      <c r="B737" s="2" t="s">
        <v>1473</v>
      </c>
      <c r="C737" s="3" t="str">
        <f>IFERROR(__xludf.DUMMYFUNCTION("GOOGLETRANSLATE(A737,""en"",""hy"")"),"ով էր Ջոշ Գրոբանը խելագար հիմար սիրո մեջ:")</f>
        <v>ով էր Ջոշ Գրոբանը խելագար հիմար սիրո մեջ:</v>
      </c>
      <c r="D737" s="3" t="str">
        <f>IFERROR(__xludf.DUMMYFUNCTION("GOOGLETRANSLATE(B737,""en"",""hy"")"),"Ջոշ Գրոբանը մարմնավորել է Ռիչարդի կերպարը «Խենթ, հիմար, սեր» ֆիլմում։")</f>
        <v>Ջոշ Գրոբանը մարմնավորել է Ռիչարդի կերպարը «Խենթ, հիմար, սեր» ֆիլմում։</v>
      </c>
    </row>
    <row r="738">
      <c r="A738" s="1" t="s">
        <v>1474</v>
      </c>
      <c r="B738" s="2" t="s">
        <v>1475</v>
      </c>
      <c r="C738" s="3" t="str">
        <f>IFERROR(__xludf.DUMMYFUNCTION("GOOGLETRANSLATE(A738,""en"",""hy"")"),"որտեղ է գտնվում Կոլումբիայի համալսարանը:")</f>
        <v>որտեղ է գտնվում Կոլումբիայի համալսարանը:</v>
      </c>
      <c r="D738" s="3" t="str">
        <f>IFERROR(__xludf.DUMMYFUNCTION("GOOGLETRANSLATE(B738,""en"",""hy"")"),"Կոլումբիայի համալսարանը գտնվում է ԱՄՆ-ի Նյու Յորք քաղաքում:")</f>
        <v>Կոլումբիայի համալսարանը գտնվում է ԱՄՆ-ի Նյու Յորք քաղաքում:</v>
      </c>
    </row>
    <row r="739">
      <c r="A739" s="1" t="s">
        <v>1476</v>
      </c>
      <c r="B739" s="2" t="s">
        <v>1477</v>
      </c>
      <c r="C739" s="3" t="str">
        <f>IFERROR(__xludf.DUMMYFUNCTION("GOOGLETRANSLATE(A739,""en"",""hy"")"),"Ո՞ր թիմում է խաղում Քրիս Համֆրիսը 2011 թվականին:")</f>
        <v>Ո՞ր թիմում է խաղում Քրիս Համֆրիսը 2011 թվականին:</v>
      </c>
      <c r="D739" s="3" t="str">
        <f>IFERROR(__xludf.DUMMYFUNCTION("GOOGLETRANSLATE(B739,""en"",""hy"")"),"2011 թվականին Քրիս Համֆրիսը խաղացել է Նյու Ջերսի Նեթսի կազմում։")</f>
        <v>2011 թվականին Քրիս Համֆրիսը խաղացել է Նյու Ջերսի Նեթսի կազմում։</v>
      </c>
    </row>
    <row r="740">
      <c r="A740" s="1" t="s">
        <v>1478</v>
      </c>
      <c r="B740" s="2" t="s">
        <v>1479</v>
      </c>
      <c r="C740" s="3" t="str">
        <f>IFERROR(__xludf.DUMMYFUNCTION("GOOGLETRANSLATE(A740,""en"",""hy"")"),"ի՞նչ հայտնաբերեց գիտնական Թոմսոնը.")</f>
        <v>ի՞նչ հայտնաբերեց գիտնական Թոմսոնը.</v>
      </c>
      <c r="D740" s="3" t="str">
        <f>IFERROR(__xludf.DUMMYFUNCTION("GOOGLETRANSLATE(B740,""en"",""hy"")"),"Գիտնական Թոմսոնը հայտնաբերել է էլեկտրոնը։")</f>
        <v>Գիտնական Թոմսոնը հայտնաբերել է էլեկտրոնը։</v>
      </c>
    </row>
    <row r="741">
      <c r="A741" s="1" t="s">
        <v>1480</v>
      </c>
      <c r="B741" s="2" t="s">
        <v>1481</v>
      </c>
      <c r="C741" s="3" t="str">
        <f>IFERROR(__xludf.DUMMYFUNCTION("GOOGLETRANSLATE(A741,""en"",""hy"")"),"որտեղի՞ց եկավ Ջոն Բոները:")</f>
        <v>որտեղի՞ց եկավ Ջոն Բոները:</v>
      </c>
      <c r="D741" s="3" t="str">
        <f>IFERROR(__xludf.DUMMYFUNCTION("GOOGLETRANSLATE(B741,""en"",""hy"")"),"Ջոն Բոները եկել է Օհայո նահանգի Ցինցինատի քաղաքից:")</f>
        <v>Ջոն Բոները եկել է Օհայո նահանգի Ցինցինատի քաղաքից:</v>
      </c>
    </row>
    <row r="742">
      <c r="A742" s="1" t="s">
        <v>1482</v>
      </c>
      <c r="B742" s="2" t="s">
        <v>1483</v>
      </c>
      <c r="C742" s="3" t="str">
        <f>IFERROR(__xludf.DUMMYFUNCTION("GOOGLETRANSLATE(A742,""en"",""hy"")"),"որտե՞ղ է սովորել Մարտին Լյութեր Քինգ կրտսերը:")</f>
        <v>որտե՞ղ է սովորել Մարտին Լյութեր Քինգ կրտսերը:</v>
      </c>
      <c r="D742" s="3" t="str">
        <f>IFERROR(__xludf.DUMMYFUNCTION("GOOGLETRANSLATE(B742,""en"",""hy"")"),"Մարտին Լյութեր Քինգ կրտսերը հաճախել է Մորհաուս քոլեջը։")</f>
        <v>Մարտին Լյութեր Քինգ կրտսերը հաճախել է Մորհաուս քոլեջը։</v>
      </c>
    </row>
    <row r="743">
      <c r="A743" s="1" t="s">
        <v>1484</v>
      </c>
      <c r="B743" s="2" t="s">
        <v>1485</v>
      </c>
      <c r="C743" s="3" t="str">
        <f>IFERROR(__xludf.DUMMYFUNCTION("GOOGLETRANSLATE(A743,""en"",""hy"")"),"Ո՞վ էր կրում Անդերվուդը սոուլ-սերֆինգում:")</f>
        <v>Ո՞վ էր կրում Անդերվուդը սոուլ-սերֆինգում:</v>
      </c>
      <c r="D743" s="3" t="str">
        <f>IFERROR(__xludf.DUMMYFUNCTION("GOOGLETRANSLATE(B743,""en"",""hy"")"),"Քերի Անդերվուդը մարմնավորել է Սառա Հիլլի կերպարը Soul Surfer ֆիլմում։")</f>
        <v>Քերի Անդերվուդը մարմնավորել է Սառա Հիլլի կերպարը Soul Surfer ֆիլմում։</v>
      </c>
    </row>
    <row r="744">
      <c r="A744" s="1" t="s">
        <v>1486</v>
      </c>
      <c r="B744" s="2" t="s">
        <v>1487</v>
      </c>
      <c r="C744" s="3" t="str">
        <f>IFERROR(__xludf.DUMMYFUNCTION("GOOGLETRANSLATE(A744,""en"",""hy"")"),"Ո՞վ է խաղում Լոյս Գրիֆինի ընտանիքում:")</f>
        <v>Ո՞վ է խաղում Լոյս Գրիֆինի ընտանիքում:</v>
      </c>
      <c r="D744" s="3" t="str">
        <f>IFERROR(__xludf.DUMMYFUNCTION("GOOGLETRANSLATE(B744,""en"",""hy"")"),"Ալեքս Բորշտեյն")</f>
        <v>Ալեքս Բորշտեյն</v>
      </c>
    </row>
    <row r="745">
      <c r="A745" s="1" t="s">
        <v>1488</v>
      </c>
      <c r="B745" s="2" t="s">
        <v>1489</v>
      </c>
      <c r="C745" s="3" t="str">
        <f>IFERROR(__xludf.DUMMYFUNCTION("GOOGLETRANSLATE(A745,""en"",""hy"")"),"ինչ են գրել Ջուլիան Ֆլոուսները")</f>
        <v>ինչ են գրել Ջուլիան Ֆլոուսները</v>
      </c>
      <c r="D745" s="3" t="str">
        <f>IFERROR(__xludf.DUMMYFUNCTION("GOOGLETRANSLATE(B745,""en"",""hy"")"),"Ջուլիան Ֆելոուսը բրիտանացի սցենարիստ, արձակագիր և դերասան է։ Նա առավել հայտնի է «Դաունթոն աբբայություն» հեռուստասերիալի ստեղծմամբ և գրմամբ։")</f>
        <v>Ջուլիան Ֆելոուսը բրիտանացի սցենարիստ, արձակագիր և դերասան է։ Նա առավել հայտնի է «Դաունթոն աբբայություն» հեռուստասերիալի ստեղծմամբ և գրմամբ։</v>
      </c>
    </row>
    <row r="746">
      <c r="A746" s="1" t="s">
        <v>1490</v>
      </c>
      <c r="B746" s="2" t="s">
        <v>1491</v>
      </c>
      <c r="C746" s="3" t="str">
        <f>IFERROR(__xludf.DUMMYFUNCTION("GOOGLETRANSLATE(A746,""en"",""hy"")"),"որտեղ է ապրում Սելենա Գոմեսը քարտեզի վրա:")</f>
        <v>որտեղ է ապրում Սելենա Գոմեսը քարտեզի վրա:</v>
      </c>
      <c r="D746" s="3" t="str">
        <f>IFERROR(__xludf.DUMMYFUNCTION("GOOGLETRANSLATE(B746,""en"",""hy"")"),"Սելենա Գոմեսի ներկայիս նստավայրը հրապարակայնորեն չի բացահայտվում:")</f>
        <v>Սելենա Գոմեսի ներկայիս նստավայրը հրապարակայնորեն չի բացահայտվում:</v>
      </c>
    </row>
    <row r="747">
      <c r="A747" s="1" t="s">
        <v>1492</v>
      </c>
      <c r="B747" s="2" t="s">
        <v>1493</v>
      </c>
      <c r="C747" s="3" t="str">
        <f>IFERROR(__xludf.DUMMYFUNCTION("GOOGLETRANSLATE(A747,""en"",""hy"")"),"ո՞ւմ է երկրպագում իսլամը:")</f>
        <v>ո՞ւմ է երկրպագում իսլամը:</v>
      </c>
      <c r="D747" s="3" t="str">
        <f>IFERROR(__xludf.DUMMYFUNCTION("GOOGLETRANSLATE(B747,""en"",""hy"")"),"Մուսուլմանները երկրպագում են Ալլահին:")</f>
        <v>Մուսուլմանները երկրպագում են Ալլահին:</v>
      </c>
    </row>
    <row r="748">
      <c r="A748" s="1" t="s">
        <v>1494</v>
      </c>
      <c r="B748" s="2" t="s">
        <v>1495</v>
      </c>
      <c r="C748" s="3" t="str">
        <f>IFERROR(__xludf.DUMMYFUNCTION("GOOGLETRANSLATE(A748,""en"",""hy"")"),"ով էր ամուսնացած Լենս Արմսթրոնգի հետ")</f>
        <v>ով էր ամուսնացած Լենս Արմսթրոնգի հետ</v>
      </c>
      <c r="D748" s="3" t="str">
        <f>IFERROR(__xludf.DUMMYFUNCTION("GOOGLETRANSLATE(B748,""en"",""hy"")"),"Շերիլ Քրոու.")</f>
        <v>Շերիլ Քրոու.</v>
      </c>
    </row>
    <row r="749">
      <c r="A749" s="1" t="s">
        <v>1496</v>
      </c>
      <c r="B749" s="2" t="s">
        <v>1497</v>
      </c>
      <c r="C749" s="3" t="str">
        <f>IFERROR(__xludf.DUMMYFUNCTION("GOOGLETRANSLATE(A749,""en"",""hy"")"),"ինչի համար է անվանվել վեներան")</f>
        <v>ինչի համար է անվանվել վեներան</v>
      </c>
      <c r="D749" s="3" t="str">
        <f>IFERROR(__xludf.DUMMYFUNCTION("GOOGLETRANSLATE(B749,""en"",""hy"")"),"Վեներան անվանվել է հռոմեական սիրո և գեղեցկության աստվածուհու պատվին:")</f>
        <v>Վեներան անվանվել է հռոմեական սիրո և գեղեցկության աստվածուհու պատվին:</v>
      </c>
    </row>
    <row r="750">
      <c r="A750" s="1" t="s">
        <v>1498</v>
      </c>
      <c r="B750" s="2" t="s">
        <v>1499</v>
      </c>
      <c r="C750" s="3" t="str">
        <f>IFERROR(__xludf.DUMMYFUNCTION("GOOGLETRANSLATE(A750,""en"",""hy"")"),"ում համար էր Ջոն Ֆոքսը մարզում:")</f>
        <v>ում համար էր Ջոն Ֆոքսը մարզում:</v>
      </c>
      <c r="D750" s="3" t="str">
        <f>IFERROR(__xludf.DUMMYFUNCTION("GOOGLETRANSLATE(B750,""en"",""hy"")"),"Ջոն Ֆոքսը մարզել է NFL-ի բազմաթիվ թիմեր, այդ թվում՝ Denver Broncos-ը և Carolina Panthers-ը:")</f>
        <v>Ջոն Ֆոքսը մարզել է NFL-ի բազմաթիվ թիմեր, այդ թվում՝ Denver Broncos-ը և Carolina Panthers-ը:</v>
      </c>
    </row>
    <row r="751">
      <c r="A751" s="1" t="s">
        <v>1500</v>
      </c>
      <c r="B751" s="2" t="s">
        <v>1501</v>
      </c>
      <c r="C751" s="3" t="str">
        <f>IFERROR(__xludf.DUMMYFUNCTION("GOOGLETRANSLATE(A751,""en"",""hy"")"),"որտեղ են Մեծ Բրիտանիայի ատոմակայանները")</f>
        <v>որտեղ են Մեծ Բրիտանիայի ատոմակայանները</v>
      </c>
      <c r="D751" s="3" t="str">
        <f>IFERROR(__xludf.DUMMYFUNCTION("GOOGLETRANSLATE(B751,""en"",""hy"")"),"Մեծ Բրիտանիայի ատոմակայանները գտնվում են տարբեր վայրերում, այդ թվում՝ Հինքլի Փոյնթում, Սիզուելում, Դանգնեսում և Հանթերսթոնում:")</f>
        <v>Մեծ Բրիտանիայի ատոմակայանները գտնվում են տարբեր վայրերում, այդ թվում՝ Հինքլի Փոյնթում, Սիզուելում, Դանգնեսում և Հանթերսթոնում:</v>
      </c>
    </row>
    <row r="752">
      <c r="A752" s="1" t="s">
        <v>1502</v>
      </c>
      <c r="B752" s="2" t="s">
        <v>1503</v>
      </c>
      <c r="C752" s="3" t="str">
        <f>IFERROR(__xludf.DUMMYFUNCTION("GOOGLETRANSLATE(A752,""en"",""hy"")"),"Ո՞ր տարիներն են խուսանավել համաշխարհային սերիան:")</f>
        <v>Ո՞ր տարիներն են խուսանավել համաշխարհային սերիան:</v>
      </c>
      <c r="D752" s="3" t="str">
        <f>IFERROR(__xludf.DUMMYFUNCTION("GOOGLETRANSLATE(B752,""en"",""hy"")"),"The Dodgers-ը հաղթել է World Series 1955, 1959, 1963, 1965, 1981, 1988 և 2020 թվականներին:")</f>
        <v>The Dodgers-ը հաղթել է World Series 1955, 1959, 1963, 1965, 1981, 1988 և 2020 թվականներին:</v>
      </c>
    </row>
    <row r="753">
      <c r="A753" s="1" t="s">
        <v>1504</v>
      </c>
      <c r="B753" s="2" t="s">
        <v>1505</v>
      </c>
      <c r="C753" s="3" t="str">
        <f>IFERROR(__xludf.DUMMYFUNCTION("GOOGLETRANSLATE(A753,""en"",""hy"")"),"ինչի՞ համար է Ֆարրան վիրահատվել")</f>
        <v>ինչի՞ համար է Ֆարրան վիրահատվել</v>
      </c>
      <c r="D753" s="3" t="str">
        <f>IFERROR(__xludf.DUMMYFUNCTION("GOOGLETRANSLATE(B753,""en"",""hy"")"),"Ֆարրան վիրահատվել է կրծքի մեծացման համար:")</f>
        <v>Ֆարրան վիրահատվել է կրծքի մեծացման համար:</v>
      </c>
    </row>
    <row r="754">
      <c r="A754" s="1" t="s">
        <v>1506</v>
      </c>
      <c r="B754" s="2" t="s">
        <v>1507</v>
      </c>
      <c r="C754" s="3" t="str">
        <f>IFERROR(__xludf.DUMMYFUNCTION("GOOGLETRANSLATE(A754,""en"",""hy"")"),"ով էր Խորհրդային Միության ղեկավարը 1945թ.")</f>
        <v>ով էր Խորհրդային Միության ղեկավարը 1945թ.</v>
      </c>
      <c r="D754" s="3" t="str">
        <f>IFERROR(__xludf.DUMMYFUNCTION("GOOGLETRANSLATE(B754,""en"",""hy"")"),"Իոսիֆ Ստալին")</f>
        <v>Իոսիֆ Ստալին</v>
      </c>
    </row>
    <row r="755">
      <c r="A755" s="1" t="s">
        <v>1508</v>
      </c>
      <c r="B755" s="2" t="s">
        <v>1509</v>
      </c>
      <c r="C755" s="3" t="str">
        <f>IFERROR(__xludf.DUMMYFUNCTION("GOOGLETRANSLATE(A755,""en"",""hy"")"),"ում համար է խաղում Ջոն Բեքը")</f>
        <v>ում համար է խաղում Ջոն Բեքը</v>
      </c>
      <c r="D755" s="3" t="str">
        <f>IFERROR(__xludf.DUMMYFUNCTION("GOOGLETRANSLATE(B755,""en"",""hy"")"),"Ցավում եմ, բայց ես ի վիճակի չեմ անհատների մասին ընթացիկ տեղեկատվություն տրամադրել:")</f>
        <v>Ցավում եմ, բայց ես ի վիճակի չեմ անհատների մասին ընթացիկ տեղեկատվություն տրամադրել:</v>
      </c>
    </row>
    <row r="756">
      <c r="A756" s="1" t="s">
        <v>1510</v>
      </c>
      <c r="B756" s="2" t="s">
        <v>1511</v>
      </c>
      <c r="C756" s="3" t="str">
        <f>IFERROR(__xludf.DUMMYFUNCTION("GOOGLETRANSLATE(A756,""en"",""hy"")"),"ո՞ր աստծուն են հավատում կաթոլիկները")</f>
        <v>ո՞ր աստծուն են հավատում կաթոլիկները</v>
      </c>
      <c r="D756" s="3" t="str">
        <f>IFERROR(__xludf.DUMMYFUNCTION("GOOGLETRANSLATE(B756,""en"",""hy"")"),"Կաթոլիկները հավատում են Աստծուն.")</f>
        <v>Կաթոլիկները հավատում են Աստծուն.</v>
      </c>
    </row>
    <row r="757">
      <c r="A757" s="1" t="s">
        <v>1512</v>
      </c>
      <c r="B757" s="2" t="s">
        <v>1513</v>
      </c>
      <c r="C757" s="3" t="str">
        <f>IFERROR(__xludf.DUMMYFUNCTION("GOOGLETRANSLATE(A757,""en"",""hy"")"),"ինչ ֆիլմեր է արտադրել Քենիա Մուրը:")</f>
        <v>ինչ ֆիլմեր է արտադրել Քենիա Մուրը:</v>
      </c>
      <c r="D757" s="3" t="str">
        <f>IFERROR(__xludf.DUMMYFUNCTION("GOOGLETRANSLATE(B757,""en"",""hy"")"),"Քենյա Մուրը նկարահանել է երկու ֆիլմ՝ «Վստահողը» և «Թակարդում ընկած. Հաիթիի գիշերներ»:")</f>
        <v>Քենյա Մուրը նկարահանել է երկու ֆիլմ՝ «Վստահողը» և «Թակարդում ընկած. Հաիթիի գիշերներ»:</v>
      </c>
    </row>
    <row r="758">
      <c r="A758" s="1" t="s">
        <v>1514</v>
      </c>
      <c r="B758" s="2" t="s">
        <v>1515</v>
      </c>
      <c r="C758" s="3" t="str">
        <f>IFERROR(__xludf.DUMMYFUNCTION("GOOGLETRANSLATE(A758,""en"",""hy"")"),"որտե՞ղ է Ռոբի Հումելը սովորել ավագ դպրոցում:")</f>
        <v>որտե՞ղ է Ռոբի Հումելը սովորել ավագ դպրոցում:</v>
      </c>
      <c r="D758" s="3" t="str">
        <f>IFERROR(__xludf.DUMMYFUNCTION("GOOGLETRANSLATE(B758,""en"",""hy"")"),"Ռոբի Հումելը սովորել է Վալպարաիսոյի ավագ դպրոցում:")</f>
        <v>Ռոբի Հումելը սովորել է Վալպարաիսոյի ավագ դպրոցում:</v>
      </c>
    </row>
    <row r="759">
      <c r="A759" s="1" t="s">
        <v>1516</v>
      </c>
      <c r="B759" s="2" t="s">
        <v>1517</v>
      </c>
      <c r="C759" s="3" t="str">
        <f>IFERROR(__xludf.DUMMYFUNCTION("GOOGLETRANSLATE(A759,""en"",""hy"")"),"Ո՞ր տարին են Քլիվլենդի հնդկացիները գնացել համաշխարհային սերիա:")</f>
        <v>Ո՞ր տարին են Քլիվլենդի հնդկացիները գնացել համաշխարհային սերիա:</v>
      </c>
      <c r="D759" s="3" t="str">
        <f>IFERROR(__xludf.DUMMYFUNCTION("GOOGLETRANSLATE(B759,""en"",""hy"")"),"Քլիվլենդի հնդկացիները 1995 և 1997 թվականներին մասնակցել են աշխարհի առաջնությանը:")</f>
        <v>Քլիվլենդի հնդկացիները 1995 և 1997 թվականներին մասնակցել են աշխարհի առաջնությանը:</v>
      </c>
    </row>
    <row r="760">
      <c r="A760" s="1" t="s">
        <v>1518</v>
      </c>
      <c r="B760" s="2" t="s">
        <v>1519</v>
      </c>
      <c r="C760" s="3" t="str">
        <f>IFERROR(__xludf.DUMMYFUNCTION("GOOGLETRANSLATE(A760,""en"",""hy"")"),"ո՞ւմ է պատկանում Քլիվլենդ Բրաունսը:")</f>
        <v>ո՞ւմ է պատկանում Քլիվլենդ Բրաունսը:</v>
      </c>
      <c r="D760" s="3" t="str">
        <f>IFERROR(__xludf.DUMMYFUNCTION("GOOGLETRANSLATE(B760,""en"",""hy"")"),"Ջիմի Հասլամը պատկանում է Քլիվլենդ Բրաունսին:")</f>
        <v>Ջիմի Հասլամը պատկանում է Քլիվլենդ Բրաունսին:</v>
      </c>
    </row>
    <row r="761">
      <c r="A761" s="1" t="s">
        <v>1520</v>
      </c>
      <c r="B761" s="2" t="s">
        <v>1521</v>
      </c>
      <c r="C761" s="3" t="str">
        <f>IFERROR(__xludf.DUMMYFUNCTION("GOOGLETRANSLATE(A761,""en"",""hy"")"),"ի՞նչ լեզվով են խոսում հրեաները")</f>
        <v>ի՞նչ լեզվով են խոսում հրեաները</v>
      </c>
      <c r="D761" s="3" t="str">
        <f>IFERROR(__xludf.DUMMYFUNCTION("GOOGLETRANSLATE(B761,""en"",""hy"")"),"Հրեաները խոսում են տարբեր լեզուներով՝ կախված նրանից, թե որտեղից են նրանք և նրանց մշակութային ծագումը: Հրեական համայնքների որոշ ընդհանուր լեզուներ ներառում են եբրայերեն, իդիշ, լադինո և տարբեր տարածաշրջանների տարբեր տեղական լեզուներ:")</f>
        <v>Հրեաները խոսում են տարբեր լեզուներով՝ կախված նրանից, թե որտեղից են նրանք և նրանց մշակութային ծագումը: Հրեական համայնքների որոշ ընդհանուր լեզուներ ներառում են եբրայերեն, իդիշ, լադինո և տարբեր տարածաշրջանների տարբեր տեղական լեզուներ:</v>
      </c>
    </row>
    <row r="762">
      <c r="A762" s="1" t="s">
        <v>1522</v>
      </c>
      <c r="B762" s="2" t="s">
        <v>1523</v>
      </c>
      <c r="C762" s="3" t="str">
        <f>IFERROR(__xludf.DUMMYFUNCTION("GOOGLETRANSLATE(A762,""en"",""hy"")"),"ի՞նչ իրավական համակարգ է կիրառում Գերմանիան:")</f>
        <v>ի՞նչ իրավական համակարգ է կիրառում Գերմանիան:</v>
      </c>
      <c r="D762" s="3" t="str">
        <f>IFERROR(__xludf.DUMMYFUNCTION("GOOGLETRANSLATE(B762,""en"",""hy"")"),"Գերմանիան օգտագործում է քաղաքացիական իրավունքի իրավական համակարգ:")</f>
        <v>Գերմանիան օգտագործում է քաղաքացիական իրավունքի իրավական համակարգ:</v>
      </c>
    </row>
    <row r="763">
      <c r="A763" s="1" t="s">
        <v>1524</v>
      </c>
      <c r="B763" s="2" t="s">
        <v>1525</v>
      </c>
      <c r="C763" s="3" t="str">
        <f>IFERROR(__xludf.DUMMYFUNCTION("GOOGLETRANSLATE(A763,""en"",""hy"")"),"ո՞վ է խաղում Դանիել Հարիսը մեկ ծառի բլրի վրա:")</f>
        <v>ո՞վ է խաղում Դանիել Հարիսը մեկ ծառի բլրի վրա:</v>
      </c>
      <c r="D763" s="3" t="str">
        <f>IFERROR(__xludf.DUMMYFUNCTION("GOOGLETRANSLATE(B763,""en"",""hy"")"),"Դենիել Հարիսը խաղում է Ռեյչել Գաթինայի կերպարը One Tree Hill-ում:")</f>
        <v>Դենիել Հարիսը խաղում է Ռեյչել Գաթինայի կերպարը One Tree Hill-ում:</v>
      </c>
    </row>
    <row r="764">
      <c r="A764" s="1" t="s">
        <v>1526</v>
      </c>
      <c r="B764" s="2" t="s">
        <v>1527</v>
      </c>
      <c r="C764" s="3" t="str">
        <f>IFERROR(__xludf.DUMMYFUNCTION("GOOGLETRANSLATE(A764,""en"",""hy"")"),"ի՞նչը ոգեշնչեց Միքելանջելոյին:")</f>
        <v>ի՞նչը ոգեշնչեց Միքելանջելոյին:</v>
      </c>
      <c r="D764" s="3" t="str">
        <f>IFERROR(__xludf.DUMMYFUNCTION("GOOGLETRANSLATE(B764,""en"",""hy"")"),"Վերածննդի շարժումը և դասական արվեստը ոգեշնչել են Միքելանջելոյին:")</f>
        <v>Վերածննդի շարժումը և դասական արվեստը ոգեշնչել են Միքելանջելոյին:</v>
      </c>
    </row>
    <row r="765">
      <c r="A765" s="1" t="s">
        <v>1528</v>
      </c>
      <c r="B765" s="2" t="s">
        <v>1529</v>
      </c>
      <c r="C765" s="3" t="str">
        <f>IFERROR(__xludf.DUMMYFUNCTION("GOOGLETRANSLATE(A765,""en"",""hy"")"),"Ո՞ր ճակատամարտում Գերմանիան հանձնվեց WW2-ում:")</f>
        <v>Ո՞ր ճակատամարտում Գերմանիան հանձնվեց WW2-ում:</v>
      </c>
      <c r="D765" s="3" t="str">
        <f>IFERROR(__xludf.DUMMYFUNCTION("GOOGLETRANSLATE(B765,""en"",""hy"")"),"Բեռլինի ճակատամարտը.")</f>
        <v>Բեռլինի ճակատամարտը.</v>
      </c>
    </row>
    <row r="766">
      <c r="A766" s="1" t="s">
        <v>1530</v>
      </c>
      <c r="B766" s="2" t="s">
        <v>1531</v>
      </c>
      <c r="C766" s="3" t="str">
        <f>IFERROR(__xludf.DUMMYFUNCTION("GOOGLETRANSLATE(A766,""en"",""hy"")"),"ով էր 2011-ին քուռակների մարզիչը:")</f>
        <v>ով էր 2011-ին քուռակների մարզիչը:</v>
      </c>
      <c r="D766" s="3" t="str">
        <f>IFERROR(__xludf.DUMMYFUNCTION("GOOGLETRANSLATE(B766,""en"",""hy"")"),"2011 թվականին Colts-ի մարզիչը Ջիմ Քալդվելն էր:")</f>
        <v>2011 թվականին Colts-ի մարզիչը Ջիմ Քալդվելն էր:</v>
      </c>
    </row>
    <row r="767">
      <c r="A767" s="1" t="s">
        <v>1532</v>
      </c>
      <c r="B767" s="2" t="s">
        <v>1533</v>
      </c>
      <c r="C767" s="3" t="str">
        <f>IFERROR(__xludf.DUMMYFUNCTION("GOOGLETRANSLATE(A767,""en"",""hy"")"),"Ո՞ր օդանավակայանն է ավելի մոտ Հյուսթոնի կենտրոնին:")</f>
        <v>Ո՞ր օդանավակայանն է ավելի մոտ Հյուսթոնի կենտրոնին:</v>
      </c>
      <c r="D767" s="3" t="str">
        <f>IFERROR(__xludf.DUMMYFUNCTION("GOOGLETRANSLATE(B767,""en"",""hy"")"),"Հյուսթոնի կենտրոնին ամենամոտ օդանավակայանը Ուիլյամ Պ. Հոբբի օդանավակայանն է (HOU):")</f>
        <v>Հյուսթոնի կենտրոնին ամենամոտ օդանավակայանը Ուիլյամ Պ. Հոբբի օդանավակայանն է (HOU):</v>
      </c>
    </row>
    <row r="768">
      <c r="A768" s="1" t="s">
        <v>1534</v>
      </c>
      <c r="B768" s="2" t="s">
        <v>1535</v>
      </c>
      <c r="C768" s="3" t="str">
        <f>IFERROR(__xludf.DUMMYFUNCTION("GOOGLETRANSLATE(A768,""en"",""hy"")"),"որտեղ է ապրում Լիզ Մակլարնոնը")</f>
        <v>որտեղ է ապրում Լիզ Մակլարնոնը</v>
      </c>
      <c r="D768" s="3" t="str">
        <f>IFERROR(__xludf.DUMMYFUNCTION("GOOGLETRANSLATE(B768,""en"",""hy"")"),"Ցավում եմ, բայց ինձ հասանելի չեն անհատների մասին անձնական տվյալները, քանի դեռ դրանք չեն կիսվել ինձ հետ մեր զրույցի ընթացքում:")</f>
        <v>Ցավում եմ, բայց ինձ հասանելի չեն անհատների մասին անձնական տվյալները, քանի դեռ դրանք չեն կիսվել ինձ հետ մեր զրույցի ընթացքում:</v>
      </c>
    </row>
    <row r="769">
      <c r="A769" s="1" t="s">
        <v>1536</v>
      </c>
      <c r="B769" s="2" t="s">
        <v>1537</v>
      </c>
      <c r="C769" s="3" t="str">
        <f>IFERROR(__xludf.DUMMYFUNCTION("GOOGLETRANSLATE(A769,""en"",""hy"")"),"Ո՞ր քաղաքում է գտնվում fc schalke 04-ը:")</f>
        <v>Ո՞ր քաղաքում է գտնվում fc schalke 04-ը:</v>
      </c>
      <c r="D769" s="3" t="str">
        <f>IFERROR(__xludf.DUMMYFUNCTION("GOOGLETRANSLATE(B769,""en"",""hy"")"),"Գելզենկիրխեն.")</f>
        <v>Գելզենկիրխեն.</v>
      </c>
    </row>
    <row r="770">
      <c r="A770" s="1" t="s">
        <v>1538</v>
      </c>
      <c r="B770" s="2" t="s">
        <v>1539</v>
      </c>
      <c r="C770" s="3" t="str">
        <f>IFERROR(__xludf.DUMMYFUNCTION("GOOGLETRANSLATE(A770,""en"",""hy"")"),"կառավարման ի՞նչ համակարգ է օգտագործվում Հարավային Կորեայում:")</f>
        <v>կառավարման ի՞նչ համակարգ է օգտագործվում Հարավային Կորեայում:</v>
      </c>
      <c r="D770" s="3" t="str">
        <f>IFERROR(__xludf.DUMMYFUNCTION("GOOGLETRANSLATE(B770,""en"",""hy"")"),"Հարավային Կորեայում օգտագործվող կառավարման համակարգը նախագահական հանրապետություն է։")</f>
        <v>Հարավային Կորեայում օգտագործվող կառավարման համակարգը նախագահական հանրապետություն է։</v>
      </c>
    </row>
    <row r="771">
      <c r="A771" s="1" t="s">
        <v>1540</v>
      </c>
      <c r="B771" s="2" t="s">
        <v>1541</v>
      </c>
      <c r="C771" s="3" t="str">
        <f>IFERROR(__xludf.DUMMYFUNCTION("GOOGLETRANSLATE(A771,""en"",""hy"")"),"որտեղի՞ց է առաջացել Ջովանի դա Վերրազանոն:")</f>
        <v>որտեղի՞ց է առաջացել Ջովանի դա Վերրազանոն:</v>
      </c>
      <c r="D771" s="3" t="str">
        <f>IFERROR(__xludf.DUMMYFUNCTION("GOOGLETRANSLATE(B771,""en"",""hy"")"),"Ջովանի դա Վերաձանոն եկել է Իտալիայից։")</f>
        <v>Ջովանի դա Վերաձանոն եկել է Իտալիայից։</v>
      </c>
    </row>
    <row r="772">
      <c r="A772" s="1" t="s">
        <v>1542</v>
      </c>
      <c r="B772" s="2" t="s">
        <v>1543</v>
      </c>
      <c r="C772" s="3" t="str">
        <f>IFERROR(__xludf.DUMMYFUNCTION("GOOGLETRANSLATE(A772,""en"",""hy"")"),"Ո՞ր օդանավակայանն է գտնվում Ֆլորիդայի Դեյտոնա լողափի մոտ:")</f>
        <v>Ո՞ր օդանավակայանն է գտնվում Ֆլորիդայի Դեյտոնա լողափի մոտ:</v>
      </c>
      <c r="D772" s="3" t="str">
        <f>IFERROR(__xludf.DUMMYFUNCTION("GOOGLETRANSLATE(B772,""en"",""hy"")"),"Daytona Beach միջազգային օդանավակայան.")</f>
        <v>Daytona Beach միջազգային օդանավակայան.</v>
      </c>
    </row>
    <row r="773">
      <c r="A773" s="1" t="s">
        <v>1544</v>
      </c>
      <c r="B773" s="2" t="s">
        <v>1545</v>
      </c>
      <c r="C773" s="3" t="str">
        <f>IFERROR(__xludf.DUMMYFUNCTION("GOOGLETRANSLATE(A773,""en"",""hy"")"),"ո՞րն էր Օմար Էփսի առաջին ֆիլմը:")</f>
        <v>ո՞րն էր Օմար Էփսի առաջին ֆիլմը:</v>
      </c>
      <c r="D773" s="3" t="str">
        <f>IFERROR(__xludf.DUMMYFUNCTION("GOOGLETRANSLATE(B773,""en"",""hy"")"),"Օմար Էփսի առաջին ֆիլմը եղել է «Հյութ» (1992 թ.)։")</f>
        <v>Օմար Էփսի առաջին ֆիլմը եղել է «Հյութ» (1992 թ.)։</v>
      </c>
    </row>
    <row r="774">
      <c r="A774" s="1" t="s">
        <v>1546</v>
      </c>
      <c r="B774" s="2" t="s">
        <v>1547</v>
      </c>
      <c r="C774" s="3" t="str">
        <f>IFERROR(__xludf.DUMMYFUNCTION("GOOGLETRANSLATE(A774,""en"",""hy"")"),"ու՞մ են զորակոչել բալթիմորի ագռավները 2011 թվականին:")</f>
        <v>ու՞մ են զորակոչել բալթիմորի ագռավները 2011 թվականին:</v>
      </c>
      <c r="D774" s="3" t="str">
        <f>IFERROR(__xludf.DUMMYFUNCTION("GOOGLETRANSLATE(B774,""en"",""hy"")"),"Baltimore Ravens-ը Ջիմի Սմիթին զորակոչել է 2011 թվականին:")</f>
        <v>Baltimore Ravens-ը Ջիմի Սմիթին զորակոչել է 2011 թվականին:</v>
      </c>
    </row>
    <row r="775">
      <c r="A775" s="1" t="s">
        <v>1548</v>
      </c>
      <c r="B775" s="2" t="s">
        <v>1549</v>
      </c>
      <c r="C775" s="3" t="str">
        <f>IFERROR(__xludf.DUMMYFUNCTION("GOOGLETRANSLATE(A775,""en"",""hy"")"),"ով հաղթեց Պուերտո Ռիկոյի նահանգապետի ընտրություններում:")</f>
        <v>ով հաղթեց Պուերտո Ռիկոյի նահանգապետի ընտրություններում:</v>
      </c>
      <c r="D775" s="3" t="str">
        <f>IFERROR(__xludf.DUMMYFUNCTION("GOOGLETRANSLATE(B775,""en"",""hy"")"),"Ցավում եմ, բայց ես չունեմ ընթացիկ տեղեկություններ կամ նորությունների թարմացումներ:")</f>
        <v>Ցավում եմ, բայց ես չունեմ ընթացիկ տեղեկություններ կամ նորությունների թարմացումներ:</v>
      </c>
    </row>
    <row r="776">
      <c r="A776" s="1" t="s">
        <v>1550</v>
      </c>
      <c r="B776" s="2" t="s">
        <v>1551</v>
      </c>
      <c r="C776" s="3" t="str">
        <f>IFERROR(__xludf.DUMMYFUNCTION("GOOGLETRANSLATE(A776,""en"",""hy"")"),"որտեղ է Վիլյամ Շեքսպիրը կատարել իր պիեսների մեծ մասը:")</f>
        <v>որտեղ է Վիլյամ Շեքսպիրը կատարել իր պիեսների մեծ մասը:</v>
      </c>
      <c r="D776" s="3" t="str">
        <f>IFERROR(__xludf.DUMMYFUNCTION("GOOGLETRANSLATE(B776,""en"",""hy"")"),"Ուիլյամ Շեքսպիրն իր պիեսների մեծ մասը ներկայացրեց «Գլոբ» թատրոնում։")</f>
        <v>Ուիլյամ Շեքսպիրն իր պիեսների մեծ մասը ներկայացրեց «Գլոբ» թատրոնում։</v>
      </c>
    </row>
    <row r="777">
      <c r="A777" s="1" t="s">
        <v>1552</v>
      </c>
      <c r="B777" s="2" t="s">
        <v>1553</v>
      </c>
      <c r="C777" s="3" t="str">
        <f>IFERROR(__xludf.DUMMYFUNCTION("GOOGLETRANSLATE(A777,""en"",""hy"")"),"Ո՞ր խմբում է Օբրի Օդեյը")</f>
        <v>Ո՞ր խմբում է Օբրի Օդեյը</v>
      </c>
      <c r="D777" s="3" t="str">
        <f>IFERROR(__xludf.DUMMYFUNCTION("GOOGLETRANSLATE(B777,""en"",""hy"")"),"Օբրի Օ'Դեյը եղել է Danity Kane երաժշտական ​​խմբում։")</f>
        <v>Օբրի Օ'Դեյը եղել է Danity Kane երաժշտական ​​խմբում։</v>
      </c>
    </row>
    <row r="778">
      <c r="A778" s="1" t="s">
        <v>1554</v>
      </c>
      <c r="B778" s="2" t="s">
        <v>1555</v>
      </c>
      <c r="C778" s="3" t="str">
        <f>IFERROR(__xludf.DUMMYFUNCTION("GOOGLETRANSLATE(A778,""en"",""hy"")"),"ո՞ր քոլեջն է սովորել Ջո Նամաթը:")</f>
        <v>ո՞ր քոլեջն է սովորել Ջո Նամաթը:</v>
      </c>
      <c r="D778" s="3" t="str">
        <f>IFERROR(__xludf.DUMMYFUNCTION("GOOGLETRANSLATE(B778,""en"",""hy"")"),"Ջո Նամաթը գնաց Ալաբամայի համալսարան:")</f>
        <v>Ջո Նամաթը գնաց Ալաբամայի համալսարան:</v>
      </c>
    </row>
    <row r="779">
      <c r="A779" s="1" t="s">
        <v>1556</v>
      </c>
      <c r="B779" s="2" t="s">
        <v>1557</v>
      </c>
      <c r="C779" s="3" t="str">
        <f>IFERROR(__xludf.DUMMYFUNCTION("GOOGLETRANSLATE(A779,""en"",""hy"")"),"ինչ վայրի կենդանիներ են ապրում Կոլորադոյում:")</f>
        <v>ինչ վայրի կենդանիներ են ապրում Կոլորադոյում:</v>
      </c>
      <c r="D779" s="3" t="str">
        <f>IFERROR(__xludf.DUMMYFUNCTION("GOOGLETRANSLATE(B779,""en"",""hy"")"),"Որոշ վայրի կենդանիներ, որոնք ապրում են Կոլորադոյում, ներառում են արջերը, լեռնային առյուծները, կաղնին, խոզը, մեծ եղջյուր ոչխարները և կոյոտները:")</f>
        <v>Որոշ վայրի կենդանիներ, որոնք ապրում են Կոլորադոյում, ներառում են արջերը, լեռնային առյուծները, կաղնին, խոզը, մեծ եղջյուր ոչխարները և կոյոտները:</v>
      </c>
    </row>
    <row r="780">
      <c r="A780" s="1" t="s">
        <v>1558</v>
      </c>
      <c r="B780" s="2" t="s">
        <v>1559</v>
      </c>
      <c r="C780" s="3" t="str">
        <f>IFERROR(__xludf.DUMMYFUNCTION("GOOGLETRANSLATE(A780,""en"",""hy"")"),"որտեղ է ԵՄ խորհրդարանը")</f>
        <v>որտեղ է ԵՄ խորհրդարանը</v>
      </c>
      <c r="D780" s="3" t="str">
        <f>IFERROR(__xludf.DUMMYFUNCTION("GOOGLETRANSLATE(B780,""en"",""hy"")"),"Եվրախորհրդարանը գտնվում է Բելգիայի Բրյուսել քաղաքում։")</f>
        <v>Եվրախորհրդարանը գտնվում է Բելգիայի Բրյուսել քաղաքում։</v>
      </c>
    </row>
    <row r="781">
      <c r="A781" s="1" t="s">
        <v>1560</v>
      </c>
      <c r="B781" s="2" t="s">
        <v>1561</v>
      </c>
      <c r="C781" s="3" t="str">
        <f>IFERROR(__xludf.DUMMYFUNCTION("GOOGLETRANSLATE(A781,""en"",""hy"")"),"Ե՞րբ է սկսվում ամառը Նոր Անգլիայում:")</f>
        <v>Ե՞րբ է սկսվում ամառը Նոր Անգլիայում:</v>
      </c>
      <c r="D781" s="3" t="str">
        <f>IFERROR(__xludf.DUMMYFUNCTION("GOOGLETRANSLATE(B781,""en"",""hy"")"),"Նոր Անգլիայում ամառը սովորաբար սկսվում է հունիսի վերջին:")</f>
        <v>Նոր Անգլիայում ամառը սովորաբար սկսվում է հունիսի վերջին:</v>
      </c>
    </row>
    <row r="782">
      <c r="A782" s="1" t="s">
        <v>1562</v>
      </c>
      <c r="B782" s="2" t="s">
        <v>1563</v>
      </c>
      <c r="C782" s="3" t="str">
        <f>IFERROR(__xludf.DUMMYFUNCTION("GOOGLETRANSLATE(A782,""en"",""hy"")"),"ով է հորինել արաբական այբուբենը")</f>
        <v>ով է հորինել արաբական այբուբենը</v>
      </c>
      <c r="D782" s="3" t="str">
        <f>IFERROR(__xludf.DUMMYFUNCTION("GOOGLETRANSLATE(B782,""en"",""hy"")"),"Արաբական այբուբենը մշակվել է հենց արաբների կողմից, որի սկզբնավորումը վերաբերում է մ.թ. 4-րդ դարին:")</f>
        <v>Արաբական այբուբենը մշակվել է հենց արաբների կողմից, որի սկզբնավորումը վերաբերում է մ.թ. 4-րդ դարին:</v>
      </c>
    </row>
    <row r="783">
      <c r="A783" s="1" t="s">
        <v>1564</v>
      </c>
      <c r="B783" s="2" t="s">
        <v>1565</v>
      </c>
      <c r="C783" s="3" t="str">
        <f>IFERROR(__xludf.DUMMYFUNCTION("GOOGLETRANSLATE(A783,""en"",""hy"")"),"որտեղի՞ց էր նախագահ Լինդոն Ջոնսոնը:")</f>
        <v>որտեղի՞ց էր նախագահ Լինդոն Ջոնսոնը:</v>
      </c>
      <c r="D783" s="3" t="str">
        <f>IFERROR(__xludf.DUMMYFUNCTION("GOOGLETRANSLATE(B783,""en"",""hy"")"),"Նախագահ Լինդոն Ջոնսոնը Տեխասից էր:")</f>
        <v>Նախագահ Լինդոն Ջոնսոնը Տեխասից էր:</v>
      </c>
    </row>
    <row r="784">
      <c r="A784" s="1" t="s">
        <v>1566</v>
      </c>
      <c r="B784" s="2" t="s">
        <v>1567</v>
      </c>
      <c r="C784" s="3" t="str">
        <f>IFERROR(__xludf.DUMMYFUNCTION("GOOGLETRANSLATE(A784,""en"",""hy"")"),"ինչ է գրել Վագները")</f>
        <v>ինչ է գրել Վագները</v>
      </c>
      <c r="D784" s="3" t="str">
        <f>IFERROR(__xludf.DUMMYFUNCTION("GOOGLETRANSLATE(B784,""en"",""hy"")"),"Ռիխարդ Վագները ստեղծագործել է օպերաներ։")</f>
        <v>Ռիխարդ Վագները ստեղծագործել է օպերաներ։</v>
      </c>
    </row>
    <row r="785">
      <c r="A785" s="1" t="s">
        <v>1568</v>
      </c>
      <c r="B785" s="2" t="s">
        <v>1569</v>
      </c>
      <c r="C785" s="3" t="str">
        <f>IFERROR(__xludf.DUMMYFUNCTION("GOOGLETRANSLATE(A785,""en"",""hy"")"),"ի՞նչ լեզվով էին խոսում հրեաները:")</f>
        <v>ի՞նչ լեզվով էին խոսում հրեաները:</v>
      </c>
      <c r="D785" s="3" t="str">
        <f>IFERROR(__xludf.DUMMYFUNCTION("GOOGLETRANSLATE(B785,""en"",""hy"")"),"Հրեաները պատմականորեն խոսում էին եբրայերեն և իդիշերեն:")</f>
        <v>Հրեաները պատմականորեն խոսում էին եբրայերեն և իդիշերեն:</v>
      </c>
    </row>
    <row r="786">
      <c r="A786" s="1" t="s">
        <v>1570</v>
      </c>
      <c r="B786" s="2" t="s">
        <v>1571</v>
      </c>
      <c r="C786" s="3" t="str">
        <f>IFERROR(__xludf.DUMMYFUNCTION("GOOGLETRANSLATE(A786,""en"",""hy"")"),"ո՞ւմ համար է խաղում Մայքլ Օհերը 2009 թվականին:")</f>
        <v>ո՞ւմ համար է խաղում Մայքլ Օհերը 2009 թվականին:</v>
      </c>
      <c r="D786" s="3" t="str">
        <f>IFERROR(__xludf.DUMMYFUNCTION("GOOGLETRANSLATE(B786,""en"",""hy"")"),"Մայքլ Օհերը խաղացել է «Բալթիմոր Ռեյվենս»-ում 2009 թվականին։")</f>
        <v>Մայքլ Օհերը խաղացել է «Բալթիմոր Ռեյվենս»-ում 2009 թվականին։</v>
      </c>
    </row>
    <row r="787">
      <c r="A787" s="1" t="s">
        <v>1572</v>
      </c>
      <c r="B787" s="2" t="s">
        <v>1573</v>
      </c>
      <c r="C787" s="3" t="str">
        <f>IFERROR(__xludf.DUMMYFUNCTION("GOOGLETRANSLATE(A787,""en"",""hy"")"),"ինչ տարիներ են խաղացել barry bonds-ը:")</f>
        <v>ինչ տարիներ են խաղացել barry bonds-ը:</v>
      </c>
      <c r="D787" s="3" t="str">
        <f>IFERROR(__xludf.DUMMYFUNCTION("GOOGLETRANSLATE(B787,""en"",""hy"")"),"Բարի Բոնդսը խաղացել է 1986-ից 2007 թվականներին։")</f>
        <v>Բարի Բոնդսը խաղացել է 1986-ից 2007 թվականներին։</v>
      </c>
    </row>
    <row r="788">
      <c r="A788" s="1" t="s">
        <v>1574</v>
      </c>
      <c r="B788" s="2" t="s">
        <v>1575</v>
      </c>
      <c r="C788" s="3" t="str">
        <f>IFERROR(__xludf.DUMMYFUNCTION("GOOGLETRANSLATE(A788,""en"",""hy"")"),"ով խաղաց Էմմա Ֆրոստ")</f>
        <v>ով խաղաց Էմմա Ֆրոստ</v>
      </c>
      <c r="D788" s="3" t="str">
        <f>IFERROR(__xludf.DUMMYFUNCTION("GOOGLETRANSLATE(B788,""en"",""hy"")"),"Հունվար Ջոնս.")</f>
        <v>Հունվար Ջոնս.</v>
      </c>
    </row>
    <row r="789">
      <c r="A789" s="1" t="s">
        <v>1576</v>
      </c>
      <c r="B789" s="2" t="s">
        <v>1577</v>
      </c>
      <c r="C789" s="3" t="str">
        <f>IFERROR(__xludf.DUMMYFUNCTION("GOOGLETRANSLATE(A789,""en"",""hy"")"),"ի՞նչ է ասում մայաների օրացույցը 2012թ.")</f>
        <v>ի՞նչ է ասում մայաների օրացույցը 2012թ.</v>
      </c>
      <c r="D789" s="3" t="str">
        <f>IFERROR(__xludf.DUMMYFUNCTION("GOOGLETRANSLATE(B789,""en"",""hy"")"),"Մայաների օրացույցում կոնկրետ ոչինչ չի նշվում 2012թ.")</f>
        <v>Մայաների օրացույցում կոնկրետ ոչինչ չի նշվում 2012թ.</v>
      </c>
    </row>
    <row r="790">
      <c r="A790" s="1" t="s">
        <v>1578</v>
      </c>
      <c r="B790" s="2" t="s">
        <v>1579</v>
      </c>
      <c r="C790" s="3" t="str">
        <f>IFERROR(__xludf.DUMMYFUNCTION("GOOGLETRANSLATE(A790,""en"",""hy"")"),"Ո՞ր ակումբներում է խաղացել Փիթեր Քրաուչը:")</f>
        <v>Ո՞ր ակումբներում է խաղացել Փիթեր Քրաուչը:</v>
      </c>
      <c r="D790" s="3" t="str">
        <f>IFERROR(__xludf.DUMMYFUNCTION("GOOGLETRANSLATE(B790,""en"",""hy"")"),"Պիտեր Քրաուչը խաղացել է մի քանի ակումբներում, այդ թվում՝ «Տոտենհեմ Հոթսպուրսում», «Լիվերպուլում», «Պորտսմութում» և «Սթոք Սիթիում»:")</f>
        <v>Պիտեր Քրաուչը խաղացել է մի քանի ակումբներում, այդ թվում՝ «Տոտենհեմ Հոթսպուրսում», «Լիվերպուլում», «Պորտսմութում» և «Սթոք Սիթիում»:</v>
      </c>
    </row>
    <row r="791">
      <c r="A791" s="1" t="s">
        <v>1580</v>
      </c>
      <c r="B791" s="2" t="s">
        <v>1581</v>
      </c>
      <c r="C791" s="3" t="str">
        <f>IFERROR(__xludf.DUMMYFUNCTION("GOOGLETRANSLATE(A791,""en"",""hy"")"),"ով է խաղում եղբորը Հաննա Մոնտանայում:")</f>
        <v>ով է խաղում եղբորը Հաննա Մոնտանայում:</v>
      </c>
      <c r="D791" s="3" t="str">
        <f>IFERROR(__xludf.DUMMYFUNCTION("GOOGLETRANSLATE(B791,""en"",""hy"")"),"Ջեյսոն Էրլզ")</f>
        <v>Ջեյսոն Էրլզ</v>
      </c>
    </row>
    <row r="792">
      <c r="A792" s="1" t="s">
        <v>1582</v>
      </c>
      <c r="B792" s="2" t="s">
        <v>1583</v>
      </c>
      <c r="C792" s="3" t="str">
        <f>IFERROR(__xludf.DUMMYFUNCTION("GOOGLETRANSLATE(A792,""en"",""hy"")"),"Ո՞ր թիմում է խաղում Լամար Օդոմը 2011թ.")</f>
        <v>Ո՞ր թիմում է խաղում Լամար Օդոմը 2011թ.</v>
      </c>
      <c r="D792" s="3" t="str">
        <f>IFERROR(__xludf.DUMMYFUNCTION("GOOGLETRANSLATE(B792,""en"",""hy"")"),"Լամար Օդոմը հանդես է եկել «Դալաս Մավերիկսում» 2011 թվականին։")</f>
        <v>Լամար Օդոմը հանդես է եկել «Դալաս Մավերիկսում» 2011 թվականին։</v>
      </c>
    </row>
    <row r="793">
      <c r="A793" s="1" t="s">
        <v>1584</v>
      </c>
      <c r="B793" s="2" t="s">
        <v>1585</v>
      </c>
      <c r="C793" s="3" t="str">
        <f>IFERROR(__xludf.DUMMYFUNCTION("GOOGLETRANSLATE(A793,""en"",""hy"")"),"Ո՞ր ավագ դպրոց է հաճախել Թոմ Բրեդին:")</f>
        <v>Ո՞ր ավագ դպրոց է հաճախել Թոմ Բրեդին:</v>
      </c>
      <c r="D793" s="3" t="str">
        <f>IFERROR(__xludf.DUMMYFUNCTION("GOOGLETRANSLATE(B793,""en"",""hy"")"),"Թոմ Բրեյդին հաճախել է Junípero Serra ավագ դպրոց:")</f>
        <v>Թոմ Բրեյդին հաճախել է Junípero Serra ավագ դպրոց:</v>
      </c>
    </row>
    <row r="794">
      <c r="A794" s="1" t="s">
        <v>1586</v>
      </c>
      <c r="B794" s="2" t="s">
        <v>1587</v>
      </c>
      <c r="C794" s="3" t="str">
        <f>IFERROR(__xludf.DUMMYFUNCTION("GOOGLETRANSLATE(A794,""en"",""hy"")"),"ո՞ւմ է պատկանում skywest-ը:")</f>
        <v>ո՞ւմ է պատկանում skywest-ը:</v>
      </c>
      <c r="D794" s="3" t="str">
        <f>IFERROR(__xludf.DUMMYFUNCTION("GOOGLETRANSLATE(B794,""en"",""hy"")"),"SkyWest Inc.-ը հրապարակային վաճառվող ընկերություն է, ուստի այն պատկանում է իր բաժնետերերին:")</f>
        <v>SkyWest Inc.-ը հրապարակային վաճառվող ընկերություն է, ուստի այն պատկանում է իր բաժնետերերին:</v>
      </c>
    </row>
    <row r="795">
      <c r="A795" s="1" t="s">
        <v>1588</v>
      </c>
      <c r="B795" s="2" t="s">
        <v>1589</v>
      </c>
      <c r="C795" s="3" t="str">
        <f>IFERROR(__xludf.DUMMYFUNCTION("GOOGLETRANSLATE(A795,""en"",""hy"")"),"ում հետ ամուսնացավ Մայքլ Ջորդանը")</f>
        <v>ում հետ ամուսնացավ Մայքլ Ջորդանը</v>
      </c>
      <c r="D795" s="3" t="str">
        <f>IFERROR(__xludf.DUMMYFUNCTION("GOOGLETRANSLATE(B795,""en"",""hy"")"),"Մայքլ Ջորդանն ամուսնացավ Իվետ Պրիետոյի հետ։")</f>
        <v>Մայքլ Ջորդանն ամուսնացավ Իվետ Պրիետոյի հետ։</v>
      </c>
    </row>
    <row r="796">
      <c r="A796" s="1" t="s">
        <v>1590</v>
      </c>
      <c r="B796" s="2" t="s">
        <v>1591</v>
      </c>
      <c r="C796" s="3" t="str">
        <f>IFERROR(__xludf.DUMMYFUNCTION("GOOGLETRANSLATE(A796,""en"",""hy"")"),"որտեղ է Սիրակուզայի համալսարանը")</f>
        <v>որտեղ է Սիրակուզայի համալսարանը</v>
      </c>
      <c r="D796" s="3" t="str">
        <f>IFERROR(__xludf.DUMMYFUNCTION("GOOGLETRANSLATE(B796,""en"",""hy"")"),"Սիրակուզայի համալսարանը գտնվում է Նյու Յորքի Սիրակուզա քաղաքում:")</f>
        <v>Սիրակուզայի համալսարանը գտնվում է Նյու Յորքի Սիրակուզա քաղաքում:</v>
      </c>
    </row>
    <row r="797">
      <c r="A797" s="1" t="s">
        <v>1592</v>
      </c>
      <c r="B797" s="2" t="s">
        <v>1593</v>
      </c>
      <c r="C797" s="3" t="str">
        <f>IFERROR(__xludf.DUMMYFUNCTION("GOOGLETRANSLATE(A797,""en"",""hy"")"),"ինչում է եղել Մարիո Լոպեսը")</f>
        <v>ինչում է եղել Մարիո Լոպեսը</v>
      </c>
      <c r="D797" s="3" t="str">
        <f>IFERROR(__xludf.DUMMYFUNCTION("GOOGLETRANSLATE(B797,""en"",""hy"")"),"Մարիո Լոպեսը նկարահանվել է տարբեր հեռուստաշոուներում և ֆիլմերում, այդ թվում՝ «Փրկված է զանգի կողմից», «Էքստրա», «Պարում ենք աստղերի հետ» և «Խաղաղօվկիանոսյան կապույտը»:")</f>
        <v>Մարիո Լոպեսը նկարահանվել է տարբեր հեռուստաշոուներում և ֆիլմերում, այդ թվում՝ «Փրկված է զանգի կողմից», «Էքստրա», «Պարում ենք աստղերի հետ» և «Խաղաղօվկիանոսյան կապույտը»:</v>
      </c>
    </row>
    <row r="798">
      <c r="A798" s="1" t="s">
        <v>1594</v>
      </c>
      <c r="B798" s="2" t="s">
        <v>1595</v>
      </c>
      <c r="C798" s="3" t="str">
        <f>IFERROR(__xludf.DUMMYFUNCTION("GOOGLETRANSLATE(A798,""en"",""hy"")"),"որտեղ են ապրում Լոգան Բրաունինգը:")</f>
        <v>որտեղ են ապրում Լոգան Բրաունինգը:</v>
      </c>
      <c r="D798" s="3" t="str">
        <f>IFERROR(__xludf.DUMMYFUNCTION("GOOGLETRANSLATE(B798,""en"",""hy"")"),"Այն հրապարակայնորեն չի բացահայտվում, թե որտեղ է ապրում Լոգան Բրաունինգը:")</f>
        <v>Այն հրապարակայնորեն չի բացահայտվում, թե որտեղ է ապրում Լոգան Բրաունինգը:</v>
      </c>
    </row>
    <row r="799">
      <c r="A799" s="1" t="s">
        <v>1596</v>
      </c>
      <c r="B799" s="2" t="s">
        <v>1597</v>
      </c>
      <c r="C799" s="3" t="str">
        <f>IFERROR(__xludf.DUMMYFUNCTION("GOOGLETRANSLATE(A799,""en"",""hy"")"),"երբ պաշտոնապես բացվեց Mcdonalds-ը:")</f>
        <v>երբ պաշտոնապես բացվեց Mcdonalds-ը:</v>
      </c>
      <c r="D799" s="3" t="str">
        <f>IFERROR(__xludf.DUMMYFUNCTION("GOOGLETRANSLATE(B799,""en"",""hy"")"),"McDonald's-ը պաշտոնապես բացվել է 1955 թվականի ապրիլի 15-ին։")</f>
        <v>McDonald's-ը պաշտոնապես բացվել է 1955 թվականի ապրիլի 15-ին։</v>
      </c>
    </row>
    <row r="800">
      <c r="A800" s="1" t="s">
        <v>1598</v>
      </c>
      <c r="B800" s="2" t="s">
        <v>1599</v>
      </c>
      <c r="C800" s="3" t="str">
        <f>IFERROR(__xludf.DUMMYFUNCTION("GOOGLETRANSLATE(A800,""en"",""hy"")"),"Ո՞ր թիմում է այս տարի խաղում Տերել Օուենսը:")</f>
        <v>Ո՞ր թիմում է այս տարի խաղում Տերել Օուենսը:</v>
      </c>
      <c r="D800" s="3" t="str">
        <f>IFERROR(__xludf.DUMMYFUNCTION("GOOGLETRANSLATE(B800,""en"",""hy"")"),"Թերել Օուենսը ներկայումս ոչ մի թիմում չի խաղում։")</f>
        <v>Թերել Օուենսը ներկայումս ոչ մի թիմում չի խաղում։</v>
      </c>
    </row>
    <row r="801">
      <c r="A801" s="1" t="s">
        <v>1600</v>
      </c>
      <c r="B801" s="2" t="s">
        <v>1601</v>
      </c>
      <c r="C801" s="3" t="str">
        <f>IFERROR(__xludf.DUMMYFUNCTION("GOOGLETRANSLATE(A801,""en"",""hy"")"),"ինչ անել երեխաների հետ Հալիֆաքսում.")</f>
        <v>ինչ անել երեխաների հետ Հալիֆաքսում.</v>
      </c>
      <c r="D801" s="3" t="str">
        <f>IFERROR(__xludf.DUMMYFUNCTION("GOOGLETRANSLATE(B801,""en"",""hy"")"),"Հալիֆաքսում կան մի քանի գործողություններ և տեսարժան վայրեր երեխաների համար: Որոշ տարբերակներ ներառում են այցելել Discovery Centre, ուսումնասիրել Ատլանտյան ծովային թանգարանը, վայելել բացօթյա գործունեությունը Point Pleasant Park-ում կամ Halifax Public Garde"&amp;"ns-ում և լաստանավով զբոսնել՝ այցելելու McNabs կղզի կամ Georges Island:")</f>
        <v>Հալիֆաքսում կան մի քանի գործողություններ և տեսարժան վայրեր երեխաների համար: Որոշ տարբերակներ ներառում են այցելել Discovery Centre, ուսումնասիրել Ատլանտյան ծովային թանգարանը, վայելել բացօթյա գործունեությունը Point Pleasant Park-ում կամ Halifax Public Gardens-ում և լաստանավով զբոսնել՝ այցելելու McNabs կղզի կամ Georges Island:</v>
      </c>
    </row>
    <row r="802">
      <c r="A802" s="1" t="s">
        <v>1602</v>
      </c>
      <c r="B802" s="2" t="s">
        <v>1603</v>
      </c>
      <c r="C802" s="3" t="str">
        <f>IFERROR(__xludf.DUMMYFUNCTION("GOOGLETRANSLATE(A802,""en"",""hy"")"),"որտեղ է գտնվում Օհիոյի Ուեյնոկա լիճը:")</f>
        <v>որտեղ է գտնվում Օհիոյի Ուեյնոկա լիճը:</v>
      </c>
      <c r="D802" s="3" t="str">
        <f>IFERROR(__xludf.DUMMYFUNCTION("GOOGLETRANSLATE(B802,""en"",""hy"")"),"Lake Waynoka գտնվում է Օհայո նահանգի Բրաուն կոմսությունում։")</f>
        <v>Lake Waynoka գտնվում է Օհայո նահանգի Բրաուն կոմսությունում։</v>
      </c>
    </row>
    <row r="803">
      <c r="A803" s="1" t="s">
        <v>1604</v>
      </c>
      <c r="B803" s="2" t="s">
        <v>1605</v>
      </c>
      <c r="C803" s="3" t="str">
        <f>IFERROR(__xludf.DUMMYFUNCTION("GOOGLETRANSLATE(A803,""en"",""hy"")"),"ո՞ւմ հետ է ստորագրել Ջերեմի Լինը:")</f>
        <v>ո՞ւմ հետ է ստորագրել Ջերեմի Լինը:</v>
      </c>
      <c r="D803" s="3" t="str">
        <f>IFERROR(__xludf.DUMMYFUNCTION("GOOGLETRANSLATE(B803,""en"",""hy"")"),"Ջերեմի Լինը պայմանագիր է կնքել Սանտա Կրուս Ուորիորսի հետ:")</f>
        <v>Ջերեմի Լինը պայմանագիր է կնքել Սանտա Կրուս Ուորիորսի հետ:</v>
      </c>
    </row>
    <row r="804">
      <c r="A804" s="1" t="s">
        <v>1606</v>
      </c>
      <c r="B804" s="2" t="s">
        <v>1607</v>
      </c>
      <c r="C804" s="3" t="str">
        <f>IFERROR(__xludf.DUMMYFUNCTION("GOOGLETRANSLATE(A804,""en"",""hy"")"),"ո՞վ է հովանավորելու Քևին Հարվիկին 2011թ.")</f>
        <v>ո՞վ է հովանավորելու Քևին Հարվիկին 2011թ.</v>
      </c>
      <c r="D804" s="3" t="str">
        <f>IFERROR(__xludf.DUMMYFUNCTION("GOOGLETRANSLATE(B804,""en"",""hy"")"),"Budweiser-ը հովանավորել է Քևին Հարվիկին 2011թ.")</f>
        <v>Budweiser-ը հովանավորել է Քևին Հարվիկին 2011թ.</v>
      </c>
    </row>
    <row r="805">
      <c r="A805" s="1" t="s">
        <v>1608</v>
      </c>
      <c r="B805" s="2" t="s">
        <v>1609</v>
      </c>
      <c r="C805" s="3" t="str">
        <f>IFERROR(__xludf.DUMMYFUNCTION("GOOGLETRANSLATE(A805,""en"",""hy"")"),"որտեղից է առաջացել adidas-ը:")</f>
        <v>որտեղից է առաջացել adidas-ը:</v>
      </c>
      <c r="D805" s="3" t="str">
        <f>IFERROR(__xludf.DUMMYFUNCTION("GOOGLETRANSLATE(B805,""en"",""hy"")"),"Adidas-ը ծագում է Գերմանիայից։")</f>
        <v>Adidas-ը ծագում է Գերմանիայից։</v>
      </c>
    </row>
    <row r="806">
      <c r="A806" s="1" t="s">
        <v>1610</v>
      </c>
      <c r="B806" s="2" t="s">
        <v>1611</v>
      </c>
      <c r="C806" s="3" t="str">
        <f>IFERROR(__xludf.DUMMYFUNCTION("GOOGLETRANSLATE(A806,""en"",""hy"")"),"ով խաղաց կայսր Պալպատին:")</f>
        <v>ով խաղաց կայսր Պալպատին:</v>
      </c>
      <c r="D806" s="3" t="str">
        <f>IFERROR(__xludf.DUMMYFUNCTION("GOOGLETRANSLATE(B806,""en"",""hy"")"),"Յան ՄաքԴիարմիդ.")</f>
        <v>Յան ՄաքԴիարմիդ.</v>
      </c>
    </row>
    <row r="807">
      <c r="A807" s="1" t="s">
        <v>1612</v>
      </c>
      <c r="B807" s="2" t="s">
        <v>1613</v>
      </c>
      <c r="C807" s="3" t="str">
        <f>IFERROR(__xludf.DUMMYFUNCTION("GOOGLETRANSLATE(A807,""en"",""hy"")"),"ինչ է ժամը 14:00-ը Ֆիլիպիններում:")</f>
        <v>ինչ է ժամը 14:00-ը Ֆիլիպիններում:</v>
      </c>
      <c r="D807" s="3" t="str">
        <f>IFERROR(__xludf.DUMMYFUNCTION("GOOGLETRANSLATE(B807,""en"",""hy"")"),"Ֆիլիպիններում ժամը 14:00 EST-ը ժամը 3-ն է:")</f>
        <v>Ֆիլիպիններում ժամը 14:00 EST-ը ժամը 3-ն է:</v>
      </c>
    </row>
    <row r="808">
      <c r="A808" s="1" t="s">
        <v>1614</v>
      </c>
      <c r="B808" s="2" t="s">
        <v>1615</v>
      </c>
      <c r="C808" s="3" t="str">
        <f>IFERROR(__xludf.DUMMYFUNCTION("GOOGLETRANSLATE(A808,""en"",""hy"")"),"որտեղ են գտնվում Գիզայի բուրգերը:")</f>
        <v>որտեղ են գտնվում Գիզայի բուրգերը:</v>
      </c>
      <c r="D808" s="3" t="str">
        <f>IFERROR(__xludf.DUMMYFUNCTION("GOOGLETRANSLATE(B808,""en"",""hy"")"),"Գիզայի բուրգերը գտնվում են Եգիպտոսում։")</f>
        <v>Գիզայի բուրգերը գտնվում են Եգիպտոսում։</v>
      </c>
    </row>
    <row r="809">
      <c r="A809" s="1" t="s">
        <v>1616</v>
      </c>
      <c r="B809" s="2" t="s">
        <v>1617</v>
      </c>
      <c r="C809" s="3" t="str">
        <f>IFERROR(__xludf.DUMMYFUNCTION("GOOGLETRANSLATE(A809,""en"",""hy"")"),"Ե՞րբ է Սալի Փիրսոնի մրցավազքը այսօր երեկոյան:")</f>
        <v>Ե՞րբ է Սալի Փիրսոնի մրցավազքը այսօր երեկոյան:</v>
      </c>
      <c r="D809" s="3" t="str">
        <f>IFERROR(__xludf.DUMMYFUNCTION("GOOGLETRANSLATE(B809,""en"",""hy"")"),"Ցավում եմ, բայց ինձ հասանելի չեն կոնկրետ մարզիկների ընթացիկ ժամանակացույցերը:")</f>
        <v>Ցավում եմ, բայց ինձ հասանելի չեն կոնկրետ մարզիկների ընթացիկ ժամանակացույցերը:</v>
      </c>
    </row>
    <row r="810">
      <c r="A810" s="1" t="s">
        <v>1618</v>
      </c>
      <c r="B810" s="2" t="s">
        <v>1619</v>
      </c>
      <c r="C810" s="3" t="str">
        <f>IFERROR(__xludf.DUMMYFUNCTION("GOOGLETRANSLATE(A810,""en"",""hy"")"),"ովքեր էին Դեմետրի եղբայրներն ու քույրերը")</f>
        <v>ովքեր էին Դեմետրի եղբայրներն ու քույրերը</v>
      </c>
      <c r="D810" s="3" t="str">
        <f>IFERROR(__xludf.DUMMYFUNCTION("GOOGLETRANSLATE(B810,""en"",""hy"")"),"Դեմետրի եղբայրներն էին Զևսը, Պոսեյդոնը, Հադեսը, Հերան և Հեստիան։")</f>
        <v>Դեմետրի եղբայրներն էին Զևսը, Պոսեյդոնը, Հադեսը, Հերան և Հեստիան։</v>
      </c>
    </row>
    <row r="811">
      <c r="A811" s="1" t="s">
        <v>1620</v>
      </c>
      <c r="B811" s="2" t="s">
        <v>1621</v>
      </c>
      <c r="C811" s="3" t="str">
        <f>IFERROR(__xludf.DUMMYFUNCTION("GOOGLETRANSLATE(A811,""en"",""hy"")"),"Ո՞ր գործիքով էր հայտնի Լուիս Արմսթրոնգը:")</f>
        <v>Ո՞ր գործիքով էր հայտնի Լուիս Արմսթրոնգը:</v>
      </c>
      <c r="D811" s="3" t="str">
        <f>IFERROR(__xludf.DUMMYFUNCTION("GOOGLETRANSLATE(B811,""en"",""hy"")"),"շեփոր")</f>
        <v>շեփոր</v>
      </c>
    </row>
    <row r="812">
      <c r="A812" s="1" t="s">
        <v>1622</v>
      </c>
      <c r="B812" s="2" t="s">
        <v>1623</v>
      </c>
      <c r="C812" s="3" t="str">
        <f>IFERROR(__xludf.DUMMYFUNCTION("GOOGLETRANSLATE(A812,""en"",""hy"")"),"Ո՞ր ամսաթվին են Սան Ֆրանցիսկոյի հսկաները հաղթել համաշխարհային շարքում:")</f>
        <v>Ո՞ր ամսաթվին են Սան Ֆրանցիսկոյի հսկաները հաղթել համաշխարհային շարքում:</v>
      </c>
      <c r="D812" s="3" t="str">
        <f>IFERROR(__xludf.DUMMYFUNCTION("GOOGLETRANSLATE(B812,""en"",""hy"")"),"San Francisco Giants-ը 2014 թվականին հաղթել է World Series-ում:")</f>
        <v>San Francisco Giants-ը 2014 թվականին հաղթել է World Series-ում:</v>
      </c>
    </row>
    <row r="813">
      <c r="A813" s="1" t="s">
        <v>1624</v>
      </c>
      <c r="B813" s="2" t="s">
        <v>1625</v>
      </c>
      <c r="C813" s="3" t="str">
        <f>IFERROR(__xludf.DUMMYFUNCTION("GOOGLETRANSLATE(A813,""en"",""hy"")"),"Ո՞ր նահանգում է գտնվում Կանադայի մայրաքաղաքը:")</f>
        <v>Ո՞ր նահանգում է գտնվում Կանադայի մայրաքաղաքը:</v>
      </c>
      <c r="D813" s="3" t="str">
        <f>IFERROR(__xludf.DUMMYFUNCTION("GOOGLETRANSLATE(B813,""en"",""hy"")"),"Օնտարիո.")</f>
        <v>Օնտարիո.</v>
      </c>
    </row>
    <row r="814">
      <c r="A814" s="1" t="s">
        <v>1626</v>
      </c>
      <c r="B814" s="2" t="s">
        <v>1627</v>
      </c>
      <c r="C814" s="3" t="str">
        <f>IFERROR(__xludf.DUMMYFUNCTION("GOOGLETRANSLATE(A814,""en"",""hy"")"),"ո՞ր մայրցամաքում է գտնվում ԱՄՆ-ը:")</f>
        <v>ո՞ր մայրցամաքում է գտնվում ԱՄՆ-ը:</v>
      </c>
      <c r="D814" s="3" t="str">
        <f>IFERROR(__xludf.DUMMYFUNCTION("GOOGLETRANSLATE(B814,""en"",""hy"")"),"Հյուսիսային Ամերիկա.")</f>
        <v>Հյուսիսային Ամերիկա.</v>
      </c>
    </row>
    <row r="815">
      <c r="A815" s="1" t="s">
        <v>1628</v>
      </c>
      <c r="B815" s="2" t="s">
        <v>1629</v>
      </c>
      <c r="C815" s="3" t="str">
        <f>IFERROR(__xludf.DUMMYFUNCTION("GOOGLETRANSLATE(A815,""en"",""hy"")"),"որտեղ է Սինգապուրը աշխարհի քարտեզի վրա:")</f>
        <v>որտեղ է Սինգապուրը աշխարհի քարտեզի վրա:</v>
      </c>
      <c r="D815" s="3" t="str">
        <f>IFERROR(__xludf.DUMMYFUNCTION("GOOGLETRANSLATE(B815,""en"",""hy"")"),"Սինգապուրը գտնվում է Հարավարևելյան Ասիայում՝ Մալայական թերակղզու հարավային ծայրում։")</f>
        <v>Սինգապուրը գտնվում է Հարավարևելյան Ասիայում՝ Մալայական թերակղզու հարավային ծայրում։</v>
      </c>
    </row>
    <row r="816">
      <c r="A816" s="1" t="s">
        <v>1630</v>
      </c>
      <c r="B816" s="2" t="s">
        <v>1631</v>
      </c>
      <c r="C816" s="3" t="str">
        <f>IFERROR(__xludf.DUMMYFUNCTION("GOOGLETRANSLATE(A816,""en"",""hy"")"),"ինչ տեսնել Լոնդոնում 2012 թվականի հունիսին:")</f>
        <v>ինչ տեսնել Լոնդոնում 2012 թվականի հունիսին:</v>
      </c>
      <c r="D816" s="3" t="str">
        <f>IFERROR(__xludf.DUMMYFUNCTION("GOOGLETRANSLATE(B816,""en"",""hy"")"),"2012 թվականի հունիսին Լոնդոնում տեսնելու որոշ հայտնի տեսարժան վայրերից էին Լոնդոնի աշտարակը, Բուքինգհեմյան պալատը, Բրիտանական թանգարանը, Լոնդոնի աչքը և Վեսթ Էնդի թատերական թաղամասը:")</f>
        <v>2012 թվականի հունիսին Լոնդոնում տեսնելու որոշ հայտնի տեսարժան վայրերից էին Լոնդոնի աշտարակը, Բուքինգհեմյան պալատը, Բրիտանական թանգարանը, Լոնդոնի աչքը և Վեսթ Էնդի թատերական թաղամասը:</v>
      </c>
    </row>
    <row r="817">
      <c r="A817" s="1" t="s">
        <v>1632</v>
      </c>
      <c r="B817" s="2" t="s">
        <v>1633</v>
      </c>
      <c r="C817" s="3" t="str">
        <f>IFERROR(__xludf.DUMMYFUNCTION("GOOGLETRANSLATE(A817,""en"",""hy"")"),"ո՞րն է Իսրայելի հիմնական լեզուն:")</f>
        <v>ո՞րն է Իսրայելի հիմնական լեզուն:</v>
      </c>
      <c r="D817" s="3" t="str">
        <f>IFERROR(__xludf.DUMMYFUNCTION("GOOGLETRANSLATE(B817,""en"",""hy"")"),"Իսրայելի հիմնական լեզուն եբրայերենն է։")</f>
        <v>Իսրայելի հիմնական լեզուն եբրայերենն է։</v>
      </c>
    </row>
    <row r="818">
      <c r="A818" s="1" t="s">
        <v>1634</v>
      </c>
      <c r="B818" s="2" t="s">
        <v>1635</v>
      </c>
      <c r="C818" s="3" t="str">
        <f>IFERROR(__xludf.DUMMYFUNCTION("GOOGLETRANSLATE(A818,""en"",""hy"")"),"Ո՞ր քոլեջն է սովորել Քերի Քոլինզը:")</f>
        <v>Ո՞ր քոլեջն է սովորել Քերի Քոլինզը:</v>
      </c>
      <c r="D818" s="3" t="str">
        <f>IFERROR(__xludf.DUMMYFUNCTION("GOOGLETRANSLATE(B818,""en"",""hy"")"),"Քերի Քոլինզը հաճախել է Փենսիլվանիայի պետական ​​համալսարան քոլեջում:")</f>
        <v>Քերի Քոլինզը հաճախել է Փենսիլվանիայի պետական ​​համալսարան քոլեջում:</v>
      </c>
    </row>
    <row r="819">
      <c r="A819" s="1" t="s">
        <v>1636</v>
      </c>
      <c r="B819" s="2" t="s">
        <v>1637</v>
      </c>
      <c r="C819" s="3" t="str">
        <f>IFERROR(__xludf.DUMMYFUNCTION("GOOGLETRANSLATE(A819,""en"",""hy"")"),"ինչից է մահացել Բոբ Ռոսը")</f>
        <v>ինչից է մահացել Բոբ Ռոսը</v>
      </c>
      <c r="D819" s="3" t="str">
        <f>IFERROR(__xludf.DUMMYFUNCTION("GOOGLETRANSLATE(B819,""en"",""hy"")"),"Բոբ Ռոսը մահացավ լիմֆոմայից 1995 թվականի հուլիսի 4-ին։")</f>
        <v>Բոբ Ռոսը մահացավ լիմֆոմայից 1995 թվականի հուլիսի 4-ին։</v>
      </c>
    </row>
    <row r="820">
      <c r="A820" s="1" t="s">
        <v>1638</v>
      </c>
      <c r="B820" s="2" t="s">
        <v>1639</v>
      </c>
      <c r="C820" s="3" t="str">
        <f>IFERROR(__xludf.DUMMYFUNCTION("GOOGLETRANSLATE(A820,""en"",""hy"")"),"ով էր թագավոր Հուսեյնը")</f>
        <v>ով էր թագավոր Հուսեյնը</v>
      </c>
      <c r="D820" s="3" t="str">
        <f>IFERROR(__xludf.DUMMYFUNCTION("GOOGLETRANSLATE(B820,""en"",""hy"")"),"Թագավոր Հուսեյնը Հորդանանի երկարամյա թագավորն էր 1952 թվականից մինչև իր մահը՝ 1999 թվականը։")</f>
        <v>Թագավոր Հուսեյնը Հորդանանի երկարամյա թագավորն էր 1952 թվականից մինչև իր մահը՝ 1999 թվականը։</v>
      </c>
    </row>
    <row r="821">
      <c r="A821" s="1" t="s">
        <v>1640</v>
      </c>
      <c r="B821" s="2" t="s">
        <v>1641</v>
      </c>
      <c r="C821" s="3" t="str">
        <f>IFERROR(__xludf.DUMMYFUNCTION("GOOGLETRANSLATE(A821,""en"",""hy"")"),"որտեղ էր ապրում Մարտին Լյութերը")</f>
        <v>որտեղ էր ապրում Մարտին Լյութերը</v>
      </c>
      <c r="D821" s="3" t="str">
        <f>IFERROR(__xludf.DUMMYFUNCTION("GOOGLETRANSLATE(B821,""en"",""hy"")"),"Մարտին Լյութերն ապրում էր Գերմանիայում։")</f>
        <v>Մարտին Լյութերն ապրում էր Գերմանիայում։</v>
      </c>
    </row>
    <row r="822">
      <c r="A822" s="1" t="s">
        <v>1642</v>
      </c>
      <c r="B822" s="2" t="s">
        <v>1643</v>
      </c>
      <c r="C822" s="3" t="str">
        <f>IFERROR(__xludf.DUMMYFUNCTION("GOOGLETRANSLATE(A822,""en"",""hy"")"),"որտեղ է արտադրվում kia մեքենան")</f>
        <v>որտեղ է արտադրվում kia մեքենան</v>
      </c>
      <c r="D822" s="3" t="str">
        <f>IFERROR(__xludf.DUMMYFUNCTION("GOOGLETRANSLATE(B822,""en"",""hy"")"),"Kia մեքենաները արտադրվում են Հարավային Կորեայում։")</f>
        <v>Kia մեքենաները արտադրվում են Հարավային Կորեայում։</v>
      </c>
    </row>
    <row r="823">
      <c r="A823" s="1" t="s">
        <v>1644</v>
      </c>
      <c r="B823" s="2" t="s">
        <v>1645</v>
      </c>
      <c r="C823" s="3" t="str">
        <f>IFERROR(__xludf.DUMMYFUNCTION("GOOGLETRANSLATE(A823,""en"",""hy"")"),"որո՞նք են Նիկի Մինաժի բոլոր երգերը:")</f>
        <v>որո՞նք են Նիկի Մինաժի բոլոր երգերը:</v>
      </c>
      <c r="D823" s="3" t="str">
        <f>IFERROR(__xludf.DUMMYFUNCTION("GOOGLETRANSLATE(B823,""en"",""hy"")"),"Ես չեմ կարող տրամադրել այն բոլոր երգերի ամբողջական ցանկը, որոնցում Նիկի Մինաժն է, քանի որ այն անընդհատ փոփոխվում և աճում է: Այնուամենայնիվ, նա համագործակցել է տարբեր արտիստների հետ և որպես մենակատար թողարկել բազմաթիվ երգեր։")</f>
        <v>Ես չեմ կարող տրամադրել այն բոլոր երգերի ամբողջական ցանկը, որոնցում Նիկի Մինաժն է, քանի որ այն անընդհատ փոփոխվում և աճում է: Այնուամենայնիվ, նա համագործակցել է տարբեր արտիստների հետ և որպես մենակատար թողարկել բազմաթիվ երգեր։</v>
      </c>
    </row>
    <row r="824">
      <c r="A824" s="1" t="s">
        <v>1646</v>
      </c>
      <c r="B824" s="2" t="s">
        <v>1647</v>
      </c>
      <c r="C824" s="3" t="str">
        <f>IFERROR(__xludf.DUMMYFUNCTION("GOOGLETRANSLATE(A824,""en"",""hy"")"),"ո՞ր խմբավորումներում էր ներգրավված Հիտլերը:")</f>
        <v>ո՞ր խմբավորումներում էր ներգրավված Հիտլերը:</v>
      </c>
      <c r="D824" s="3" t="str">
        <f>IFERROR(__xludf.DUMMYFUNCTION("GOOGLETRANSLATE(B824,""en"",""hy"")"),"Հիտլերը ներգրավված էր մի քանի խմբերում, այդ թվում՝ Գերմանիայի բանվորական կուսակցությանը (DAP), իսկ ավելի ուշ՝ Նացիոնալ-սոցիալիստական ​​գերմանական բանվորական կուսակցությանը (NSDAP), որը նաև հայտնի է որպես Նացիստական ​​կուսակցություն։")</f>
        <v>Հիտլերը ներգրավված էր մի քանի խմբերում, այդ թվում՝ Գերմանիայի բանվորական կուսակցությանը (DAP), իսկ ավելի ուշ՝ Նացիոնալ-սոցիալիստական ​​գերմանական բանվորական կուսակցությանը (NSDAP), որը նաև հայտնի է որպես Նացիստական ​​կուսակցություն։</v>
      </c>
    </row>
    <row r="825">
      <c r="A825" s="1" t="s">
        <v>1648</v>
      </c>
      <c r="B825" s="2" t="s">
        <v>1649</v>
      </c>
      <c r="C825" s="3" t="str">
        <f>IFERROR(__xludf.DUMMYFUNCTION("GOOGLETRANSLATE(A825,""en"",""hy"")"),"Ո՞ր քոլեջ է սովորել մեյջիկ Ջոնսոնը:")</f>
        <v>Ո՞ր քոլեջ է սովորել մեյջիկ Ջոնսոնը:</v>
      </c>
      <c r="D825" s="3" t="str">
        <f>IFERROR(__xludf.DUMMYFUNCTION("GOOGLETRANSLATE(B825,""en"",""hy"")"),"Մեջիք Ջոնսոնը գնաց Միչիգանի պետական ​​համալսարան:")</f>
        <v>Մեջիք Ջոնսոնը գնաց Միչիգանի պետական ​​համալսարան:</v>
      </c>
    </row>
    <row r="826">
      <c r="A826" s="1" t="s">
        <v>1650</v>
      </c>
      <c r="B826" s="2" t="s">
        <v>1651</v>
      </c>
      <c r="C826" s="3" t="str">
        <f>IFERROR(__xludf.DUMMYFUNCTION("GOOGLETRANSLATE(A826,""en"",""hy"")"),"ի՞նչ լեզվով են խոսում Հունաստանում։")</f>
        <v>ի՞նչ լեզվով են խոսում Հունաստանում։</v>
      </c>
      <c r="D826" s="3" t="str">
        <f>IFERROR(__xludf.DUMMYFUNCTION("GOOGLETRANSLATE(B826,""en"",""hy"")"),"հունարեն.")</f>
        <v>հունարեն.</v>
      </c>
    </row>
    <row r="827">
      <c r="A827" s="1" t="s">
        <v>1652</v>
      </c>
      <c r="B827" s="2" t="s">
        <v>1653</v>
      </c>
      <c r="C827" s="3" t="str">
        <f>IFERROR(__xludf.DUMMYFUNCTION("GOOGLETRANSLATE(A827,""en"",""hy"")"),"ինչ տեսնել Չիկագոյի կենտրոնում:")</f>
        <v>ինչ տեսնել Չիկագոյի կենտրոնում:</v>
      </c>
      <c r="D827" s="3" t="str">
        <f>IFERROR(__xludf.DUMMYFUNCTION("GOOGLETRANSLATE(B827,""en"",""hy"")"),"Չիկագոյի կենտրոնում գտնվող որոշ հայտնի տեսարժան վայրերն են Հազարամյակի զբոսայգին, Չիկագոյի արվեստի ինստիտուտը, Navy Pier-ը և Magnificent Mile-ը:")</f>
        <v>Չիկագոյի կենտրոնում գտնվող որոշ հայտնի տեսարժան վայրերն են Հազարամյակի զբոսայգին, Չիկագոյի արվեստի ինստիտուտը, Navy Pier-ը և Magnificent Mile-ը:</v>
      </c>
    </row>
    <row r="828">
      <c r="A828" s="1" t="s">
        <v>1654</v>
      </c>
      <c r="B828" s="2" t="s">
        <v>1655</v>
      </c>
      <c r="C828" s="3" t="str">
        <f>IFERROR(__xludf.DUMMYFUNCTION("GOOGLETRANSLATE(A828,""en"",""hy"")"),"ինչ փողեր են օգտագործում Ֆիլիպինները:")</f>
        <v>ինչ փողեր են օգտագործում Ֆիլիպինները:</v>
      </c>
      <c r="D828" s="3" t="str">
        <f>IFERROR(__xludf.DUMMYFUNCTION("GOOGLETRANSLATE(B828,""en"",""hy"")"),"Ֆիլիպինները որպես պաշտոնական արժույթ օգտագործում են ֆիլիպինյան պեսոն (PHP):")</f>
        <v>Ֆիլիպինները որպես պաշտոնական արժույթ օգտագործում են ֆիլիպինյան պեսոն (PHP):</v>
      </c>
    </row>
    <row r="829">
      <c r="A829" s="1" t="s">
        <v>1656</v>
      </c>
      <c r="B829" s="2" t="s">
        <v>1657</v>
      </c>
      <c r="C829" s="3" t="str">
        <f>IFERROR(__xludf.DUMMYFUNCTION("GOOGLETRANSLATE(A829,""en"",""hy"")"),"ինչ է ստեղծել Ջորջ Իսթմանը")</f>
        <v>ինչ է ստեղծել Ջորջ Իսթմանը</v>
      </c>
      <c r="D829" s="3" t="str">
        <f>IFERROR(__xludf.DUMMYFUNCTION("GOOGLETRANSLATE(B829,""en"",""hy"")"),"Ջորջ Իսթմանը նկարահանել է Eastman Kodak ֆոտոխցիկը և ֆիլմը:")</f>
        <v>Ջորջ Իսթմանը նկարահանել է Eastman Kodak ֆոտոխցիկը և ֆիլմը:</v>
      </c>
    </row>
    <row r="830">
      <c r="A830" s="1" t="s">
        <v>1658</v>
      </c>
      <c r="B830" s="2" t="s">
        <v>1659</v>
      </c>
      <c r="C830" s="3" t="str">
        <f>IFERROR(__xludf.DUMMYFUNCTION("GOOGLETRANSLATE(A830,""en"",""hy"")"),"ո՞ր ֆիլմերում է նկարահանվել Բիլի Բերքը")</f>
        <v>ո՞ր ֆիլմերում է նկարահանվել Բիլի Բերքը</v>
      </c>
      <c r="D830" s="3" t="str">
        <f>IFERROR(__xludf.DUMMYFUNCTION("GOOGLETRANSLATE(B830,""en"",""hy"")"),"Բիլլի Բերկը նկարահանվել է այնպիսի ֆիլմերում, ինչպիսիք են «Մթնշաղ», «Զայրացած քշել» և «Լույսերը դուրս»:")</f>
        <v>Բիլլի Բերկը նկարահանվել է այնպիսի ֆիլմերում, ինչպիսիք են «Մթնշաղ», «Զայրացած քշել» և «Լույսերը դուրս»:</v>
      </c>
    </row>
    <row r="831">
      <c r="A831" s="1" t="s">
        <v>1660</v>
      </c>
      <c r="B831" s="2" t="s">
        <v>1661</v>
      </c>
      <c r="C831" s="3" t="str">
        <f>IFERROR(__xludf.DUMMYFUNCTION("GOOGLETRANSLATE(A831,""en"",""hy"")"),"ով էր Ռուդոլֆ Վիրչովը")</f>
        <v>ով էր Ռուդոլֆ Վիրչովը</v>
      </c>
      <c r="D831" s="3" t="str">
        <f>IFERROR(__xludf.DUMMYFUNCTION("GOOGLETRANSLATE(B831,""en"",""hy"")"),"Ռուդոլֆ Վիրխովը գերմանացի բժիշկ, ախտաբան, մարդաբան և քաղաքական գործիչ էր։")</f>
        <v>Ռուդոլֆ Վիրխովը գերմանացի բժիշկ, ախտաբան, մարդաբան և քաղաքական գործիչ էր։</v>
      </c>
    </row>
    <row r="832">
      <c r="A832" s="1" t="s">
        <v>1662</v>
      </c>
      <c r="B832" s="2" t="s">
        <v>1663</v>
      </c>
      <c r="C832" s="3" t="str">
        <f>IFERROR(__xludf.DUMMYFUNCTION("GOOGLETRANSLATE(A832,""en"",""hy"")"),"ովքե՞ր էին Յուլիսիս գրանտը և Ռոբերտ Լին:")</f>
        <v>ովքե՞ր էին Յուլիսիս գրանտը և Ռոբերտ Լին:</v>
      </c>
      <c r="D832" s="3" t="str">
        <f>IFERROR(__xludf.DUMMYFUNCTION("GOOGLETRANSLATE(B832,""en"",""hy"")"),"Ուլիսես Գրանտը Միացյալ Նահանգների 18-րդ նախագահն էր և Միության գեներալը Ամերիկայի քաղաքացիական պատերազմի ժամանակ։ Ռոբերտ Է. Լին ԱՄՆ-ի քաղաքացիական պատերազմի ժամանակ դաշնային գեներալ էր:")</f>
        <v>Ուլիսես Գրանտը Միացյալ Նահանգների 18-րդ նախագահն էր և Միության գեներալը Ամերիկայի քաղաքացիական պատերազմի ժամանակ։ Ռոբերտ Է. Լին ԱՄՆ-ի քաղաքացիական պատերազմի ժամանակ դաշնային գեներալ էր:</v>
      </c>
    </row>
    <row r="833">
      <c r="A833" s="1" t="s">
        <v>1664</v>
      </c>
      <c r="B833" s="2" t="s">
        <v>1665</v>
      </c>
      <c r="C833" s="3" t="str">
        <f>IFERROR(__xludf.DUMMYFUNCTION("GOOGLETRANSLATE(A833,""en"",""hy"")"),"ո՞րն է Բրիտանի Մերֆիի նկարահանած վերջին ֆիլմը:")</f>
        <v>ո՞րն է Բրիտանի Մերֆիի նկարահանած վերջին ֆիլմը:</v>
      </c>
      <c r="D833" s="3" t="str">
        <f>IFERROR(__xludf.DUMMYFUNCTION("GOOGLETRANSLATE(B833,""en"",""hy"")"),"Բրիտանի Մերֆիի նկարահանած վերջին ֆիլմը «Something Wicked»-ն էր 2014 թվականին։")</f>
        <v>Բրիտանի Մերֆիի նկարահանած վերջին ֆիլմը «Something Wicked»-ն էր 2014 թվականին։</v>
      </c>
    </row>
    <row r="834">
      <c r="A834" s="1" t="s">
        <v>1666</v>
      </c>
      <c r="B834" s="2" t="s">
        <v>1667</v>
      </c>
      <c r="C834" s="3" t="str">
        <f>IFERROR(__xludf.DUMMYFUNCTION("GOOGLETRANSLATE(A834,""en"",""hy"")"),"Ո՞ր երկրների հետ է առևտուր անում Հարավային Աֆրիկան:")</f>
        <v>Ո՞ր երկրների հետ է առևտուր անում Հարավային Աֆրիկան:</v>
      </c>
      <c r="D834" s="3" t="str">
        <f>IFERROR(__xludf.DUMMYFUNCTION("GOOGLETRANSLATE(B834,""en"",""hy"")"),"Հարավային Աֆրիկան ​​առևտուր է իրականացնում տարբեր երկրների հետ, ներառյալ Չինաստանը, Միացյալ Նահանգները, Գերմանիան և Հնդկաստանը:")</f>
        <v>Հարավային Աֆրիկան ​​առևտուր է իրականացնում տարբեր երկրների հետ, ներառյալ Չինաստանը, Միացյալ Նահանգները, Գերմանիան և Հնդկաստանը:</v>
      </c>
    </row>
    <row r="835">
      <c r="A835" s="1" t="s">
        <v>1668</v>
      </c>
      <c r="B835" s="2" t="s">
        <v>1669</v>
      </c>
      <c r="C835" s="3" t="str">
        <f>IFERROR(__xludf.DUMMYFUNCTION("GOOGLETRANSLATE(A835,""en"",""hy"")"),"ինչ լեզվով են խոսում Չինաստանում")</f>
        <v>ինչ լեզվով են խոսում Չինաստանում</v>
      </c>
      <c r="D835" s="3" t="str">
        <f>IFERROR(__xludf.DUMMYFUNCTION("GOOGLETRANSLATE(B835,""en"",""hy"")"),"Չինաստանում խոսվող հիմնական լեզուն մանդարին չինարենն է։")</f>
        <v>Չինաստանում խոսվող հիմնական լեզուն մանդարին չինարենն է։</v>
      </c>
    </row>
    <row r="836">
      <c r="A836" s="1" t="s">
        <v>1670</v>
      </c>
      <c r="B836" s="2" t="s">
        <v>1671</v>
      </c>
      <c r="C836" s="3" t="str">
        <f>IFERROR(__xludf.DUMMYFUNCTION("GOOGLETRANSLATE(A836,""en"",""hy"")"),"ի՞նչ պաշտոն է զբաղեցնում Հիլարի Քլինթոնը")</f>
        <v>ի՞նչ պաշտոն է զբաղեցնում Հիլարի Քլինթոնը</v>
      </c>
      <c r="D836" s="3" t="str">
        <f>IFERROR(__xludf.DUMMYFUNCTION("GOOGLETRANSLATE(B836,""en"",""hy"")"),"Հիլարի Քլինթոնը ներկայումս ոչ մի պաշտոն չի զբաղեցնում։")</f>
        <v>Հիլարի Քլինթոնը ներկայումս ոչ մի պաշտոն չի զբաղեցնում։</v>
      </c>
    </row>
    <row r="837">
      <c r="A837" s="1" t="s">
        <v>1672</v>
      </c>
      <c r="B837" s="2" t="s">
        <v>1673</v>
      </c>
      <c r="C837" s="3" t="str">
        <f>IFERROR(__xludf.DUMMYFUNCTION("GOOGLETRANSLATE(A837,""en"",""hy"")"),"որտեղից է գալիս պորտուգալերենը:")</f>
        <v>որտեղից է գալիս պորտուգալերենը:</v>
      </c>
      <c r="D837" s="3" t="str">
        <f>IFERROR(__xludf.DUMMYFUNCTION("GOOGLETRANSLATE(B837,""en"",""hy"")"),"Պորտուգալերենը գալիս է լատիներենից։")</f>
        <v>Պորտուգալերենը գալիս է լատիներենից։</v>
      </c>
    </row>
    <row r="838">
      <c r="A838" s="1" t="s">
        <v>1674</v>
      </c>
      <c r="B838" s="2" t="s">
        <v>1675</v>
      </c>
      <c r="C838" s="3" t="str">
        <f>IFERROR(__xludf.DUMMYFUNCTION("GOOGLETRANSLATE(A838,""en"",""hy"")"),"որո՞նք են Մեծ Բրիտանիայի հիմնական կրոնները:")</f>
        <v>որո՞նք են Մեծ Բրիտանիայի հիմնական կրոնները:</v>
      </c>
      <c r="D838" s="3" t="str">
        <f>IFERROR(__xludf.DUMMYFUNCTION("GOOGLETRANSLATE(B838,""en"",""hy"")"),"Մեծ Բրիտանիայի հիմնական կրոններն են քրիստոնեությունը, իսլամը, հինդուիզմը, սիկհիզմը, հուդայականությունը և բուդդիզմը:")</f>
        <v>Մեծ Բրիտանիայի հիմնական կրոններն են քրիստոնեությունը, իսլամը, հինդուիզմը, սիկհիզմը, հուդայականությունը և բուդդիզմը:</v>
      </c>
    </row>
    <row r="839">
      <c r="A839" s="1" t="s">
        <v>1676</v>
      </c>
      <c r="B839" s="2" t="s">
        <v>1677</v>
      </c>
      <c r="C839" s="3" t="str">
        <f>IFERROR(__xludf.DUMMYFUNCTION("GOOGLETRANSLATE(A839,""en"",""hy"")"),"որտե՞ղ է Ջենիֆեր Հադսոնը դպրոց հաճախել:")</f>
        <v>որտե՞ղ է Ջենիֆեր Հադսոնը դպրոց հաճախել:</v>
      </c>
      <c r="D839" s="3" t="str">
        <f>IFERROR(__xludf.DUMMYFUNCTION("GOOGLETRANSLATE(B839,""en"",""hy"")"),"Ջենիֆեր Հադսոնը հաճախել է Իլինոյս նահանգի Չիկագո քաղաքի Դանբար մասնագիտական ​​ավագ դպրոցը:")</f>
        <v>Ջենիֆեր Հադսոնը հաճախել է Իլինոյս նահանգի Չիկագո քաղաքի Դանբար մասնագիտական ​​ավագ դպրոցը:</v>
      </c>
    </row>
    <row r="840">
      <c r="A840" s="1" t="s">
        <v>1678</v>
      </c>
      <c r="B840" s="2" t="s">
        <v>1679</v>
      </c>
      <c r="C840" s="3" t="str">
        <f>IFERROR(__xludf.DUMMYFUNCTION("GOOGLETRANSLATE(A840,""en"",""hy"")"),"ինչ տեսակի կիթառ է նվագում Ջոն Մայերը:")</f>
        <v>ինչ տեսակի կիթառ է նվագում Ջոն Մայերը:</v>
      </c>
      <c r="D840" s="3" t="str">
        <f>IFERROR(__xludf.DUMMYFUNCTION("GOOGLETRANSLATE(B840,""en"",""hy"")"),"Ջոն Մայերը հիմնականում նվագում է Fender Stratocaster կիթառներով։")</f>
        <v>Ջոն Մայերը հիմնականում նվագում է Fender Stratocaster կիթառներով։</v>
      </c>
    </row>
    <row r="841">
      <c r="A841" s="1" t="s">
        <v>1680</v>
      </c>
      <c r="B841" s="2" t="s">
        <v>1681</v>
      </c>
      <c r="C841" s="3" t="str">
        <f>IFERROR(__xludf.DUMMYFUNCTION("GOOGLETRANSLATE(A841,""en"",""hy"")"),"Ե՞րբ են Տորոնտո Բլյու Ջեյսը թիմ դարձել:")</f>
        <v>Ե՞րբ են Տորոնտո Բլյու Ջեյսը թիմ դարձել:</v>
      </c>
      <c r="D841" s="3" t="str">
        <f>IFERROR(__xludf.DUMMYFUNCTION("GOOGLETRANSLATE(B841,""en"",""hy"")"),"Toronto Blue Jays-ը թիմ է դարձել 1977 թվականին։")</f>
        <v>Toronto Blue Jays-ը թիմ է դարձել 1977 թվականին։</v>
      </c>
    </row>
    <row r="842">
      <c r="A842" s="1" t="s">
        <v>1682</v>
      </c>
      <c r="B842" s="2" t="s">
        <v>1683</v>
      </c>
      <c r="C842" s="3" t="str">
        <f>IFERROR(__xludf.DUMMYFUNCTION("GOOGLETRANSLATE(A842,""en"",""hy"")"),"ո՞րն է Moorpark ca-ի փոստային կոդը:")</f>
        <v>ո՞րն է Moorpark ca-ի փոստային կոդը:</v>
      </c>
      <c r="D842" s="3" t="str">
        <f>IFERROR(__xludf.DUMMYFUNCTION("GOOGLETRANSLATE(B842,""en"",""hy"")"),"Moorpark, CA-ի փոստային կոդը 93021։")</f>
        <v>Moorpark, CA-ի փոստային կոդը 93021։</v>
      </c>
    </row>
    <row r="843">
      <c r="A843" s="1" t="s">
        <v>1684</v>
      </c>
      <c r="B843" s="2" t="s">
        <v>1685</v>
      </c>
      <c r="C843" s="3" t="str">
        <f>IFERROR(__xludf.DUMMYFUNCTION("GOOGLETRANSLATE(A843,""en"",""hy"")"),"ո՞ր մայրցամաքում է գտնվում ԱՄՆ-ը:")</f>
        <v>ո՞ր մայրցամաքում է գտնվում ԱՄՆ-ը:</v>
      </c>
      <c r="D843" s="3" t="str">
        <f>IFERROR(__xludf.DUMMYFUNCTION("GOOGLETRANSLATE(B843,""en"",""hy"")"),"Հյուսիսային Ամերիկա")</f>
        <v>Հյուսիսային Ամերիկա</v>
      </c>
    </row>
    <row r="844">
      <c r="A844" s="1" t="s">
        <v>1686</v>
      </c>
      <c r="B844" s="2" t="s">
        <v>1687</v>
      </c>
      <c r="C844" s="3" t="str">
        <f>IFERROR(__xludf.DUMMYFUNCTION("GOOGLETRANSLATE(A844,""en"",""hy"")"),"ինչ է կոչվում Իսպանիայի արժույթը:")</f>
        <v>ինչ է կոչվում Իսպանիայի արժույթը:</v>
      </c>
      <c r="D844" s="3" t="str">
        <f>IFERROR(__xludf.DUMMYFUNCTION("GOOGLETRANSLATE(B844,""en"",""hy"")"),"Իսպանիայի արժույթը կոչվում է եվրո։")</f>
        <v>Իսպանիայի արժույթը կոչվում է եվրո։</v>
      </c>
    </row>
    <row r="845">
      <c r="A845" s="1" t="s">
        <v>1688</v>
      </c>
      <c r="B845" s="2" t="s">
        <v>1689</v>
      </c>
      <c r="C845" s="3" t="str">
        <f>IFERROR(__xludf.DUMMYFUNCTION("GOOGLETRANSLATE(A845,""en"",""hy"")"),"ո՞ր երկիրն է գտնվում Ամերիկայի Միացյալ Նահանգներից հյուսիս:")</f>
        <v>ո՞ր երկիրն է գտնվում Ամերիկայի Միացյալ Նահանգներից հյուսիս:</v>
      </c>
      <c r="D845" s="3" t="str">
        <f>IFERROR(__xludf.DUMMYFUNCTION("GOOGLETRANSLATE(B845,""en"",""hy"")"),"Կանադան գտնվում է Ամերիկայի Միացյալ Նահանգների հյուսիսում։")</f>
        <v>Կանադան գտնվում է Ամերիկայի Միացյալ Նահանգների հյուսիսում։</v>
      </c>
    </row>
    <row r="846">
      <c r="A846" s="1" t="s">
        <v>1690</v>
      </c>
      <c r="B846" s="2" t="s">
        <v>1691</v>
      </c>
      <c r="C846" s="3" t="str">
        <f>IFERROR(__xludf.DUMMYFUNCTION("GOOGLETRANSLATE(A846,""en"",""hy"")"),"Ո՞ր 3 պետությունները սահմանակից են Խաղաղ օվկիանոսին:")</f>
        <v>Ո՞ր 3 պետությունները սահմանակից են Խաղաղ օվկիանոսին:</v>
      </c>
      <c r="D846" s="3" t="str">
        <f>IFERROR(__xludf.DUMMYFUNCTION("GOOGLETRANSLATE(B846,""en"",""hy"")"),"Կալիֆորնիա, Օրեգոն և Վաշինգտոն:")</f>
        <v>Կալիֆորնիա, Օրեգոն և Վաշինգտոն:</v>
      </c>
    </row>
    <row r="847">
      <c r="A847" s="1" t="s">
        <v>1692</v>
      </c>
      <c r="B847" s="2" t="s">
        <v>1693</v>
      </c>
      <c r="C847" s="3" t="str">
        <f>IFERROR(__xludf.DUMMYFUNCTION("GOOGLETRANSLATE(A847,""en"",""hy"")"),"ի՞նչ արեց Մոցարտը հայտնի դառնալու համար.")</f>
        <v>ի՞նչ արեց Մոցարտը հայտնի դառնալու համար.</v>
      </c>
      <c r="D847" s="3" t="str">
        <f>IFERROR(__xludf.DUMMYFUNCTION("GOOGLETRANSLATE(B847,""en"",""hy"")"),"Մոցարտը հայտնի դարձավ՝ ստեղծելով և կատարելով բացառիկ դասական երաժշտություն։")</f>
        <v>Մոցարտը հայտնի դարձավ՝ ստեղծելով և կատարելով բացառիկ դասական երաժշտություն։</v>
      </c>
    </row>
    <row r="848">
      <c r="A848" s="1" t="s">
        <v>1694</v>
      </c>
      <c r="B848" s="2" t="s">
        <v>1695</v>
      </c>
      <c r="C848" s="3" t="str">
        <f>IFERROR(__xludf.DUMMYFUNCTION("GOOGLETRANSLATE(A848,""en"",""hy"")"),"որտեղ է ծնվել Ավրիլ Լավինը:")</f>
        <v>որտեղ է ծնվել Ավրիլ Լավինը:</v>
      </c>
      <c r="D848" s="3" t="str">
        <f>IFERROR(__xludf.DUMMYFUNCTION("GOOGLETRANSLATE(B848,""en"",""hy"")"),"Ավրիլ Լավինը ծնվել է Կանադայի Օնտարիո նահանգի Բելվիլ քաղաքում:")</f>
        <v>Ավրիլ Լավինը ծնվել է Կանադայի Օնտարիո նահանգի Բելվիլ քաղաքում:</v>
      </c>
    </row>
    <row r="849">
      <c r="A849" s="1" t="s">
        <v>1696</v>
      </c>
      <c r="B849" s="2" t="s">
        <v>1697</v>
      </c>
      <c r="C849" s="3" t="str">
        <f>IFERROR(__xludf.DUMMYFUNCTION("GOOGLETRANSLATE(A849,""en"",""hy"")"),"Որո՞նք են Իսպանիայի 3 պաշտոնական լեզուները:")</f>
        <v>Որո՞նք են Իսպանիայի 3 պաշտոնական լեզուները:</v>
      </c>
      <c r="D849" s="3" t="str">
        <f>IFERROR(__xludf.DUMMYFUNCTION("GOOGLETRANSLATE(B849,""en"",""hy"")"),"Իսպանիայի երեք պաշտոնական լեզուներն են իսպաներենը, կատալոներենը և բասկերենը։")</f>
        <v>Իսպանիայի երեք պաշտոնական լեզուներն են իսպաներենը, կատալոներենը և բասկերենը։</v>
      </c>
    </row>
    <row r="850">
      <c r="A850" s="1" t="s">
        <v>1698</v>
      </c>
      <c r="B850" s="2" t="s">
        <v>1699</v>
      </c>
      <c r="C850" s="3" t="str">
        <f>IFERROR(__xludf.DUMMYFUNCTION("GOOGLETRANSLATE(A850,""en"",""hy"")"),"ինչպիսի՞ կառավարություն ունի ներկայումս Ավստրալիան:")</f>
        <v>ինչպիսի՞ կառավարություն ունի ներկայումս Ավստրալիան:</v>
      </c>
      <c r="D850" s="3" t="str">
        <f>IFERROR(__xludf.DUMMYFUNCTION("GOOGLETRANSLATE(B850,""en"",""hy"")"),"Ավստրալիան ներկայումս ունի խորհրդարանական ժողովրդավարություն՝ սահմանադրական միապետությամբ։")</f>
        <v>Ավստրալիան ներկայումս ունի խորհրդարանական ժողովրդավարություն՝ սահմանադրական միապետությամբ։</v>
      </c>
    </row>
    <row r="851">
      <c r="A851" s="1" t="s">
        <v>1700</v>
      </c>
      <c r="B851" s="2" t="s">
        <v>1701</v>
      </c>
      <c r="C851" s="3" t="str">
        <f>IFERROR(__xludf.DUMMYFUNCTION("GOOGLETRANSLATE(A851,""en"",""hy"")"),"Ո՞ր երկրներն են սահմանակից Գերմանիան")</f>
        <v>Ո՞ր երկրներն են սահմանակից Գերմանիան</v>
      </c>
      <c r="D851" s="3" t="str">
        <f>IFERROR(__xludf.DUMMYFUNCTION("GOOGLETRANSLATE(B851,""en"",""hy"")"),"Գերմանիան սահմանակից է ինը երկրների՝ հյուսիսում Դանիային, արևելքում Լեհաստանին և Չեխիային, հարավում՝ Ավստրիային և Շվեյցարիային, արևմուտքում՝ Ֆրանսիային և Լյուքսեմբուրգին, իսկ հյուսիս-արևմուտքում՝ Բելգիային և Նիդեռլանդներին:")</f>
        <v>Գերմանիան սահմանակից է ինը երկրների՝ հյուսիսում Դանիային, արևելքում Լեհաստանին և Չեխիային, հարավում՝ Ավստրիային և Շվեյցարիային, արևմուտքում՝ Ֆրանսիային և Լյուքսեմբուրգին, իսկ հյուսիս-արևմուտքում՝ Բելգիային և Նիդեռլանդներին:</v>
      </c>
    </row>
    <row r="852">
      <c r="A852" s="1" t="s">
        <v>1702</v>
      </c>
      <c r="B852" s="2" t="s">
        <v>1703</v>
      </c>
      <c r="C852" s="3" t="str">
        <f>IFERROR(__xludf.DUMMYFUNCTION("GOOGLETRANSLATE(A852,""en"",""hy"")"),"ո՞ր շրջանում է գտնվում Թամպան:")</f>
        <v>ո՞ր շրջանում է գտնվում Թամպան:</v>
      </c>
      <c r="D852" s="3" t="str">
        <f>IFERROR(__xludf.DUMMYFUNCTION("GOOGLETRANSLATE(B852,""en"",""hy"")"),"Հիլսբորո շրջան.")</f>
        <v>Հիլսբորո շրջան.</v>
      </c>
    </row>
    <row r="853">
      <c r="A853" s="1" t="s">
        <v>1704</v>
      </c>
      <c r="B853" s="2" t="s">
        <v>1705</v>
      </c>
      <c r="C853" s="3" t="str">
        <f>IFERROR(__xludf.DUMMYFUNCTION("GOOGLETRANSLATE(A853,""en"",""hy"")"),"ով է մարզել Մինեսոտա վիկինգներին:")</f>
        <v>ով է մարզել Մինեսոտա վիկինգներին:</v>
      </c>
      <c r="D853" s="3" t="str">
        <f>IFERROR(__xludf.DUMMYFUNCTION("GOOGLETRANSLATE(B853,""en"",""hy"")"),"Մի քանի մարզիչներ թիմի պատմության ընթացքում մարզել են Մինեսոտա Վիկինգսին: Որոշ նշանավոր մարզիչներից են Բադ Գրանտը, Դենիս Գրինը, Մայք Զիմմերը և Լեսլի Ֆրեյզերը:")</f>
        <v>Մի քանի մարզիչներ թիմի պատմության ընթացքում մարզել են Մինեսոտա Վիկինգսին: Որոշ նշանավոր մարզիչներից են Բադ Գրանտը, Դենիս Գրինը, Մայք Զիմմերը և Լեսլի Ֆրեյզերը:</v>
      </c>
    </row>
    <row r="854">
      <c r="A854" s="1" t="s">
        <v>1706</v>
      </c>
      <c r="B854" s="2" t="s">
        <v>1707</v>
      </c>
      <c r="C854" s="3" t="str">
        <f>IFERROR(__xludf.DUMMYFUNCTION("GOOGLETRANSLATE(A854,""en"",""hy"")"),"Ո՞ր ֆիլմերում է խաղացել թագուհի Լատիֆան")</f>
        <v>Ո՞ր ֆիլմերում է խաղացել թագուհի Լատիֆան</v>
      </c>
      <c r="D854" s="3" t="str">
        <f>IFERROR(__xludf.DUMMYFUNCTION("GOOGLETRANSLATE(B854,""en"",""hy"")"),"Որոշ ֆիլմեր, որոնցում խաղացել է Queen Latifah-ն, ներառում են «Chicago», «Bringing Down the House» և «Girls Trip»:")</f>
        <v>Որոշ ֆիլմեր, որոնցում խաղացել է Queen Latifah-ն, ներառում են «Chicago», «Bringing Down the House» և «Girls Trip»:</v>
      </c>
    </row>
    <row r="855">
      <c r="A855" s="1" t="s">
        <v>1708</v>
      </c>
      <c r="B855" s="2" t="s">
        <v>1709</v>
      </c>
      <c r="C855" s="3" t="str">
        <f>IFERROR(__xludf.DUMMYFUNCTION("GOOGLETRANSLATE(A855,""en"",""hy"")"),"ո՞րն է Ստեֆանիի կարճ անունը:")</f>
        <v>ո՞րն է Ստեֆանիի կարճ անունը:</v>
      </c>
      <c r="D855" s="3" t="str">
        <f>IFERROR(__xludf.DUMMYFUNCTION("GOOGLETRANSLATE(B855,""en"",""hy"")"),"Ստեֆանիի կարճ անունն է Ստեֆ։")</f>
        <v>Ստեֆանիի կարճ անունն է Ստեֆ։</v>
      </c>
    </row>
    <row r="856">
      <c r="A856" s="1" t="s">
        <v>1710</v>
      </c>
      <c r="B856" s="2" t="s">
        <v>1711</v>
      </c>
      <c r="C856" s="3" t="str">
        <f>IFERROR(__xludf.DUMMYFUNCTION("GOOGLETRANSLATE(A856,""en"",""hy"")"),"որտե՞ղ են նրանք այժմ Ջեսիկա Մակկլուրը:")</f>
        <v>որտե՞ղ են նրանք այժմ Ջեսիկա Մակկլուրը:</v>
      </c>
      <c r="D856" s="3" t="str">
        <f>IFERROR(__xludf.DUMMYFUNCTION("GOOGLETRANSLATE(B856,""en"",""hy"")"),"Ջեսիկա ՄաքՔլյուրի ներկայիս գտնվելու վայրի վերաբերյալ սահմանափակ տեղեկություններ կան:")</f>
        <v>Ջեսիկա ՄաքՔլյուրի ներկայիս գտնվելու վայրի վերաբերյալ սահմանափակ տեղեկություններ կան:</v>
      </c>
    </row>
    <row r="857">
      <c r="A857" s="1" t="s">
        <v>1712</v>
      </c>
      <c r="B857" s="2" t="s">
        <v>1713</v>
      </c>
      <c r="C857" s="3" t="str">
        <f>IFERROR(__xludf.DUMMYFUNCTION("GOOGLETRANSLATE(A857,""en"",""hy"")"),"Ո՞ր տարին է Թիմ Դունկանը մտել nba:")</f>
        <v>Ո՞ր տարին է Թիմ Դունկանը մտել nba:</v>
      </c>
      <c r="D857" s="3" t="str">
        <f>IFERROR(__xludf.DUMMYFUNCTION("GOOGLETRANSLATE(B857,""en"",""hy"")"),"Թիմ Դանքանը NBA է մուտք գործել 1997 թվականին։")</f>
        <v>Թիմ Դանքանը NBA է մուտք գործել 1997 թվականին։</v>
      </c>
    </row>
    <row r="858">
      <c r="A858" s="1" t="s">
        <v>1714</v>
      </c>
      <c r="B858" s="2" t="s">
        <v>1715</v>
      </c>
      <c r="C858" s="3" t="str">
        <f>IFERROR(__xludf.DUMMYFUNCTION("GOOGLETRANSLATE(A858,""en"",""hy"")"),"ով է ալֆ խաղացել հեռուստաշոուում:")</f>
        <v>ով է ալֆ խաղացել հեռուստաշոուում:</v>
      </c>
      <c r="D858" s="3" t="str">
        <f>IFERROR(__xludf.DUMMYFUNCTION("GOOGLETRANSLATE(B858,""en"",""hy"")"),"Պոլ Ֆուսկո.")</f>
        <v>Պոլ Ֆուսկո.</v>
      </c>
    </row>
    <row r="859">
      <c r="A859" s="1" t="s">
        <v>1716</v>
      </c>
      <c r="B859" s="2" t="s">
        <v>1717</v>
      </c>
      <c r="C859" s="3" t="str">
        <f>IFERROR(__xludf.DUMMYFUNCTION("GOOGLETRANSLATE(A859,""en"",""hy"")"),"ով էր փոխնախագահը, երբ Բիլ Քլինթոնը պաշտոնավարում էր:")</f>
        <v>ով էր փոխնախագահը, երբ Բիլ Քլինթոնը պաշտոնավարում էր:</v>
      </c>
      <c r="D859" s="3" t="str">
        <f>IFERROR(__xludf.DUMMYFUNCTION("GOOGLETRANSLATE(B859,""en"",""hy"")"),"Ալ Գոր.")</f>
        <v>Ալ Գոր.</v>
      </c>
    </row>
    <row r="860">
      <c r="A860" s="1" t="s">
        <v>1718</v>
      </c>
      <c r="B860" s="2" t="s">
        <v>1719</v>
      </c>
      <c r="C860" s="3" t="str">
        <f>IFERROR(__xludf.DUMMYFUNCTION("GOOGLETRANSLATE(A860,""en"",""hy"")"),"Ո՞ր երկրներ է արտահանում Հարավային Աֆրիկան:")</f>
        <v>Ո՞ր երկրներ է արտահանում Հարավային Աֆրիկան:</v>
      </c>
      <c r="D860" s="3" t="str">
        <f>IFERROR(__xludf.DUMMYFUNCTION("GOOGLETRANSLATE(B860,""en"",""hy"")"),"Հարավային Աֆրիկան ​​արտահանում է տարբեր երկրներ, այդ թվում՝ Չինաստան, ԱՄՆ, Գերմանիա, Հնդկաստան և Ճապոնիա, ի թիվս այլոց:")</f>
        <v>Հարավային Աֆրիկան ​​արտահանում է տարբեր երկրներ, այդ թվում՝ Չինաստան, ԱՄՆ, Գերմանիա, Հնդկաստան և Ճապոնիա, ի թիվս այլոց:</v>
      </c>
    </row>
    <row r="861">
      <c r="A861" s="1" t="s">
        <v>1720</v>
      </c>
      <c r="B861" s="2" t="s">
        <v>1721</v>
      </c>
      <c r="C861" s="3" t="str">
        <f>IFERROR(__xludf.DUMMYFUNCTION("GOOGLETRANSLATE(A861,""en"",""hy"")"),"ինչ անել Վակեշայի կենտրոնում:")</f>
        <v>ինչ անել Վակեշայի կենտրոնում:</v>
      </c>
      <c r="D861" s="3" t="str">
        <f>IFERROR(__xludf.DUMMYFUNCTION("GOOGLETRANSLATE(B861,""en"",""hy"")"),"Այցելեք տեղական խանութներ, ռեստորաններ և թանգարաններ:")</f>
        <v>Այցելեք տեղական խանութներ, ռեստորաններ և թանգարաններ:</v>
      </c>
    </row>
    <row r="862">
      <c r="A862" s="1" t="s">
        <v>1722</v>
      </c>
      <c r="B862" s="2" t="s">
        <v>1723</v>
      </c>
      <c r="C862" s="3" t="str">
        <f>IFERROR(__xludf.DUMMYFUNCTION("GOOGLETRANSLATE(A862,""en"",""hy"")"),"ինչ այլ մեքենաներ է արտադրում gm-ը:")</f>
        <v>ինչ այլ մեքենաներ է արտադրում gm-ը:</v>
      </c>
      <c r="D862" s="3" t="str">
        <f>IFERROR(__xludf.DUMMYFUNCTION("GOOGLETRANSLATE(B862,""en"",""hy"")"),"GM-ն արտադրում է ավտոմեքենաների տարբեր ապրանքանիշեր, այդ թվում՝ Chevrolet, GMC, Buick և Cadillac:")</f>
        <v>GM-ն արտադրում է ավտոմեքենաների տարբեր ապրանքանիշեր, այդ թվում՝ Chevrolet, GMC, Buick և Cadillac:</v>
      </c>
    </row>
    <row r="863">
      <c r="A863" s="1" t="s">
        <v>1724</v>
      </c>
      <c r="B863" s="2" t="s">
        <v>1725</v>
      </c>
      <c r="C863" s="3" t="str">
        <f>IFERROR(__xludf.DUMMYFUNCTION("GOOGLETRANSLATE(A863,""en"",""hy"")"),"ո՞ւմ հետ է նշանվել Ջորջ Լուկասը.")</f>
        <v>ո՞ւմ հետ է նշանվել Ջորջ Լուկասը.</v>
      </c>
      <c r="D863" s="3" t="str">
        <f>IFERROR(__xludf.DUMMYFUNCTION("GOOGLETRANSLATE(B863,""en"",""hy"")"),"Ջորջ Լուկասը նշանվել է Մելոդի Հոբսոնի հետ.")</f>
        <v>Ջորջ Լուկասը նշանվել է Մելոդի Հոբսոնի հետ.</v>
      </c>
    </row>
    <row r="864">
      <c r="A864" s="1" t="s">
        <v>1726</v>
      </c>
      <c r="B864" s="2" t="s">
        <v>1727</v>
      </c>
      <c r="C864" s="3" t="str">
        <f>IFERROR(__xludf.DUMMYFUNCTION("GOOGLETRANSLATE(A864,""en"",""hy"")"),"ինչ ֆիլմերում է խաղում Լեո Հովարդը")</f>
        <v>ինչ ֆիլմերում է խաղում Լեո Հովարդը</v>
      </c>
      <c r="D864" s="3" t="str">
        <f>IFERROR(__xludf.DUMMYFUNCTION("GOOGLETRANSLATE(B864,""en"",""hy"")"),"Լեո Հովարդը նկարահանվել է այնպիսի ֆիլմերում, ինչպիսիք են «G.I. Joe. The Rise of Cobra» և «Conan the Barbarian» ֆիլմերը։")</f>
        <v>Լեո Հովարդը նկարահանվել է այնպիսի ֆիլմերում, ինչպիսիք են «G.I. Joe. The Rise of Cobra» և «Conan the Barbarian» ֆիլմերը։</v>
      </c>
    </row>
    <row r="865">
      <c r="A865" s="1" t="s">
        <v>1728</v>
      </c>
      <c r="B865" s="2" t="s">
        <v>1729</v>
      </c>
      <c r="C865" s="3" t="str">
        <f>IFERROR(__xludf.DUMMYFUNCTION("GOOGLETRANSLATE(A865,""en"",""hy"")"),"ի՞նչ գործիքներ է օգտագործում Ջոն Ուիլյամսը:")</f>
        <v>ի՞նչ գործիքներ է օգտագործում Ջոն Ուիլյամսը:</v>
      </c>
      <c r="D865" s="3" t="str">
        <f>IFERROR(__xludf.DUMMYFUNCTION("GOOGLETRANSLATE(B865,""en"",""hy"")"),"Ջոն Ուիլյամսն իր երաժշտության մեջ օգտագործում է տարբեր գործիքներ, ներառյալ նվագախմբի գործիքները, ինչպիսիք են լարային, փողային, փայտային փողային և հարվածային գործիքները, ինչպես նաև ստեղնաշարեր և սինթեզատորներ։")</f>
        <v>Ջոն Ուիլյամսն իր երաժշտության մեջ օգտագործում է տարբեր գործիքներ, ներառյալ նվագախմբի գործիքները, ինչպիսիք են լարային, փողային, փայտային փողային և հարվածային գործիքները, ինչպես նաև ստեղնաշարեր և սինթեզատորներ։</v>
      </c>
    </row>
    <row r="866">
      <c r="A866" s="1" t="s">
        <v>1730</v>
      </c>
      <c r="B866" s="2" t="s">
        <v>1731</v>
      </c>
      <c r="C866" s="3" t="str">
        <f>IFERROR(__xludf.DUMMYFUNCTION("GOOGLETRANSLATE(A866,""en"",""hy"")"),"ում հետ է խաղում Մեսսին")</f>
        <v>ում հետ է խաղում Մեսսին</v>
      </c>
      <c r="D866" s="3" t="str">
        <f>IFERROR(__xludf.DUMMYFUNCTION("GOOGLETRANSLATE(B866,""en"",""hy"")"),"Մեսսին ներկայումս հանդես է գալիս ՊՍԺ-ում (Պարի Սեն Ժերմեն):")</f>
        <v>Մեսսին ներկայումս հանդես է գալիս ՊՍԺ-ում (Պարի Սեն Ժերմեն):</v>
      </c>
    </row>
    <row r="867">
      <c r="A867" s="1" t="s">
        <v>1732</v>
      </c>
      <c r="B867" s="2" t="s">
        <v>1733</v>
      </c>
      <c r="C867" s="3" t="str">
        <f>IFERROR(__xludf.DUMMYFUNCTION("GOOGLETRANSLATE(A867,""en"",""hy"")"),"ինչ լեզուն է խոսում Բրազիլիայում")</f>
        <v>ինչ լեզուն է խոսում Բրազիլիայում</v>
      </c>
      <c r="D867" s="3" t="str">
        <f>IFERROR(__xludf.DUMMYFUNCTION("GOOGLETRANSLATE(B867,""en"",""hy"")"),"Բրազիլիայում խոսվող լեզուն պորտուգալերենն է։")</f>
        <v>Բրազիլիայում խոսվող լեզուն պորտուգալերենն է։</v>
      </c>
    </row>
    <row r="868">
      <c r="A868" s="1" t="s">
        <v>1734</v>
      </c>
      <c r="B868" s="2" t="s">
        <v>1735</v>
      </c>
      <c r="C868" s="3" t="str">
        <f>IFERROR(__xludf.DUMMYFUNCTION("GOOGLETRANSLATE(A868,""en"",""hy"")"),"ով էր Ջոնի Քեշի առաջին կինը:")</f>
        <v>ով էր Ջոնի Քեշի առաջին կինը:</v>
      </c>
      <c r="D868" s="3" t="str">
        <f>IFERROR(__xludf.DUMMYFUNCTION("GOOGLETRANSLATE(B868,""en"",""hy"")"),"Ջոնի Քեշի առաջին կինը Վիվիան Լիբերտոն էր։")</f>
        <v>Ջոնի Քեշի առաջին կինը Վիվիան Լիբերտոն էր։</v>
      </c>
    </row>
    <row r="869">
      <c r="A869" s="1" t="s">
        <v>1736</v>
      </c>
      <c r="B869" s="2" t="s">
        <v>1737</v>
      </c>
      <c r="C869" s="3" t="str">
        <f>IFERROR(__xludf.DUMMYFUNCTION("GOOGLETRANSLATE(A869,""en"",""hy"")"),"որտեղ են ապրում թասմանյան սատանաները:")</f>
        <v>որտեղ են ապրում թասմանյան սատանաները:</v>
      </c>
      <c r="D869" s="3" t="str">
        <f>IFERROR(__xludf.DUMMYFUNCTION("GOOGLETRANSLATE(B869,""en"",""hy"")"),"Թասմանյան սատանաներն ապրում են վայրի բնության մեջ՝ Ավստրալիայի կղզի-պետություն Թասմանիայում:")</f>
        <v>Թասմանյան սատանաներն ապրում են վայրի բնության մեջ՝ Ավստրալիայի կղզի-պետություն Թասմանիայում:</v>
      </c>
    </row>
    <row r="870">
      <c r="A870" s="1" t="s">
        <v>1738</v>
      </c>
      <c r="B870" s="2" t="s">
        <v>1739</v>
      </c>
      <c r="C870" s="3" t="str">
        <f>IFERROR(__xludf.DUMMYFUNCTION("GOOGLETRANSLATE(A870,""en"",""hy"")"),"ինչ քաղաք Մոնտանայում:")</f>
        <v>ինչ քաղաք Մոնտանայում:</v>
      </c>
      <c r="D870" s="3" t="str">
        <f>IFERROR(__xludf.DUMMYFUNCTION("GOOGLETRANSLATE(B870,""en"",""hy"")"),"Բիլինգսը քաղաք է Մոնտանայում։")</f>
        <v>Բիլինգսը քաղաք է Մոնտանայում։</v>
      </c>
    </row>
    <row r="871">
      <c r="A871" s="1" t="s">
        <v>1740</v>
      </c>
      <c r="B871" s="2" t="s">
        <v>1741</v>
      </c>
      <c r="C871" s="3" t="str">
        <f>IFERROR(__xludf.DUMMYFUNCTION("GOOGLETRANSLATE(A871,""en"",""hy"")"),"Ո՞ր ժամային գոտին է Տորոնտո Կանադան:")</f>
        <v>Ո՞ր ժամային գոտին է Տորոնտո Կանադան:</v>
      </c>
      <c r="D871" s="3" t="str">
        <f>IFERROR(__xludf.DUMMYFUNCTION("GOOGLETRANSLATE(B871,""en"",""hy"")"),"Տորոնտո, Կանադա գտնվում է Արևելյան ստանդարտ ժամանակի (EST) ժամային գոտում:")</f>
        <v>Տորոնտո, Կանադա գտնվում է Արևելյան ստանդարտ ժամանակի (EST) ժամային գոտում:</v>
      </c>
    </row>
    <row r="872">
      <c r="A872" s="1" t="s">
        <v>1742</v>
      </c>
      <c r="B872" s="2" t="s">
        <v>1743</v>
      </c>
      <c r="C872" s="3" t="str">
        <f>IFERROR(__xludf.DUMMYFUNCTION("GOOGLETRANSLATE(A872,""en"",""hy"")"),"ինչ էր milwaukee brewers-ի հին անունը:")</f>
        <v>ինչ էր milwaukee brewers-ի հին անունը:</v>
      </c>
      <c r="D872" s="3" t="str">
        <f>IFERROR(__xludf.DUMMYFUNCTION("GOOGLETRANSLATE(B872,""en"",""hy"")"),"Milwaukee Brewers-ի հին անունն էր Seattle Pilots:")</f>
        <v>Milwaukee Brewers-ի հին անունն էր Seattle Pilots:</v>
      </c>
    </row>
    <row r="873">
      <c r="A873" s="1" t="s">
        <v>1744</v>
      </c>
      <c r="B873" s="2" t="s">
        <v>1745</v>
      </c>
      <c r="C873" s="3" t="str">
        <f>IFERROR(__xludf.DUMMYFUNCTION("GOOGLETRANSLATE(A873,""en"",""hy"")"),"ինչպիսի՞ քաղաքական համակարգ ունի Ռուսաստանը.")</f>
        <v>ինչպիսի՞ քաղաքական համակարգ ունի Ռուսաստանը.</v>
      </c>
      <c r="D873" s="3" t="str">
        <f>IFERROR(__xludf.DUMMYFUNCTION("GOOGLETRANSLATE(B873,""en"",""hy"")"),"Ռուսաստանում գործում է կիսանախագահական հանրապետական ​​համակարգ։")</f>
        <v>Ռուսաստանում գործում է կիսանախագահական հանրապետական ​​համակարգ։</v>
      </c>
    </row>
    <row r="874">
      <c r="A874" s="1" t="s">
        <v>1746</v>
      </c>
      <c r="B874" s="2" t="s">
        <v>1747</v>
      </c>
      <c r="C874" s="3" t="str">
        <f>IFERROR(__xludf.DUMMYFUNCTION("GOOGLETRANSLATE(A874,""en"",""hy"")"),"ինչ է քաղաքական համակարգը Եգիպտոսում.")</f>
        <v>ինչ է քաղաքական համակարգը Եգիպտոսում.</v>
      </c>
      <c r="D874" s="3" t="str">
        <f>IFERROR(__xludf.DUMMYFUNCTION("GOOGLETRANSLATE(B874,""en"",""hy"")"),"Եգիպտոսի քաղաքական համակարգը նախագահական հանրապետություն է։")</f>
        <v>Եգիպտոսի քաղաքական համակարգը նախագահական հանրապետություն է։</v>
      </c>
    </row>
    <row r="875">
      <c r="A875" s="1" t="s">
        <v>1748</v>
      </c>
      <c r="B875" s="2" t="s">
        <v>1749</v>
      </c>
      <c r="C875" s="3" t="str">
        <f>IFERROR(__xludf.DUMMYFUNCTION("GOOGLETRANSLATE(A875,""en"",""hy"")"),"Ո՞ր օդանավակայանն է գտնվում Կաուայ Հավայան կղզիներում:")</f>
        <v>Ո՞ր օդանավակայանն է գտնվում Կաուայ Հավայան կղզիներում:</v>
      </c>
      <c r="D875" s="3" t="str">
        <f>IFERROR(__xludf.DUMMYFUNCTION("GOOGLETRANSLATE(B875,""en"",""hy"")"),"Հավայան կղզիների Կաուայի օդանավակայանը կոչվում է Լիհուե օդանավակայան։")</f>
        <v>Հավայան կղզիների Կաուայի օդանավակայանը կոչվում է Լիհուե օդանավակայան։</v>
      </c>
    </row>
    <row r="876">
      <c r="A876" s="1" t="s">
        <v>1750</v>
      </c>
      <c r="B876" s="2" t="s">
        <v>1751</v>
      </c>
      <c r="C876" s="3" t="str">
        <f>IFERROR(__xludf.DUMMYFUNCTION("GOOGLETRANSLATE(A876,""en"",""hy"")"),"ինչ է Կին Դյուրանտի խաղաոճը:")</f>
        <v>ինչ է Կին Դյուրանտի խաղաոճը:</v>
      </c>
      <c r="D876" s="3" t="str">
        <f>IFERROR(__xludf.DUMMYFUNCTION("GOOGLETRANSLATE(B876,""en"",""hy"")"),"Քևին Դյուրանտի խաղաոճը բնութագրվում է նրա բազմակողմանիությամբ, գոլ խփելու կարողությամբ և կրակելու հմտություններով։")</f>
        <v>Քևին Դյուրանտի խաղաոճը բնութագրվում է նրա բազմակողմանիությամբ, գոլ խփելու կարողությամբ և կրակելու հմտություններով։</v>
      </c>
    </row>
    <row r="877">
      <c r="A877" s="1" t="s">
        <v>1752</v>
      </c>
      <c r="B877" s="2" t="s">
        <v>1753</v>
      </c>
      <c r="C877" s="3" t="str">
        <f>IFERROR(__xludf.DUMMYFUNCTION("GOOGLETRANSLATE(A877,""en"",""hy"")"),"որտեղ են պատրաստվում vw cc?")</f>
        <v>որտեղ են պատրաստվում vw cc?</v>
      </c>
      <c r="D877" s="3" t="str">
        <f>IFERROR(__xludf.DUMMYFUNCTION("GOOGLETRANSLATE(B877,""en"",""hy"")"),"VW CC-ն արտադրված է Գերմանիայում։")</f>
        <v>VW CC-ն արտադրված է Գերմանիայում։</v>
      </c>
    </row>
    <row r="878">
      <c r="A878" s="1" t="s">
        <v>1754</v>
      </c>
      <c r="B878" s="2" t="s">
        <v>1755</v>
      </c>
      <c r="C878" s="3" t="str">
        <f>IFERROR(__xludf.DUMMYFUNCTION("GOOGLETRANSLATE(A878,""en"",""hy"")"),"Ո՞ր թիմում է խաղում Քրիս Փոլը")</f>
        <v>Ո՞ր թիմում է խաղում Քրիս Փոլը</v>
      </c>
      <c r="D878" s="3" t="str">
        <f>IFERROR(__xludf.DUMMYFUNCTION("GOOGLETRANSLATE(B878,""en"",""hy"")"),"Քրիս Փոլը ներկայումս խաղում է Ֆենիքս Սանսում։")</f>
        <v>Քրիս Փոլը ներկայումս խաղում է Ֆենիքս Սանսում։</v>
      </c>
    </row>
    <row r="879">
      <c r="A879" s="1" t="s">
        <v>1756</v>
      </c>
      <c r="B879" s="2" t="s">
        <v>1757</v>
      </c>
      <c r="C879" s="3" t="str">
        <f>IFERROR(__xludf.DUMMYFUNCTION("GOOGLETRANSLATE(A879,""en"",""hy"")"),"ինչ արժույթով պետք է տանեմ Ջամայկա:")</f>
        <v>ինչ արժույթով պետք է տանեմ Ջամայկա:</v>
      </c>
      <c r="D879" s="3" t="str">
        <f>IFERROR(__xludf.DUMMYFUNCTION("GOOGLETRANSLATE(B879,""en"",""hy"")"),"Ջամայկայում օգտագործվող արժույթը Ջամայկայի դոլարն է։")</f>
        <v>Ջամայկայում օգտագործվող արժույթը Ջամայկայի դոլարն է։</v>
      </c>
    </row>
    <row r="880">
      <c r="A880" s="1" t="s">
        <v>1758</v>
      </c>
      <c r="B880" s="2" t="s">
        <v>1759</v>
      </c>
      <c r="C880" s="3" t="str">
        <f>IFERROR(__xludf.DUMMYFUNCTION("GOOGLETRANSLATE(A880,""en"",""hy"")"),"ինչ է Իլինոյս նահանգի թռչունը:")</f>
        <v>ինչ է Իլինոյս նահանգի թռչունը:</v>
      </c>
      <c r="D880" s="3" t="str">
        <f>IFERROR(__xludf.DUMMYFUNCTION("GOOGLETRANSLATE(B880,""en"",""hy"")"),"Իլինոյս նահանգի թռչունը հյուսիսային կարդինալն է:")</f>
        <v>Իլինոյս նահանգի թռչունը հյուսիսային կարդինալն է:</v>
      </c>
    </row>
    <row r="881">
      <c r="A881" s="1" t="s">
        <v>1760</v>
      </c>
      <c r="B881" s="2" t="s">
        <v>1761</v>
      </c>
      <c r="C881" s="3" t="str">
        <f>IFERROR(__xludf.DUMMYFUNCTION("GOOGLETRANSLATE(A881,""en"",""hy"")"),"ի՞նչ վայրեր կարող եք այցելել Ֆրանսիայում:")</f>
        <v>ի՞նչ վայրեր կարող եք այցելել Ֆրանսիայում:</v>
      </c>
      <c r="D881" s="3" t="str">
        <f>IFERROR(__xludf.DUMMYFUNCTION("GOOGLETRANSLATE(B881,""en"",""hy"")"),"Ֆրանսիայում այցելելու հայտնի վայրերից են Փարիզը, Ֆրանսիական Ռիվիերան (Լազուրե ափ), Բորդոն, Պրովանսը և Լուարի հովիտը:")</f>
        <v>Ֆրանսիայում այցելելու հայտնի վայրերից են Փարիզը, Ֆրանսիական Ռիվիերան (Լազուրե ափ), Բորդոն, Պրովանսը և Լուարի հովիտը:</v>
      </c>
    </row>
    <row r="882">
      <c r="A882" s="1" t="s">
        <v>1762</v>
      </c>
      <c r="B882" s="2" t="s">
        <v>1763</v>
      </c>
      <c r="C882" s="3" t="str">
        <f>IFERROR(__xludf.DUMMYFUNCTION("GOOGLETRANSLATE(A882,""en"",""hy"")"),"ի՞նչ էր անում Ռիչարդ Նիքսոնը մինչև նախագահ դառնալը:")</f>
        <v>ի՞նչ էր անում Ռիչարդ Նիքսոնը մինչև նախագահ դառնալը:</v>
      </c>
      <c r="D882" s="3" t="str">
        <f>IFERROR(__xludf.DUMMYFUNCTION("GOOGLETRANSLATE(B882,""en"",""hy"")"),"Ռիչարդ Նիքսոնը մինչ նախագահ դառնալը իրավաբան էր:")</f>
        <v>Ռիչարդ Նիքսոնը մինչ նախագահ դառնալը իրավաբան էր:</v>
      </c>
    </row>
    <row r="883">
      <c r="A883" s="1" t="s">
        <v>1764</v>
      </c>
      <c r="B883" s="2" t="s">
        <v>1765</v>
      </c>
      <c r="C883" s="3" t="str">
        <f>IFERROR(__xludf.DUMMYFUNCTION("GOOGLETRANSLATE(A883,""en"",""hy"")"),"Ո՞ր երեք մայրցամաքներն են հպվում Ատլանտյան օվկիանոսին:")</f>
        <v>Ո՞ր երեք մայրցամաքներն են հպվում Ատլանտյան օվկիանոսին:</v>
      </c>
      <c r="D883" s="3" t="str">
        <f>IFERROR(__xludf.DUMMYFUNCTION("GOOGLETRANSLATE(B883,""en"",""hy"")"),"Աֆրիկա, Եվրոպա և Հյուսիսային Ամերիկա:")</f>
        <v>Աֆրիկա, Եվրոպա և Հյուսիսային Ամերիկա:</v>
      </c>
    </row>
    <row r="884">
      <c r="A884" s="1" t="s">
        <v>1766</v>
      </c>
      <c r="B884" s="2" t="s">
        <v>1767</v>
      </c>
      <c r="C884" s="3" t="str">
        <f>IFERROR(__xludf.DUMMYFUNCTION("GOOGLETRANSLATE(A884,""en"",""hy"")"),"ինչ լեզվով եք խոսում Եգիպտոսում")</f>
        <v>ինչ լեզվով եք խոսում Եգիպտոսում</v>
      </c>
      <c r="D884" s="3" t="str">
        <f>IFERROR(__xludf.DUMMYFUNCTION("GOOGLETRANSLATE(B884,""en"",""hy"")"),"արաբերեն")</f>
        <v>արաբերեն</v>
      </c>
    </row>
    <row r="885">
      <c r="A885" s="1" t="s">
        <v>1768</v>
      </c>
      <c r="B885" s="2" t="s">
        <v>1769</v>
      </c>
      <c r="C885" s="3" t="str">
        <f>IFERROR(__xludf.DUMMYFUNCTION("GOOGLETRANSLATE(A885,""en"",""hy"")"),"ո՞ր թիմերում է խաղացել Լիոնել Մեսսին.")</f>
        <v>ո՞ր թիմերում է խաղացել Լիոնել Մեսսին.</v>
      </c>
      <c r="D885" s="3" t="str">
        <f>IFERROR(__xludf.DUMMYFUNCTION("GOOGLETRANSLATE(B885,""en"",""hy"")"),"Լիոնել Մեսսին խաղացել է «Բարսելոնայի» և «Պարի Սեն Ժերմենի» (ՊՍԺ) կազմում։")</f>
        <v>Լիոնել Մեսսին խաղացել է «Բարսելոնայի» և «Պարի Սեն Ժերմենի» (ՊՍԺ) կազմում։</v>
      </c>
    </row>
    <row r="886">
      <c r="A886" s="1" t="s">
        <v>1770</v>
      </c>
      <c r="B886" s="2" t="s">
        <v>1771</v>
      </c>
      <c r="C886" s="3" t="str">
        <f>IFERROR(__xludf.DUMMYFUNCTION("GOOGLETRANSLATE(A886,""en"",""hy"")"),"Հյուսիսային Ամերիկա մայրցամաքի ո՞ր երկրներն են:")</f>
        <v>Հյուսիսային Ամերիկա մայրցամաքի ո՞ր երկրներն են:</v>
      </c>
      <c r="D886" s="3" t="str">
        <f>IFERROR(__xludf.DUMMYFUNCTION("GOOGLETRANSLATE(B886,""en"",""hy"")"),"Հյուսիսային Ամերիկա մայրցամաքի երկրներն են Կանադան, ԱՄՆ-ը և Մեքսիկան։")</f>
        <v>Հյուսիսային Ամերիկա մայրցամաքի երկրներն են Կանադան, ԱՄՆ-ը և Մեքսիկան։</v>
      </c>
    </row>
    <row r="887">
      <c r="A887" s="1" t="s">
        <v>1772</v>
      </c>
      <c r="B887" s="2" t="s">
        <v>1773</v>
      </c>
      <c r="C887" s="3" t="str">
        <f>IFERROR(__xludf.DUMMYFUNCTION("GOOGLETRANSLATE(A887,""en"",""hy"")"),"Ո՞ր ժամային գոտին է Colorado Springs co-ը:")</f>
        <v>Ո՞ր ժամային գոտին է Colorado Springs co-ը:</v>
      </c>
      <c r="D887" s="3" t="str">
        <f>IFERROR(__xludf.DUMMYFUNCTION("GOOGLETRANSLATE(B887,""en"",""hy"")"),"Կոլորադո Սփրինգս, CO գտնվում է լեռնային ժամանակային գոտում (MT):")</f>
        <v>Կոլորադո Սփրինգս, CO գտնվում է լեռնային ժամանակային գոտում (MT):</v>
      </c>
    </row>
    <row r="888">
      <c r="A888" s="1" t="s">
        <v>1774</v>
      </c>
      <c r="B888" s="2" t="s">
        <v>1775</v>
      </c>
      <c r="C888" s="3" t="str">
        <f>IFERROR(__xludf.DUMMYFUNCTION("GOOGLETRANSLATE(A888,""en"",""hy"")"),"ինչ դպրոց է սովորել սերջիո Ռոմոն")</f>
        <v>ինչ դպրոց է սովորել սերջիո Ռոմոն</v>
      </c>
      <c r="D888" s="3" t="str">
        <f>IFERROR(__xludf.DUMMYFUNCTION("GOOGLETRANSLATE(B888,""en"",""hy"")"),"Սերխիո Ռոմոն գնաց Հյուսիսային Կարոլինայի համալսարան։")</f>
        <v>Սերխիո Ռոմոն գնաց Հյուսիսային Կարոլինայի համալսարան։</v>
      </c>
    </row>
    <row r="889">
      <c r="A889" s="1" t="s">
        <v>1776</v>
      </c>
      <c r="B889" s="2" t="s">
        <v>1777</v>
      </c>
      <c r="C889" s="3" t="str">
        <f>IFERROR(__xludf.DUMMYFUNCTION("GOOGLETRANSLATE(A889,""en"",""hy"")"),"ում հետ ամուսնացավ Ադամ Սենդլերը")</f>
        <v>ում հետ ամուսնացավ Ադամ Սենդլերը</v>
      </c>
      <c r="D889" s="3" t="str">
        <f>IFERROR(__xludf.DUMMYFUNCTION("GOOGLETRANSLATE(B889,""en"",""hy"")"),"Ադամ Սենդլերն ամուսնացել է Ժակլին Տիտոնեի հետ։")</f>
        <v>Ադամ Սենդլերն ամուսնացել է Ժակլին Տիտոնեի հետ։</v>
      </c>
    </row>
    <row r="890">
      <c r="A890" s="1" t="s">
        <v>1778</v>
      </c>
      <c r="B890" s="2" t="s">
        <v>1779</v>
      </c>
      <c r="C890" s="3" t="str">
        <f>IFERROR(__xludf.DUMMYFUNCTION("GOOGLETRANSLATE(A890,""en"",""hy"")"),"Ե՞րբ է առաջին անգամ հայտնվել Եհովա անունը։")</f>
        <v>Ե՞րբ է առաջին անգամ հայտնվել Եհովա անունը։</v>
      </c>
      <c r="D890" s="3" t="str">
        <f>IFERROR(__xludf.DUMMYFUNCTION("GOOGLETRANSLATE(B890,""en"",""hy"")"),"Եհովա անունը առաջին անգամ հայտնվել է 13-րդ դարում։")</f>
        <v>Եհովա անունը առաջին անգամ հայտնվել է 13-րդ դարում։</v>
      </c>
    </row>
    <row r="891">
      <c r="A891" s="1" t="s">
        <v>1780</v>
      </c>
      <c r="B891" s="2" t="s">
        <v>1781</v>
      </c>
      <c r="C891" s="3" t="str">
        <f>IFERROR(__xludf.DUMMYFUNCTION("GOOGLETRANSLATE(A891,""en"",""hy"")"),"ովքե՞ր են խաղում Լյուկ Սքայվոքեր")</f>
        <v>ովքե՞ր են խաղում Լյուկ Սքայվոքեր</v>
      </c>
      <c r="D891" s="3" t="str">
        <f>IFERROR(__xludf.DUMMYFUNCTION("GOOGLETRANSLATE(B891,""en"",""hy"")"),"Մարկ Հեմիլ")</f>
        <v>Մարկ Հեմիլ</v>
      </c>
    </row>
    <row r="892">
      <c r="A892" s="1" t="s">
        <v>1782</v>
      </c>
      <c r="B892" s="2" t="s">
        <v>1783</v>
      </c>
      <c r="C892" s="3" t="str">
        <f>IFERROR(__xludf.DUMMYFUNCTION("GOOGLETRANSLATE(A892,""en"",""hy"")"),"ո՞րն է Հունաստանում այցելելու լավագույն կղզին:")</f>
        <v>ո՞րն է Հունաստանում այցելելու լավագույն կղզին:</v>
      </c>
      <c r="D892" s="3" t="str">
        <f>IFERROR(__xludf.DUMMYFUNCTION("GOOGLETRANSLATE(B892,""en"",""hy"")"),"Սանտորինի.")</f>
        <v>Սանտորինի.</v>
      </c>
    </row>
    <row r="893">
      <c r="A893" s="1" t="s">
        <v>1784</v>
      </c>
      <c r="B893" s="2" t="s">
        <v>1785</v>
      </c>
      <c r="C893" s="3" t="str">
        <f>IFERROR(__xludf.DUMMYFUNCTION("GOOGLETRANSLATE(A893,""en"",""hy"")"),"որտեղ էր ապրում Ջոն Հովարդը")</f>
        <v>որտեղ էր ապրում Ջոն Հովարդը</v>
      </c>
      <c r="D893" s="3" t="str">
        <f>IFERROR(__xludf.DUMMYFUNCTION("GOOGLETRANSLATE(B893,""en"",""hy"")"),"Ջոն Հովարդն ապրում էր Ավստրալիայում:")</f>
        <v>Ջոն Հովարդն ապրում էր Ավստրալիայում:</v>
      </c>
    </row>
    <row r="894">
      <c r="A894" s="1" t="s">
        <v>1786</v>
      </c>
      <c r="B894" s="2" t="s">
        <v>1787</v>
      </c>
      <c r="C894" s="3" t="str">
        <f>IFERROR(__xludf.DUMMYFUNCTION("GOOGLETRANSLATE(A894,""en"",""hy"")"),"ի՞նչ երաժշտություն է հորինել Բեթհովենը:")</f>
        <v>ի՞նչ երաժշտություն է հորինել Բեթհովենը:</v>
      </c>
      <c r="D894" s="3" t="str">
        <f>IFERROR(__xludf.DUMMYFUNCTION("GOOGLETRANSLATE(B894,""en"",""hy"")"),"Բեթհովենը հորինել է սիմֆոնիաներ, դաշնամուրային սոնատներ, լարային քառյակներ և այլ դասական երաժշտություն։")</f>
        <v>Բեթհովենը հորինել է սիմֆոնիաներ, դաշնամուրային սոնատներ, լարային քառյակներ և այլ դասական երաժշտություն։</v>
      </c>
    </row>
    <row r="895">
      <c r="A895" s="1" t="s">
        <v>1788</v>
      </c>
      <c r="B895" s="2" t="s">
        <v>1789</v>
      </c>
      <c r="C895" s="3" t="str">
        <f>IFERROR(__xludf.DUMMYFUNCTION("GOOGLETRANSLATE(A895,""en"",""hy"")"),"ինչ է նշանակում Հռոմ անունը:")</f>
        <v>ինչ է նշանակում Հռոմ անունը:</v>
      </c>
      <c r="D895" s="3" t="str">
        <f>IFERROR(__xludf.DUMMYFUNCTION("GOOGLETRANSLATE(B895,""en"",""hy"")"),"Հռոմ անունը վերաբերում է Իտալիայի մայրաքաղաքին։")</f>
        <v>Հռոմ անունը վերաբերում է Իտալիայի մայրաքաղաքին։</v>
      </c>
    </row>
    <row r="896">
      <c r="A896" s="1" t="s">
        <v>1790</v>
      </c>
      <c r="B896" s="2" t="s">
        <v>1791</v>
      </c>
      <c r="C896" s="3" t="str">
        <f>IFERROR(__xludf.DUMMYFUNCTION("GOOGLETRANSLATE(A896,""en"",""hy"")"),"ի՞նչն է ոգեշնչել Սքոթ Ֆիցջերալդը:")</f>
        <v>ի՞նչն է ոգեշնչել Սքոթ Ֆիցջերալդը:</v>
      </c>
      <c r="D896" s="3" t="str">
        <f>IFERROR(__xludf.DUMMYFUNCTION("GOOGLETRANSLATE(B896,""en"",""hy"")"),"Սքոթ Ֆիցջերալդի կյանքի և փորձառությունների տարբեր ասպեկտներ ոգեշնչեցին նրան, ներառյալ նրա անձնական պայքարը, Մռնչյուն 20-ականների դարաշրջանը և Ամերիկյան երազանքի հետապնդումը:")</f>
        <v>Սքոթ Ֆիցջերալդի կյանքի և փորձառությունների տարբեր ասպեկտներ ոգեշնչեցին նրան, ներառյալ նրա անձնական պայքարը, Մռնչյուն 20-ականների դարաշրջանը և Ամերիկյան երազանքի հետապնդումը:</v>
      </c>
    </row>
    <row r="897">
      <c r="A897" s="1" t="s">
        <v>1792</v>
      </c>
      <c r="B897" s="2" t="s">
        <v>1793</v>
      </c>
      <c r="C897" s="3" t="str">
        <f>IFERROR(__xludf.DUMMYFUNCTION("GOOGLETRANSLATE(A897,""en"",""hy"")"),"ինչ արեց Ջորջ Շտայնբրենները")</f>
        <v>ինչ արեց Ջորջ Շտայնբրենները</v>
      </c>
      <c r="D897" s="3" t="str">
        <f>IFERROR(__xludf.DUMMYFUNCTION("GOOGLETRANSLATE(B897,""en"",""hy"")"),"Ջորջ Շտայնբրենները Նյու Յորք Յանկիս բեյսբոլի թիմի սեփականատերն էր։")</f>
        <v>Ջորջ Շտայնբրենները Նյու Յորք Յանկիս բեյսբոլի թիմի սեփականատերն էր։</v>
      </c>
    </row>
    <row r="898">
      <c r="A898" s="1" t="s">
        <v>1794</v>
      </c>
      <c r="B898" s="2" t="s">
        <v>1795</v>
      </c>
      <c r="C898" s="3" t="str">
        <f>IFERROR(__xludf.DUMMYFUNCTION("GOOGLETRANSLATE(A898,""en"",""hy"")"),"ով էր Ադրիանը և ինչ արեց:")</f>
        <v>ով էր Ադրիանը և ինչ արեց:</v>
      </c>
      <c r="D898" s="3" t="str">
        <f>IFERROR(__xludf.DUMMYFUNCTION("GOOGLETRANSLATE(B898,""en"",""hy"")"),"Ադրիանոսը հռոմեական կայսր էր, որը կառավարել է մ.թ. 117-ից 138 թվականներին։ Նա հայտնի է իր լայնածավալ շինարարական նախագծերով, ներառյալ Մեծ Բրիտանիայում Հադրիանոսի պատի և Հռոմի Պանթեոնի կառուցումը: Նա նաև կենտրոնացավ կայսրության սահմանների ամրապնդման, մշակո"&amp;"ւթային գործունեության խթանման և վարչական բարեփոխումների իրականացման վրա։")</f>
        <v>Ադրիանոսը հռոմեական կայսր էր, որը կառավարել է մ.թ. 117-ից 138 թվականներին։ Նա հայտնի է իր լայնածավալ շինարարական նախագծերով, ներառյալ Մեծ Բրիտանիայում Հադրիանոսի պատի և Հռոմի Պանթեոնի կառուցումը: Նա նաև կենտրոնացավ կայսրության սահմանների ամրապնդման, մշակութային գործունեության խթանման և վարչական բարեփոխումների իրականացման վրա։</v>
      </c>
    </row>
    <row r="899">
      <c r="A899" s="1" t="s">
        <v>1796</v>
      </c>
      <c r="B899" s="2" t="s">
        <v>1797</v>
      </c>
      <c r="C899" s="3" t="str">
        <f>IFERROR(__xludf.DUMMYFUNCTION("GOOGLETRANSLATE(A899,""en"",""hy"")"),"Ի՞նչն է ազդել Լենգսթոն Հյուզի գրելու վրա:")</f>
        <v>Ի՞նչն է ազդել Լենգսթոն Հյուզի գրելու վրա:</v>
      </c>
      <c r="D899" s="3" t="str">
        <f>IFERROR(__xludf.DUMMYFUNCTION("GOOGLETRANSLATE(B899,""en"",""hy"")"),"Հարլեմի վերածնունդը և նրա փորձը որպես աֆրոամերիկացի Միացյալ Նահանգներում ազդեցին Լենգսթոն Հյուզի գրելու վրա:")</f>
        <v>Հարլեմի վերածնունդը և նրա փորձը որպես աֆրոամերիկացի Միացյալ Նահանգներում ազդեցին Լենգսթոն Հյուզի գրելու վրա:</v>
      </c>
    </row>
    <row r="900">
      <c r="A900" s="1" t="s">
        <v>1798</v>
      </c>
      <c r="B900" s="2" t="s">
        <v>1799</v>
      </c>
      <c r="C900" s="3" t="str">
        <f>IFERROR(__xludf.DUMMYFUNCTION("GOOGLETRANSLATE(A900,""en"",""hy"")"),"որտեղ է մահացել Պաբլո Պիկասոն")</f>
        <v>որտեղ է մահացել Պաբլո Պիկասոն</v>
      </c>
      <c r="D900" s="3" t="str">
        <f>IFERROR(__xludf.DUMMYFUNCTION("GOOGLETRANSLATE(B900,""en"",""hy"")"),"Պաբլո Պիկասոն մահացել է Ֆրանսիայի Մոժեն քաղաքում։")</f>
        <v>Պաբլո Պիկասոն մահացել է Ֆրանսիայի Մոժեն քաղաքում։</v>
      </c>
    </row>
    <row r="901">
      <c r="A901" s="1" t="s">
        <v>1800</v>
      </c>
      <c r="B901" s="2" t="s">
        <v>1801</v>
      </c>
      <c r="C901" s="3" t="str">
        <f>IFERROR(__xludf.DUMMYFUNCTION("GOOGLETRANSLATE(A901,""en"",""hy"")"),"ինչ անել Սիեթլում ամռանը.")</f>
        <v>ինչ անել Սիեթլում ամռանը.</v>
      </c>
      <c r="D901" s="3" t="str">
        <f>IFERROR(__xludf.DUMMYFUNCTION("GOOGLETRANSLATE(B901,""en"",""hy"")"),"Ամառվա ընթացքում Սիեթլում կատարվող որոշ միջոցառումներ ներառում են Pike Place Market-ի այցելություն, ծովափնյա ուսումնասիրություն, արշավներ մոտակա ազգային պարկերում և լաստանավով երթևեկելը դեպի մոտակա կղզիներից մեկը:")</f>
        <v>Ամառվա ընթացքում Սիեթլում կատարվող որոշ միջոցառումներ ներառում են Pike Place Market-ի այցելություն, ծովափնյա ուսումնասիրություն, արշավներ մոտակա ազգային պարկերում և լաստանավով երթևեկելը դեպի մոտակա կղզիներից մեկը:</v>
      </c>
    </row>
    <row r="902">
      <c r="A902" s="1" t="s">
        <v>1802</v>
      </c>
      <c r="B902" s="2" t="s">
        <v>1803</v>
      </c>
      <c r="C902" s="3" t="str">
        <f>IFERROR(__xludf.DUMMYFUNCTION("GOOGLETRANSLATE(A902,""en"",""hy"")"),"որտե՞ղ է ճանապարհորդել Հենրի Հադսոնը:")</f>
        <v>որտե՞ղ է ճանապարհորդել Հենրի Հադսոնը:</v>
      </c>
      <c r="D902" s="3" t="str">
        <f>IFERROR(__xludf.DUMMYFUNCTION("GOOGLETRANSLATE(B902,""en"",""hy"")"),"Հենրի Հադսոնը ճանապարհորդել է տարբեր վայրեր, ներառյալ Հյուսիսային Ատլանտյան օվկիանոսը, Հադսոն Բեյը և Հադսոն գետը:")</f>
        <v>Հենրի Հադսոնը ճանապարհորդել է տարբեր վայրեր, ներառյալ Հյուսիսային Ատլանտյան օվկիանոսը, Հադսոն Բեյը և Հադսոն գետը:</v>
      </c>
    </row>
    <row r="903">
      <c r="A903" s="1" t="s">
        <v>1804</v>
      </c>
      <c r="B903" s="2" t="s">
        <v>1805</v>
      </c>
      <c r="C903" s="3" t="str">
        <f>IFERROR(__xludf.DUMMYFUNCTION("GOOGLETRANSLATE(A903,""en"",""hy"")"),"ո՞ւմ հետ է ամուսնացել Ջուդի Քոլինսը")</f>
        <v>ո՞ւմ հետ է ամուսնացել Ջուդի Քոլինսը</v>
      </c>
      <c r="D903" s="3" t="str">
        <f>IFERROR(__xludf.DUMMYFUNCTION("GOOGLETRANSLATE(B903,""en"",""hy"")"),"Ջուդի Քոլինզն ամուսնացած էր Փիթեր Թեյլորի հետ։")</f>
        <v>Ջուդի Քոլինզն ամուսնացած էր Փիթեր Թեյլորի հետ։</v>
      </c>
    </row>
    <row r="904">
      <c r="A904" s="1" t="s">
        <v>1806</v>
      </c>
      <c r="B904" s="2" t="s">
        <v>1807</v>
      </c>
      <c r="C904" s="3" t="str">
        <f>IFERROR(__xludf.DUMMYFUNCTION("GOOGLETRANSLATE(A904,""en"",""hy"")"),"Ե՞րբ է վերջին անգամ toronto maple leafs-ը դուրս եկել փլեյ-օֆֆ:")</f>
        <v>Ե՞րբ է վերջին անգամ toronto maple leafs-ը դուրս եկել փլեյ-օֆֆ:</v>
      </c>
      <c r="D904" s="3" t="str">
        <f>IFERROR(__xludf.DUMMYFUNCTION("GOOGLETRANSLATE(B904,""en"",""hy"")"),"Toronto Maple Leafs-ը վերջին անգամ փլեյ-օֆֆ դուրս եկավ NHL-ի 2019-2020 մրցաշրջանում:")</f>
        <v>Toronto Maple Leafs-ը վերջին անգամ փլեյ-օֆֆ դուրս եկավ NHL-ի 2019-2020 մրցաշրջանում:</v>
      </c>
    </row>
    <row r="905">
      <c r="A905" s="1" t="s">
        <v>1808</v>
      </c>
      <c r="B905" s="2" t="s">
        <v>1809</v>
      </c>
      <c r="C905" s="3" t="str">
        <f>IFERROR(__xludf.DUMMYFUNCTION("GOOGLETRANSLATE(A905,""en"",""hy"")"),"ինչ են խոսում Կամբոջայում")</f>
        <v>ինչ են խոսում Կամբոջայում</v>
      </c>
      <c r="D905" s="3" t="str">
        <f>IFERROR(__xludf.DUMMYFUNCTION("GOOGLETRANSLATE(B905,""en"",""hy"")"),"քմեր.")</f>
        <v>քմեր.</v>
      </c>
    </row>
    <row r="906">
      <c r="A906" s="1" t="s">
        <v>1810</v>
      </c>
      <c r="B906" s="2" t="s">
        <v>1811</v>
      </c>
      <c r="C906" s="3" t="str">
        <f>IFERROR(__xludf.DUMMYFUNCTION("GOOGLETRANSLATE(A906,""en"",""hy"")"),"ինչպիսի՞ ապահովագրություն է առաջարկում Geico-ն:")</f>
        <v>ինչպիսի՞ ապահովագրություն է առաջարկում Geico-ն:</v>
      </c>
      <c r="D906" s="3" t="str">
        <f>IFERROR(__xludf.DUMMYFUNCTION("GOOGLETRANSLATE(B906,""en"",""hy"")"),"GEICO-ն առաջարկում է ապահովագրության տարբեր տեսակներ, ներառյալ ավտոմեքենաները, տների սեփականատերերը, վարձակալները, մոտոցիկլետները և այլն:")</f>
        <v>GEICO-ն առաջարկում է ապահովագրության տարբեր տեսակներ, ներառյալ ավտոմեքենաները, տների սեփականատերերը, վարձակալները, մոտոցիկլետները և այլն:</v>
      </c>
    </row>
    <row r="907">
      <c r="A907" s="1" t="s">
        <v>1812</v>
      </c>
      <c r="B907" s="2" t="s">
        <v>1813</v>
      </c>
      <c r="C907" s="3" t="str">
        <f>IFERROR(__xludf.DUMMYFUNCTION("GOOGLETRANSLATE(A907,""en"",""hy"")"),"ով է այժմ Նոր Զելանդիայի վարչապետը.")</f>
        <v>ով է այժմ Նոր Զելանդիայի վարչապետը.</v>
      </c>
      <c r="D907" s="3" t="str">
        <f>IFERROR(__xludf.DUMMYFUNCTION("GOOGLETRANSLATE(B907,""en"",""hy"")"),"Ջասինդա Արդերն.")</f>
        <v>Ջասինդա Արդերն.</v>
      </c>
    </row>
    <row r="908">
      <c r="A908" s="1" t="s">
        <v>1814</v>
      </c>
      <c r="B908" s="2" t="s">
        <v>1815</v>
      </c>
      <c r="C908" s="3" t="str">
        <f>IFERROR(__xludf.DUMMYFUNCTION("GOOGLETRANSLATE(A908,""en"",""hy"")"),"հիմա ժամը քանիսն է Նեբրասկան")</f>
        <v>հիմա ժամը քանիսն է Նեբրասկան</v>
      </c>
      <c r="D908" s="3" t="str">
        <f>IFERROR(__xludf.DUMMYFUNCTION("GOOGLETRANSLATE(B908,""en"",""hy"")"),"Ցավում եմ, ես իրական ժամանակի տեղեկատվության հասանելիություն չունեմ:")</f>
        <v>Ցավում եմ, ես իրական ժամանակի տեղեկատվության հասանելիություն չունեմ:</v>
      </c>
    </row>
    <row r="909">
      <c r="A909" s="1" t="s">
        <v>1816</v>
      </c>
      <c r="B909" s="2" t="s">
        <v>1817</v>
      </c>
      <c r="C909" s="3" t="str">
        <f>IFERROR(__xludf.DUMMYFUNCTION("GOOGLETRANSLATE(A909,""en"",""hy"")"),"ինչի՞ց է մահացել Նիկ Քարթերի քույրը.")</f>
        <v>ինչի՞ց է մահացել Նիկ Քարթերի քույրը.</v>
      </c>
      <c r="D909" s="3" t="str">
        <f>IFERROR(__xludf.DUMMYFUNCTION("GOOGLETRANSLATE(B909,""en"",""hy"")"),"Նիկ Քարթերի քույրը՝ Լեսլի Քարթերը, մահացել է գերդոզավորումից։")</f>
        <v>Նիկ Քարթերի քույրը՝ Լեսլի Քարթերը, մահացել է գերդոզավորումից։</v>
      </c>
    </row>
    <row r="910">
      <c r="A910" s="1" t="s">
        <v>1818</v>
      </c>
      <c r="B910" s="2" t="s">
        <v>1819</v>
      </c>
      <c r="C910" s="3" t="str">
        <f>IFERROR(__xludf.DUMMYFUNCTION("GOOGLETRANSLATE(A910,""en"",""hy"")"),"ով է Ջեյմս Դինը")</f>
        <v>ով է Ջեյմս Դինը</v>
      </c>
      <c r="D910" s="3" t="str">
        <f>IFERROR(__xludf.DUMMYFUNCTION("GOOGLETRANSLATE(B910,""en"",""hy"")"),"Ջեյմս Դինը ամերիկացի դերասան էր։")</f>
        <v>Ջեյմս Դինը ամերիկացի դերասան էր։</v>
      </c>
    </row>
    <row r="911">
      <c r="A911" s="1" t="s">
        <v>1820</v>
      </c>
      <c r="B911" s="2" t="s">
        <v>1821</v>
      </c>
      <c r="C911" s="3" t="str">
        <f>IFERROR(__xludf.DUMMYFUNCTION("GOOGLETRANSLATE(A911,""en"",""hy"")"),"որտեղ էր ապրում Բոբ Դիլանը")</f>
        <v>որտեղ էր ապրում Բոբ Դիլանը</v>
      </c>
      <c r="D911" s="3" t="str">
        <f>IFERROR(__xludf.DUMMYFUNCTION("GOOGLETRANSLATE(B911,""en"",""hy"")"),"Բոբ Դիլանը իր կյանքի ընթացքում ապրել է տարբեր վայրերում, բայց նա ծնվել և մեծացել է Մինեսոտա նահանգի Դուլութ քաղաքում:")</f>
        <v>Բոբ Դիլանը իր կյանքի ընթացքում ապրել է տարբեր վայրերում, բայց նա ծնվել և մեծացել է Մինեսոտա նահանգի Դուլութ քաղաքում:</v>
      </c>
    </row>
    <row r="912">
      <c r="A912" s="1" t="s">
        <v>1822</v>
      </c>
      <c r="B912" s="2" t="s">
        <v>1823</v>
      </c>
      <c r="C912" s="3" t="str">
        <f>IFERROR(__xludf.DUMMYFUNCTION("GOOGLETRANSLATE(A912,""en"",""hy"")"),"ո՞ւմ են տալիս հռոմեական կաթոլիկները իշխանություն.")</f>
        <v>ո՞ւմ են տալիս հռոմեական կաթոլիկները իշխանություն.</v>
      </c>
      <c r="D912" s="3" t="str">
        <f>IFERROR(__xludf.DUMMYFUNCTION("GOOGLETRANSLATE(B912,""en"",""hy"")"),"Հռոմի կաթոլիկները իշխանություն են տալիս Հռոմի պապին, որը համարվում է Եկեղեցու գլուխը։")</f>
        <v>Հռոմի կաթոլիկները իշխանություն են տալիս Հռոմի պապին, որը համարվում է Եկեղեցու գլուխը։</v>
      </c>
    </row>
    <row r="913">
      <c r="A913" s="1" t="s">
        <v>1824</v>
      </c>
      <c r="B913" s="2" t="s">
        <v>1825</v>
      </c>
      <c r="C913" s="3" t="str">
        <f>IFERROR(__xludf.DUMMYFUNCTION("GOOGLETRANSLATE(A913,""en"",""hy"")"),"որտեղ է պր. Օբաման գնալ դպրոց?")</f>
        <v>որտեղ է պր. Օբաման գնալ դպրոց?</v>
      </c>
      <c r="D913" s="3" t="str">
        <f>IFERROR(__xludf.DUMMYFUNCTION("GOOGLETRANSLATE(B913,""en"",""hy"")"),"Նախագահ Օբաման սովորել է Կոլումբիայի համալսարանում և Հարվարդի իրավաբանական դպրոցում:")</f>
        <v>Նախագահ Օբաման սովորել է Կոլումբիայի համալսարանում և Հարվարդի իրավաբանական դպրոցում:</v>
      </c>
    </row>
    <row r="914">
      <c r="A914" s="1" t="s">
        <v>1826</v>
      </c>
      <c r="B914" s="2" t="s">
        <v>1827</v>
      </c>
      <c r="C914" s="3" t="str">
        <f>IFERROR(__xludf.DUMMYFUNCTION("GOOGLETRANSLATE(A914,""en"",""hy"")"),"Ո՞վ է Նինա Դոբրևը խաղում պատի ծաղիկ լինելու առավելություններով:")</f>
        <v>Ո՞վ է Նինա Դոբրևը խաղում պատի ծաղիկ լինելու առավելություններով:</v>
      </c>
      <c r="D914" s="3" t="str">
        <f>IFERROR(__xludf.DUMMYFUNCTION("GOOGLETRANSLATE(B914,""en"",""hy"")"),"Նինա Դոբրևը մարմնավորում է Քենդեյս Քելմեկիսի կերպարը «Պատաշաղիկ լինելու առավելությունները» ֆիլմում։")</f>
        <v>Նինա Դոբրևը մարմնավորում է Քենդեյս Քելմեկիսի կերպարը «Պատաշաղիկ լինելու առավելությունները» ֆիլմում։</v>
      </c>
    </row>
    <row r="915">
      <c r="A915" s="1" t="s">
        <v>1828</v>
      </c>
      <c r="B915" s="2" t="s">
        <v>1829</v>
      </c>
      <c r="C915" s="3" t="str">
        <f>IFERROR(__xludf.DUMMYFUNCTION("GOOGLETRANSLATE(A915,""en"",""hy"")"),"երբ է այրվել Մոսկվան")</f>
        <v>երբ է այրվել Մոսկվան</v>
      </c>
      <c r="D915" s="3" t="str">
        <f>IFERROR(__xludf.DUMMYFUNCTION("GOOGLETRANSLATE(B915,""en"",""hy"")"),"Մոսկվան այրվել է 1812 թ.")</f>
        <v>Մոսկվան այրվել է 1812 թ.</v>
      </c>
    </row>
    <row r="916">
      <c r="A916" s="1" t="s">
        <v>1830</v>
      </c>
      <c r="B916" s="2" t="s">
        <v>1831</v>
      </c>
      <c r="C916" s="3" t="str">
        <f>IFERROR(__xludf.DUMMYFUNCTION("GOOGLETRANSLATE(A916,""en"",""hy"")"),"ի՞նչ տեսնել Բարսելոնայում.")</f>
        <v>ի՞նչ տեսնել Բարսելոնայում.</v>
      </c>
      <c r="D916" s="3" t="str">
        <f>IFERROR(__xludf.DUMMYFUNCTION("GOOGLETRANSLATE(B916,""en"",""hy"")"),"Բարսելոնայում կարելի է տեսնել տարբեր տեսարժան վայրեր, այդ թվում՝ Sagrada Familia, Park Güell, Gothic Quarter, Casa Batlló և Barceloneta Beach:")</f>
        <v>Բարսելոնայում կարելի է տեսնել տարբեր տեսարժան վայրեր, այդ թվում՝ Sagrada Familia, Park Güell, Gothic Quarter, Casa Batlló և Barceloneta Beach:</v>
      </c>
    </row>
    <row r="917">
      <c r="A917" s="1" t="s">
        <v>1832</v>
      </c>
      <c r="B917" s="2" t="s">
        <v>1833</v>
      </c>
      <c r="C917" s="3" t="str">
        <f>IFERROR(__xludf.DUMMYFUNCTION("GOOGLETRANSLATE(A917,""en"",""hy"")"),"ով է Լարի Էլիսոն Օրաքլը:")</f>
        <v>ով է Լարի Էլիսոն Օրաքլը:</v>
      </c>
      <c r="D917" s="3" t="str">
        <f>IFERROR(__xludf.DUMMYFUNCTION("GOOGLETRANSLATE(B917,""en"",""hy"")"),"Լարի Էլիսոնը համակարգչային տեխնոլոգիաների բազմազգ կորպորացիայի Oracle Corporation-ի համահիմնադիրն ու նախկին գործադիր տնօրենն է:")</f>
        <v>Լարի Էլիսոնը համակարգչային տեխնոլոգիաների բազմազգ կորպորացիայի Oracle Corporation-ի համահիմնադիրն ու նախկին գործադիր տնօրենն է:</v>
      </c>
    </row>
    <row r="918">
      <c r="A918" s="1" t="s">
        <v>1834</v>
      </c>
      <c r="B918" s="2">
        <v>79735.0</v>
      </c>
      <c r="C918" s="3" t="str">
        <f>IFERROR(__xludf.DUMMYFUNCTION("GOOGLETRANSLATE(A918,""en"",""hy"")"),"ո՞րն է Ֆորտ Սթոքթոն Տեխասի փոստային կոդը:")</f>
        <v>ո՞րն է Ֆորտ Սթոքթոն Տեխասի փոստային կոդը:</v>
      </c>
      <c r="D918" s="3" t="str">
        <f>IFERROR(__xludf.DUMMYFUNCTION("GOOGLETRANSLATE(B918,""en"",""hy"")"),"79735")</f>
        <v>79735</v>
      </c>
    </row>
    <row r="919">
      <c r="A919" s="1" t="s">
        <v>1835</v>
      </c>
      <c r="B919" s="2" t="s">
        <v>1836</v>
      </c>
      <c r="C919" s="3" t="str">
        <f>IFERROR(__xludf.DUMMYFUNCTION("GOOGLETRANSLATE(A919,""en"",""hy"")"),"ո՞ր թիմերն են զորակոչել Մորիսի երկվորյակներին:")</f>
        <v>ո՞ր թիմերն են զորակոչել Մորիսի երկվորյակներին:</v>
      </c>
      <c r="D919" s="3" t="str">
        <f>IFERROR(__xludf.DUMMYFUNCTION("GOOGLETRANSLATE(B919,""en"",""hy"")"),"Մորիսի երկվորյակներին զորակոչել են Ֆենիքս Սանսը:")</f>
        <v>Մորիսի երկվորյակներին զորակոչել են Ֆենիքս Սանսը:</v>
      </c>
    </row>
    <row r="920">
      <c r="A920" s="1" t="s">
        <v>1837</v>
      </c>
      <c r="B920" s="2" t="s">
        <v>1838</v>
      </c>
      <c r="C920" s="3" t="str">
        <f>IFERROR(__xludf.DUMMYFUNCTION("GOOGLETRANSLATE(A920,""en"",""hy"")"),"Ո՞ր նահանգից է գալիս Օբաման")</f>
        <v>Ո՞ր նահանգից է գալիս Օբաման</v>
      </c>
      <c r="D920" s="3" t="str">
        <f>IFERROR(__xludf.DUMMYFUNCTION("GOOGLETRANSLATE(B920,""en"",""hy"")"),"Օբաման գալիս է Իլինոյս նահանգից։")</f>
        <v>Օբաման գալիս է Իլինոյս նահանգից։</v>
      </c>
    </row>
    <row r="921">
      <c r="A921" s="1" t="s">
        <v>1839</v>
      </c>
      <c r="B921" s="2" t="s">
        <v>1840</v>
      </c>
      <c r="C921" s="3" t="str">
        <f>IFERROR(__xludf.DUMMYFUNCTION("GOOGLETRANSLATE(A921,""en"",""hy"")"),"ով է Թիմ Հովարդը խաղում ակումբում")</f>
        <v>ով է Թիմ Հովարդը խաղում ակումբում</v>
      </c>
      <c r="D921" s="3" t="str">
        <f>IFERROR(__xludf.DUMMYFUNCTION("GOOGLETRANSLATE(B921,""en"",""hy"")"),"Թիմ Հովարդը ներկայումս խաղում է Memphis 901 FC ակումբում։")</f>
        <v>Թիմ Հովարդը ներկայումս խաղում է Memphis 901 FC ակումբում։</v>
      </c>
    </row>
    <row r="922">
      <c r="A922" s="1" t="s">
        <v>1841</v>
      </c>
      <c r="B922" s="2" t="s">
        <v>1842</v>
      </c>
      <c r="C922" s="3" t="str">
        <f>IFERROR(__xludf.DUMMYFUNCTION("GOOGLETRANSLATE(A922,""en"",""hy"")"),"ինչ էին խոսում եգիպտացիները")</f>
        <v>ինչ էին խոսում եգիպտացիները</v>
      </c>
      <c r="D922" s="3" t="str">
        <f>IFERROR(__xludf.DUMMYFUNCTION("GOOGLETRANSLATE(B922,""en"",""hy"")"),"Հին եգիպտացիները խոսում էին հին եգիպտական ​​լեզվով:")</f>
        <v>Հին եգիպտացիները խոսում էին հին եգիպտական ​​լեզվով:</v>
      </c>
    </row>
    <row r="923">
      <c r="A923" s="1" t="s">
        <v>1843</v>
      </c>
      <c r="B923" s="2" t="s">
        <v>1844</v>
      </c>
      <c r="C923" s="3" t="str">
        <f>IFERROR(__xludf.DUMMYFUNCTION("GOOGLETRANSLATE(A923,""en"",""hy"")"),"ինչ է վանդերբիլտի թալիսմանը:")</f>
        <v>ինչ է վանդերբիլտի թալիսմանը:</v>
      </c>
      <c r="D923" s="3" t="str">
        <f>IFERROR(__xludf.DUMMYFUNCTION("GOOGLETRANSLATE(B923,""en"",""hy"")"),"Վանդերբիլտի համալսարանի թալիսմանը Commodore-ն է:")</f>
        <v>Վանդերբիլտի համալսարանի թալիսմանը Commodore-ն է:</v>
      </c>
    </row>
    <row r="924">
      <c r="A924" s="1" t="s">
        <v>1845</v>
      </c>
      <c r="B924" s="2" t="s">
        <v>1846</v>
      </c>
      <c r="C924" s="3" t="str">
        <f>IFERROR(__xludf.DUMMYFUNCTION("GOOGLETRANSLATE(A924,""en"",""hy"")"),"ինչի՞ց է մահացել Ուիթնի Հյուսթոնը")</f>
        <v>ինչի՞ց է մահացել Ուիթնի Հյուսթոնը</v>
      </c>
      <c r="D924" s="3" t="str">
        <f>IFERROR(__xludf.DUMMYFUNCTION("GOOGLETRANSLATE(B924,""en"",""hy"")"),"Ուիթնի Հյուսթոնը մահացել է լոգարանում պատահական խեղդվելու հետևանքով, ինչը նպաստում է սրտի հիվանդությունների և կոկաինի օգտագործմանը:")</f>
        <v>Ուիթնի Հյուսթոնը մահացել է լոգարանում պատահական խեղդվելու հետևանքով, ինչը նպաստում է սրտի հիվանդությունների և կոկաինի օգտագործմանը:</v>
      </c>
    </row>
    <row r="925">
      <c r="A925" s="1" t="s">
        <v>1847</v>
      </c>
      <c r="B925" s="2" t="s">
        <v>1848</v>
      </c>
      <c r="C925" s="3" t="str">
        <f>IFERROR(__xludf.DUMMYFUNCTION("GOOGLETRANSLATE(A925,""en"",""hy"")"),"Ե՞րբ է Ջորջ Բուշը երդվել.")</f>
        <v>Ե՞րբ է Ջորջ Բուշը երդվել.</v>
      </c>
      <c r="D925" s="3" t="str">
        <f>IFERROR(__xludf.DUMMYFUNCTION("GOOGLETRANSLATE(B925,""en"",""hy"")"),"Ջորջ Բուշ կրտսերը երդվել է որպես Միացյալ Նահանգների 43-րդ նախագահ 2001 թվականի հունվարի 20-ին։")</f>
        <v>Ջորջ Բուշ կրտսերը երդվել է որպես Միացյալ Նահանգների 43-րդ նախագահ 2001 թվականի հունվարի 20-ին։</v>
      </c>
    </row>
    <row r="926">
      <c r="A926" s="1" t="s">
        <v>1849</v>
      </c>
      <c r="B926" s="2" t="s">
        <v>1850</v>
      </c>
      <c r="C926" s="3" t="str">
        <f>IFERROR(__xludf.DUMMYFUNCTION("GOOGLETRANSLATE(A926,""en"",""hy"")"),"Ո՞ր միջնակարգ դպրոց է հաճախել Բարաք Օբաման:")</f>
        <v>Ո՞ր միջնակարգ դպրոց է հաճախել Բարաք Օբաման:</v>
      </c>
      <c r="D926" s="3" t="str">
        <f>IFERROR(__xludf.DUMMYFUNCTION("GOOGLETRANSLATE(B926,""en"",""hy"")"),"Փունահուի դպրոց.")</f>
        <v>Փունահուի դպրոց.</v>
      </c>
    </row>
    <row r="927">
      <c r="A927" s="1" t="s">
        <v>1851</v>
      </c>
      <c r="B927" s="2" t="s">
        <v>1852</v>
      </c>
      <c r="C927" s="3" t="str">
        <f>IFERROR(__xludf.DUMMYFUNCTION("GOOGLETRANSLATE(A927,""en"",""hy"")"),"Որո՞նք են Չիկագոյի օդանավակայանները:")</f>
        <v>Որո՞նք են Չիկագոյի օդանավակայանները:</v>
      </c>
      <c r="D927" s="3" t="str">
        <f>IFERROR(__xludf.DUMMYFUNCTION("GOOGLETRANSLATE(B927,""en"",""hy"")"),"Չիկագոյի օդանավակայաններն են Օ'Հարի միջազգային օդանավակայանը և Միդվեյի միջազգային օդանավակայանը:")</f>
        <v>Չիկագոյի օդանավակայաններն են Օ'Հարի միջազգային օդանավակայանը և Միդվեյի միջազգային օդանավակայանը:</v>
      </c>
    </row>
    <row r="928">
      <c r="A928" s="1" t="s">
        <v>1853</v>
      </c>
      <c r="B928" s="2" t="s">
        <v>1854</v>
      </c>
      <c r="C928" s="3" t="str">
        <f>IFERROR(__xludf.DUMMYFUNCTION("GOOGLETRANSLATE(A928,""en"",""hy"")"),"ինչո՞վ էր հայտնի Վան Գոգը.")</f>
        <v>ինչո՞վ էր հայտնի Վան Գոգը.</v>
      </c>
      <c r="D928" s="3" t="str">
        <f>IFERROR(__xludf.DUMMYFUNCTION("GOOGLETRANSLATE(B928,""en"",""hy"")"),"Վան Գոգը հայտնի էր իր նկարներով։")</f>
        <v>Վան Գոգը հայտնի էր իր նկարներով։</v>
      </c>
    </row>
    <row r="929">
      <c r="A929" s="1" t="s">
        <v>1855</v>
      </c>
      <c r="B929" s="2" t="s">
        <v>1856</v>
      </c>
      <c r="C929" s="3" t="str">
        <f>IFERROR(__xludf.DUMMYFUNCTION("GOOGLETRANSLATE(A929,""en"",""hy"")"),"որտե՞ղ գնաց Ջեյն Գուդոլը դպրոց:")</f>
        <v>որտե՞ղ գնաց Ջեյն Գուդոլը դպրոց:</v>
      </c>
      <c r="D929" s="3" t="str">
        <f>IFERROR(__xludf.DUMMYFUNCTION("GOOGLETRANSLATE(B929,""en"",""hy"")"),"Ջեյն Գուդոլը դպրոց է գնացել Քեմբրիջի համալսարանում:")</f>
        <v>Ջեյն Գուդոլը դպրոց է գնացել Քեմբրիջի համալսարանում:</v>
      </c>
    </row>
    <row r="930">
      <c r="A930" s="1" t="s">
        <v>1857</v>
      </c>
      <c r="B930" s="2" t="s">
        <v>1858</v>
      </c>
      <c r="C930" s="3" t="str">
        <f>IFERROR(__xludf.DUMMYFUNCTION("GOOGLETRANSLATE(A930,""en"",""hy"")"),"ով հաղթեց 2012 թվականին Ֆրանսիայի նախագահական ընտրություններում.")</f>
        <v>ով հաղթեց 2012 թվականին Ֆրանսիայի նախագահական ընտրություններում.</v>
      </c>
      <c r="D930" s="3" t="str">
        <f>IFERROR(__xludf.DUMMYFUNCTION("GOOGLETRANSLATE(B930,""en"",""hy"")"),"Ֆրանսուա Օլանդը հաղթել է 2012 թվականին Ֆրանսիայի նախագահական ընտրություններում։")</f>
        <v>Ֆրանսուա Օլանդը հաղթել է 2012 թվականին Ֆրանսիայի նախագահական ընտրություններում։</v>
      </c>
    </row>
    <row r="931">
      <c r="A931" s="1" t="s">
        <v>1859</v>
      </c>
      <c r="B931" s="2" t="s">
        <v>1860</v>
      </c>
      <c r="C931" s="3" t="str">
        <f>IFERROR(__xludf.DUMMYFUNCTION("GOOGLETRANSLATE(A931,""en"",""hy"")"),"ինչ է պատկանում Դոնալդ Թրամփին.")</f>
        <v>ինչ է պատկանում Դոնալդ Թրամփին.</v>
      </c>
      <c r="D931" s="3" t="str">
        <f>IFERROR(__xludf.DUMMYFUNCTION("GOOGLETRANSLATE(B931,""en"",""hy"")"),"Դոնալդ Թրամփն ունի տարբեր գույք, ներառյալ հյուրանոցներ, գոլֆի դաշտեր և անշարժ գույք:")</f>
        <v>Դոնալդ Թրամփն ունի տարբեր գույք, ներառյալ հյուրանոցներ, գոլֆի դաշտեր և անշարժ գույք:</v>
      </c>
    </row>
    <row r="932">
      <c r="A932" s="1" t="s">
        <v>1861</v>
      </c>
      <c r="B932" s="2" t="s">
        <v>1862</v>
      </c>
      <c r="C932" s="3" t="str">
        <f>IFERROR(__xludf.DUMMYFUNCTION("GOOGLETRANSLATE(A932,""en"",""hy"")"),"Ի՞նչ հայտնաբերեց Թոմսոնը կաթոդային խողովակի իր փորձով:")</f>
        <v>Ի՞նչ հայտնաբերեց Թոմսոնը կաթոդային խողովակի իր փորձով:</v>
      </c>
      <c r="D932" s="3" t="str">
        <f>IFERROR(__xludf.DUMMYFUNCTION("GOOGLETRANSLATE(B932,""en"",""hy"")"),"Թոմսոնը հայտնաբերել է, որ կաթոդային ճառագայթները կազմված են բացասական լիցքավորված մասնիկներից, որոնք այժմ հայտնի են որպես էլեկտրոններ։")</f>
        <v>Թոմսոնը հայտնաբերել է, որ կաթոդային ճառագայթները կազմված են բացասական լիցքավորված մասնիկներից, որոնք այժմ հայտնի են որպես էլեկտրոններ։</v>
      </c>
    </row>
    <row r="933">
      <c r="A933" s="1" t="s">
        <v>1863</v>
      </c>
      <c r="B933" s="2" t="s">
        <v>1864</v>
      </c>
      <c r="C933" s="3" t="str">
        <f>IFERROR(__xludf.DUMMYFUNCTION("GOOGLETRANSLATE(A933,""en"",""hy"")"),"որտեղ է Էմիլի Մերֆին դպրոց հաճախել")</f>
        <v>որտեղ է Էմիլի Մերֆին դպրոց հաճախել</v>
      </c>
      <c r="D933" s="3" t="str">
        <f>IFERROR(__xludf.DUMMYFUNCTION("GOOGLETRANSLATE(B933,""en"",""hy"")"),"Էմիլի Մերֆին հաճախել է Տորոնտոյի Bishop Strachan դպրոցը:")</f>
        <v>Էմիլի Մերֆին հաճախել է Տորոնտոյի Bishop Strachan դպրոցը:</v>
      </c>
    </row>
    <row r="934">
      <c r="A934" s="1" t="s">
        <v>1865</v>
      </c>
      <c r="B934" s="2" t="s">
        <v>1866</v>
      </c>
      <c r="C934" s="3" t="str">
        <f>IFERROR(__xludf.DUMMYFUNCTION("GOOGLETRANSLATE(A934,""en"",""hy"")"),"որո՞նք են Ռուսաստանի հիմնական կրոնները:")</f>
        <v>որո՞նք են Ռուսաստանի հիմնական կրոնները:</v>
      </c>
      <c r="D934" s="3" t="str">
        <f>IFERROR(__xludf.DUMMYFUNCTION("GOOGLETRANSLATE(B934,""en"",""hy"")"),"Ռուսաստանում հիմնական կրոններն են ռուս ուղղափառ քրիստոնեությունը, իսլամը, բուդդիզմը և հուդայականությունը:")</f>
        <v>Ռուսաստանում հիմնական կրոններն են ռուս ուղղափառ քրիստոնեությունը, իսլամը, բուդդիզմը և հուդայականությունը:</v>
      </c>
    </row>
    <row r="935">
      <c r="A935" s="1" t="s">
        <v>1867</v>
      </c>
      <c r="B935" s="2" t="s">
        <v>1868</v>
      </c>
      <c r="C935" s="3" t="str">
        <f>IFERROR(__xludf.DUMMYFUNCTION("GOOGLETRANSLATE(A935,""en"",""hy"")"),"ինչ են խոսում նիգերիացիների մեծ մասը:")</f>
        <v>ինչ են խոսում նիգերիացիների մեծ մասը:</v>
      </c>
      <c r="D935" s="3" t="str">
        <f>IFERROR(__xludf.DUMMYFUNCTION("GOOGLETRANSLATE(B935,""en"",""hy"")"),"Նիգերիացիների մեծ մասը խոսում է անգլերեն:")</f>
        <v>Նիգերիացիների մեծ մասը խոսում է անգլերեն:</v>
      </c>
    </row>
    <row r="936">
      <c r="A936" s="1" t="s">
        <v>1869</v>
      </c>
      <c r="B936" s="2" t="s">
        <v>1870</v>
      </c>
      <c r="C936" s="3" t="str">
        <f>IFERROR(__xludf.DUMMYFUNCTION("GOOGLETRANSLATE(A936,""en"",""hy"")"),"ով էր հեղափոխական պատերազմում բրիտանացիների գեներալը:")</f>
        <v>ով էր հեղափոխական պատերազմում բրիտանացիների գեներալը:</v>
      </c>
      <c r="D936" s="3" t="str">
        <f>IFERROR(__xludf.DUMMYFUNCTION("GOOGLETRANSLATE(B936,""en"",""hy"")"),"Գեներալ Չարլզ Քորնուալիս.")</f>
        <v>Գեներալ Չարլզ Քորնուալիս.</v>
      </c>
    </row>
    <row r="937">
      <c r="A937" s="1" t="s">
        <v>1871</v>
      </c>
      <c r="B937" s="2" t="s">
        <v>1872</v>
      </c>
      <c r="C937" s="3" t="str">
        <f>IFERROR(__xludf.DUMMYFUNCTION("GOOGLETRANSLATE(A937,""en"",""hy"")"),"ինչ անել fairfield ca-ում:")</f>
        <v>ինչ անել fairfield ca-ում:</v>
      </c>
      <c r="D937" s="3" t="str">
        <f>IFERROR(__xludf.DUMMYFUNCTION("GOOGLETRANSLATE(B937,""en"",""hy"")"),"Ֆեյրֆիլդում, Կալիֆորնիա, կան մի քանի բան, ներառյալ այցելել Jelly Belly Factory, ուսումնասիրել Anheuser-Busch Brewery-ը և վայելել բացօթյա գործունեությունը Fairfield Linear Park-ում:")</f>
        <v>Ֆեյրֆիլդում, Կալիֆորնիա, կան մի քանի բան, ներառյալ այցելել Jelly Belly Factory, ուսումնասիրել Anheuser-Busch Brewery-ը և վայելել բացօթյա գործունեությունը Fairfield Linear Park-ում:</v>
      </c>
    </row>
    <row r="938">
      <c r="A938" s="1" t="s">
        <v>1873</v>
      </c>
      <c r="B938" s="2" t="s">
        <v>1874</v>
      </c>
      <c r="C938" s="3" t="str">
        <f>IFERROR(__xludf.DUMMYFUNCTION("GOOGLETRANSLATE(A938,""en"",""hy"")"),"որտեղ է ծնվել նախագահ Նիքսոնը")</f>
        <v>որտեղ է ծնվել նախագահ Նիքսոնը</v>
      </c>
      <c r="D938" s="3" t="str">
        <f>IFERROR(__xludf.DUMMYFUNCTION("GOOGLETRANSLATE(B938,""en"",""hy"")"),"Նախագահ Նիքսոնը ծնվել է Կալիֆորնիայի Յորբա Լինդա քաղաքում:")</f>
        <v>Նախագահ Նիքսոնը ծնվել է Կալիֆորնիայի Յորբա Լինդա քաղաքում:</v>
      </c>
    </row>
    <row r="939">
      <c r="A939" s="1" t="s">
        <v>1875</v>
      </c>
      <c r="B939" s="2" t="s">
        <v>1876</v>
      </c>
      <c r="C939" s="3" t="str">
        <f>IFERROR(__xludf.DUMMYFUNCTION("GOOGLETRANSLATE(A939,""en"",""hy"")"),"ինչ արժույթ է ընդունում Թաիլանդը:")</f>
        <v>ինչ արժույթ է ընդունում Թաիլանդը:</v>
      </c>
      <c r="D939" s="3" t="str">
        <f>IFERROR(__xludf.DUMMYFUNCTION("GOOGLETRANSLATE(B939,""en"",""hy"")"),"Թաիլանդում ընդունված արժույթը թաիլանդական բահն է:")</f>
        <v>Թաիլանդում ընդունված արժույթը թաիլանդական բահն է:</v>
      </c>
    </row>
    <row r="940">
      <c r="A940" s="1" t="s">
        <v>1877</v>
      </c>
      <c r="B940" s="2" t="s">
        <v>1878</v>
      </c>
      <c r="C940" s="3" t="str">
        <f>IFERROR(__xludf.DUMMYFUNCTION("GOOGLETRANSLATE(A940,""en"",""hy"")"),"էլ ի՞նչ է հորինել Էլի Ուիթնին:")</f>
        <v>էլ ի՞նչ է հորինել Էլի Ուիթնին:</v>
      </c>
      <c r="D940" s="3" t="str">
        <f>IFERROR(__xludf.DUMMYFUNCTION("GOOGLETRANSLATE(B940,""en"",""hy"")"),"Էլի Ուիթնին հորինել է նաև բամբակյա ջինը։")</f>
        <v>Էլի Ուիթնին հորինել է նաև բամբակյա ջինը։</v>
      </c>
    </row>
    <row r="941">
      <c r="A941" s="1" t="s">
        <v>1879</v>
      </c>
      <c r="B941" s="2" t="s">
        <v>1880</v>
      </c>
      <c r="C941" s="3" t="str">
        <f>IFERROR(__xludf.DUMMYFUNCTION("GOOGLETRANSLATE(A941,""en"",""hy"")"),"ո՞վ է հիմնել քոլեջի հումորը:")</f>
        <v>ո՞վ է հիմնել քոլեջի հումորը:</v>
      </c>
      <c r="D941" s="3" t="str">
        <f>IFERROR(__xludf.DUMMYFUNCTION("GOOGLETRANSLATE(B941,""en"",""hy"")"),"CollegeHumor-ի հիմնադիրներն էին Ջոշ Աբրամսոնը և Ռիկի Վան Վինը։")</f>
        <v>CollegeHumor-ի հիմնադիրներն էին Ջոշ Աբրամսոնը և Ռիկի Վան Վինը։</v>
      </c>
    </row>
    <row r="942">
      <c r="A942" s="1" t="s">
        <v>1881</v>
      </c>
      <c r="B942" s="2" t="s">
        <v>1882</v>
      </c>
      <c r="C942" s="3" t="str">
        <f>IFERROR(__xludf.DUMMYFUNCTION("GOOGLETRANSLATE(A942,""en"",""hy"")"),"որտեղ է Բարաք Օբաման հաճախել դպրոց")</f>
        <v>որտեղ է Բարաք Օբաման հաճախել դպրոց</v>
      </c>
      <c r="D942" s="3" t="str">
        <f>IFERROR(__xludf.DUMMYFUNCTION("GOOGLETRANSLATE(B942,""en"",""hy"")"),"Բարաք Օբաման հաճախել է Կոլումբիայի համալսարան և Հարվարդի իրավաբանական դպրոց:")</f>
        <v>Բարաք Օբաման հաճախել է Կոլումբիայի համալսարան և Հարվարդի իրավաբանական դպրոց:</v>
      </c>
    </row>
    <row r="943">
      <c r="A943" s="1" t="s">
        <v>1883</v>
      </c>
      <c r="B943" s="2" t="s">
        <v>1884</v>
      </c>
      <c r="C943" s="3" t="str">
        <f>IFERROR(__xludf.DUMMYFUNCTION("GOOGLETRANSLATE(A943,""en"",""hy"")"),"ի՞նչ աշխատանք ուներ Ալբերտ Էյնշտեյնը:")</f>
        <v>ի՞նչ աշխատանք ուներ Ալբերտ Էյնշտեյնը:</v>
      </c>
      <c r="D943" s="3" t="str">
        <f>IFERROR(__xludf.DUMMYFUNCTION("GOOGLETRANSLATE(B943,""en"",""hy"")"),"Ալբերտ Էյնշտեյնը աշխատել է որպես ֆիզիկոս և մաթեմատիկոս։")</f>
        <v>Ալբերտ Էյնշտեյնը աշխատել է որպես ֆիզիկոս և մաթեմատիկոս։</v>
      </c>
    </row>
    <row r="944">
      <c r="A944" s="1" t="s">
        <v>1885</v>
      </c>
      <c r="B944" s="2" t="s">
        <v>1886</v>
      </c>
      <c r="C944" s="3" t="str">
        <f>IFERROR(__xludf.DUMMYFUNCTION("GOOGLETRANSLATE(A944,""en"",""hy"")"),"որտեղ ճանապարհորդել Սիդնեյում:")</f>
        <v>որտեղ ճանապարհորդել Սիդնեյում:</v>
      </c>
      <c r="D944" s="3" t="str">
        <f>IFERROR(__xludf.DUMMYFUNCTION("GOOGLETRANSLATE(B944,""en"",""hy"")"),"Սիդնեյի շուրջ ճանապարհորդելու որոշ հայտնի վայրերն են Կապույտ լեռները, Բոնդի լողափը, Դարլինգ նավահանգիստը և Թագավորական բուսաբանական այգին:")</f>
        <v>Սիդնեյի շուրջ ճանապարհորդելու որոշ հայտնի վայրերն են Կապույտ լեռները, Բոնդի լողափը, Դարլինգ նավահանգիստը և Թագավորական բուսաբանական այգին:</v>
      </c>
    </row>
    <row r="945">
      <c r="A945" s="1" t="s">
        <v>1887</v>
      </c>
      <c r="B945" s="2" t="s">
        <v>1888</v>
      </c>
      <c r="C945" s="3" t="str">
        <f>IFERROR(__xludf.DUMMYFUNCTION("GOOGLETRANSLATE(A945,""en"",""hy"")"),"ինչ են կոչվում Մայքլ Ջեքսոնի ֆիլմերը:")</f>
        <v>ինչ են կոչվում Մայքլ Ջեքսոնի ֆիլմերը:</v>
      </c>
      <c r="D945" s="3" t="str">
        <f>IFERROR(__xludf.DUMMYFUNCTION("GOOGLETRANSLATE(B945,""en"",""hy"")"),"Մայքլ Ջեքսոնի որոշ հայտնի ֆիլմերից են «The Wiz»-ը և «Moonwalker»-ը:")</f>
        <v>Մայքլ Ջեքսոնի որոշ հայտնի ֆիլմերից են «The Wiz»-ը և «Moonwalker»-ը:</v>
      </c>
    </row>
    <row r="946">
      <c r="A946" s="1" t="s">
        <v>1889</v>
      </c>
      <c r="B946" s="2" t="s">
        <v>1890</v>
      </c>
      <c r="C946" s="3" t="str">
        <f>IFERROR(__xludf.DUMMYFUNCTION("GOOGLETRANSLATE(A946,""en"",""hy"")"),"Որո՞նք են օվկիանոսի կղզիները:")</f>
        <v>Որո՞նք են օվկիանոսի կղզիները:</v>
      </c>
      <c r="D946" s="3" t="str">
        <f>IFERROR(__xludf.DUMMYFUNCTION("GOOGLETRANSLATE(B946,""en"",""hy"")"),"Օվկիանիայի կղզիները ներառում են Ավստրալիա, Պապուա Նոր Գվինեա, Նոր Զելանդիա, Ֆիջի և շատ ուրիշներ։")</f>
        <v>Օվկիանիայի կղզիները ներառում են Ավստրալիա, Պապուա Նոր Գվինեա, Նոր Զելանդիա, Ֆիջի և շատ ուրիշներ։</v>
      </c>
    </row>
    <row r="947">
      <c r="A947" s="1" t="s">
        <v>1891</v>
      </c>
      <c r="B947" s="2" t="s">
        <v>1892</v>
      </c>
      <c r="C947" s="3" t="str">
        <f>IFERROR(__xludf.DUMMYFUNCTION("GOOGLETRANSLATE(A947,""en"",""hy"")"),"Ո՞ր ժամային գոտում է Իլինոյսը:")</f>
        <v>Ո՞ր ժամային գոտում է Իլինոյսը:</v>
      </c>
      <c r="D947" s="3" t="str">
        <f>IFERROR(__xludf.DUMMYFUNCTION("GOOGLETRANSLATE(B947,""en"",""hy"")"),"Իլինոյսը գտնվում է Կենտրոնական ժամային գոտում:")</f>
        <v>Իլինոյսը գտնվում է Կենտրոնական ժամային գոտում:</v>
      </c>
    </row>
    <row r="948">
      <c r="A948" s="1" t="s">
        <v>1893</v>
      </c>
      <c r="B948" s="2" t="s">
        <v>1894</v>
      </c>
      <c r="C948" s="3" t="str">
        <f>IFERROR(__xludf.DUMMYFUNCTION("GOOGLETRANSLATE(A948,""en"",""hy"")"),"որն է արժույթը Ֆրանսիայում")</f>
        <v>որն է արժույթը Ֆրանսիայում</v>
      </c>
      <c r="D948" s="3" t="str">
        <f>IFERROR(__xludf.DUMMYFUNCTION("GOOGLETRANSLATE(B948,""en"",""hy"")"),"Ֆրանսիայում արժույթը եվրոն է։")</f>
        <v>Ֆրանսիայում արժույթը եվրոն է։</v>
      </c>
    </row>
    <row r="949">
      <c r="A949" s="1" t="s">
        <v>1895</v>
      </c>
      <c r="B949" s="2" t="s">
        <v>1896</v>
      </c>
      <c r="C949" s="3" t="str">
        <f>IFERROR(__xludf.DUMMYFUNCTION("GOOGLETRANSLATE(A949,""en"",""hy"")"),"որտեղ է գտնվում hsbc բանկի գլխամասային գրասենյակը:")</f>
        <v>որտեղ է գտնվում hsbc բանկի գլխամասային գրասենյակը:</v>
      </c>
      <c r="D949" s="3" t="str">
        <f>IFERROR(__xludf.DUMMYFUNCTION("GOOGLETRANSLATE(B949,""en"",""hy"")"),"HSBC բանկի գլխամասային գրասենյակը գտնվում է Լոնդոնում, Միացյալ Թագավորություն:")</f>
        <v>HSBC բանկի գլխամասային գրասենյակը գտնվում է Լոնդոնում, Միացյալ Թագավորություն:</v>
      </c>
    </row>
    <row r="950">
      <c r="A950" s="1" t="s">
        <v>1897</v>
      </c>
      <c r="B950" s="2" t="s">
        <v>1898</v>
      </c>
      <c r="C950" s="3" t="str">
        <f>IFERROR(__xludf.DUMMYFUNCTION("GOOGLETRANSLATE(A950,""en"",""hy"")"),"որն է արժույթը Անգլիայում 2012 թ.")</f>
        <v>որն է արժույթը Անգլիայում 2012 թ.</v>
      </c>
      <c r="D950" s="3" t="str">
        <f>IFERROR(__xludf.DUMMYFUNCTION("GOOGLETRANSLATE(B950,""en"",""hy"")"),"Անգլիայի արժույթը 2012 թվականին բրիտանական ֆունտն է (£):")</f>
        <v>Անգլիայի արժույթը 2012 թվականին բրիտանական ֆունտն է (£):</v>
      </c>
    </row>
    <row r="951">
      <c r="A951" s="1" t="s">
        <v>1899</v>
      </c>
      <c r="B951" s="2" t="s">
        <v>1900</v>
      </c>
      <c r="C951" s="3" t="str">
        <f>IFERROR(__xludf.DUMMYFUNCTION("GOOGLETRANSLATE(A951,""en"",""hy"")"),"որտեղից էր Մարտին Կուպերը")</f>
        <v>որտեղից էր Մարտին Կուպերը</v>
      </c>
      <c r="D951" s="3" t="str">
        <f>IFERROR(__xludf.DUMMYFUNCTION("GOOGLETRANSLATE(B951,""en"",""hy"")"),"Մարտին Կուպերը Չիկագոյից էր (Իլինոյս):")</f>
        <v>Մարտին Կուպերը Չիկագոյից էր (Իլինոյս):</v>
      </c>
    </row>
    <row r="952">
      <c r="A952" s="1" t="s">
        <v>1901</v>
      </c>
      <c r="B952" s="2" t="s">
        <v>1902</v>
      </c>
      <c r="C952" s="3" t="str">
        <f>IFERROR(__xludf.DUMMYFUNCTION("GOOGLETRANSLATE(A952,""en"",""hy"")"),"կոնկրետ որտեղ է գտնվում Իսպանիան:")</f>
        <v>կոնկրետ որտեղ է գտնվում Իսպանիան:</v>
      </c>
      <c r="D952" s="3" t="str">
        <f>IFERROR(__xludf.DUMMYFUNCTION("GOOGLETRANSLATE(B952,""en"",""hy"")"),"Իսպանիան գտնվում է հարավ-արևմտյան Եվրոպայում։")</f>
        <v>Իսպանիան գտնվում է հարավ-արևմտյան Եվրոպայում։</v>
      </c>
    </row>
    <row r="953">
      <c r="A953" s="1" t="s">
        <v>1903</v>
      </c>
      <c r="B953" s="2" t="s">
        <v>1904</v>
      </c>
      <c r="C953" s="3" t="str">
        <f>IFERROR(__xludf.DUMMYFUNCTION("GOOGLETRANSLATE(A953,""en"",""hy"")"),"ինչ է Չինաստանի արժույթի անվանումը:")</f>
        <v>ինչ է Չինաստանի արժույթի անվանումը:</v>
      </c>
      <c r="D953" s="3" t="str">
        <f>IFERROR(__xludf.DUMMYFUNCTION("GOOGLETRANSLATE(B953,""en"",""hy"")"),"Չինաստանի արժույթի անվանումը չինական յուան ​​կամ ռենմինբի է։")</f>
        <v>Չինաստանի արժույթի անվանումը չինական յուան ​​կամ ռենմինբի է։</v>
      </c>
    </row>
    <row r="954">
      <c r="A954" s="1" t="s">
        <v>1905</v>
      </c>
      <c r="B954" s="2" t="s">
        <v>1906</v>
      </c>
      <c r="C954" s="3" t="str">
        <f>IFERROR(__xludf.DUMMYFUNCTION("GOOGLETRANSLATE(A954,""en"",""hy"")"),"ո՞ր ֆիլմերում է խաղացել Չարլի Հանեմը")</f>
        <v>ո՞ր ֆիլմերում է խաղացել Չարլի Հանեմը</v>
      </c>
      <c r="D954" s="3" t="str">
        <f>IFERROR(__xludf.DUMMYFUNCTION("GOOGLETRANSLATE(B954,""en"",""hy"")"),"Չարլի Հանեմը նկարահանվել է այնպիսի ֆիլմերում, ինչպիսիք են՝ «Խաղաղօվկիանոսյան եզրը», «Անարխիայի որդիները.")</f>
        <v>Չարլի Հանեմը նկարահանվել է այնպիսի ֆիլմերում, ինչպիսիք են՝ «Խաղաղօվկիանոսյան եզրը», «Անարխիայի որդիները.</v>
      </c>
    </row>
    <row r="955">
      <c r="A955" s="1" t="s">
        <v>1907</v>
      </c>
      <c r="B955" s="2" t="s">
        <v>1908</v>
      </c>
      <c r="C955" s="3" t="str">
        <f>IFERROR(__xludf.DUMMYFUNCTION("GOOGLETRANSLATE(A955,""en"",""hy"")"),"ինչպիսի՞ իշխանություն ունի Իտալիան.")</f>
        <v>ինչպիսի՞ իշխանություն ունի Իտալիան.</v>
      </c>
      <c r="D955" s="3" t="str">
        <f>IFERROR(__xludf.DUMMYFUNCTION("GOOGLETRANSLATE(B955,""en"",""hy"")"),"Իտալիան ունի խորհրդարանական հանրապետություն։")</f>
        <v>Իտալիան ունի խորհրդարանական հանրապետություն։</v>
      </c>
    </row>
    <row r="956">
      <c r="A956" s="1" t="s">
        <v>1909</v>
      </c>
      <c r="B956" s="2" t="s">
        <v>1910</v>
      </c>
      <c r="C956" s="3" t="str">
        <f>IFERROR(__xludf.DUMMYFUNCTION("GOOGLETRANSLATE(A956,""en"",""hy"")"),"ինչ միջավայր է Աթենքի դպրոցը:")</f>
        <v>ինչ միջավայր է Աթենքի դպրոցը:</v>
      </c>
      <c r="D956" s="3" t="str">
        <f>IFERROR(__xludf.DUMMYFUNCTION("GOOGLETRANSLATE(B956,""en"",""hy"")"),"Աթենքի դպրոցը որմնանկար է։")</f>
        <v>Աթենքի դպրոցը որմնանկար է։</v>
      </c>
    </row>
    <row r="957">
      <c r="A957" s="1" t="s">
        <v>1911</v>
      </c>
      <c r="B957" s="2" t="s">
        <v>1912</v>
      </c>
      <c r="C957" s="3" t="str">
        <f>IFERROR(__xludf.DUMMYFUNCTION("GOOGLETRANSLATE(A957,""en"",""hy"")"),"Ո՞ր տարին է Մայքլ Ջորդանը եկել ՆԲԱ:")</f>
        <v>Ո՞ր տարին է Մայքլ Ջորդանը եկել ՆԲԱ:</v>
      </c>
      <c r="D957" s="3" t="str">
        <f>IFERROR(__xludf.DUMMYFUNCTION("GOOGLETRANSLATE(B957,""en"",""hy"")"),"Մայքլ Ջորդանը NBA է մտել 1984 թվականին։")</f>
        <v>Մայքլ Ջորդանը NBA է մտել 1984 թվականին։</v>
      </c>
    </row>
    <row r="958">
      <c r="A958" s="1" t="s">
        <v>1913</v>
      </c>
      <c r="B958" s="2" t="s">
        <v>1914</v>
      </c>
      <c r="C958" s="3" t="str">
        <f>IFERROR(__xludf.DUMMYFUNCTION("GOOGLETRANSLATE(A958,""en"",""hy"")"),"Ո՞ր տարում հաղթեց Ֆլորիդա Մարլինսը համաշխարհային շարքում:")</f>
        <v>Ո՞ր տարում հաղթեց Ֆլորիդա Մարլինսը համաշխարհային շարքում:</v>
      </c>
      <c r="D958" s="3" t="str">
        <f>IFERROR(__xludf.DUMMYFUNCTION("GOOGLETRANSLATE(B958,""en"",""hy"")"),"Ֆլորիդայի Մարլինսը հաղթեց համաշխարհային շարքը 1997 և 2003 թվականներին:")</f>
        <v>Ֆլորիդայի Մարլինսը հաղթեց համաշխարհային շարքը 1997 և 2003 թվականներին:</v>
      </c>
    </row>
    <row r="959">
      <c r="A959" s="1" t="s">
        <v>1915</v>
      </c>
      <c r="B959" s="2" t="s">
        <v>1916</v>
      </c>
      <c r="C959" s="3" t="str">
        <f>IFERROR(__xludf.DUMMYFUNCTION("GOOGLETRANSLATE(A959,""en"",""hy"")"),"Ո՞ր ֆիլմի համար է Մարլի Մեթլինը ստացել ակադեմիայի մրցանակ:")</f>
        <v>Ո՞ր ֆիլմի համար է Մարլի Մեթլինը ստացել ակադեմիայի մրցանակ:</v>
      </c>
      <c r="D959" s="3" t="str">
        <f>IFERROR(__xludf.DUMMYFUNCTION("GOOGLETRANSLATE(B959,""en"",""hy"")"),"Մարլի Մեթլինը «Օսկար» մրցանակի է արժանացել «Փոքր Աստծո երեխաները» ֆիլմի համար։")</f>
        <v>Մարլի Մեթլինը «Օսկար» մրցանակի է արժանացել «Փոքր Աստծո երեխաները» ֆիլմի համար։</v>
      </c>
    </row>
    <row r="960">
      <c r="A960" s="1" t="s">
        <v>1917</v>
      </c>
      <c r="B960" s="2" t="s">
        <v>1918</v>
      </c>
      <c r="C960" s="3" t="str">
        <f>IFERROR(__xludf.DUMMYFUNCTION("GOOGLETRANSLATE(A960,""en"",""hy"")"),"ում հետ է հիմա նիհար Ռայմսը")</f>
        <v>ում հետ է հիմա նիհար Ռայմսը</v>
      </c>
      <c r="D960" s="3" t="str">
        <f>IFERROR(__xludf.DUMMYFUNCTION("GOOGLETRANSLATE(B960,""en"",""hy"")"),"Կներեք, ես այդ տեղեկությունը չունեմ։")</f>
        <v>Կներեք, ես այդ տեղեկությունը չունեմ։</v>
      </c>
    </row>
    <row r="961">
      <c r="A961" s="1" t="s">
        <v>1919</v>
      </c>
      <c r="B961" s="2" t="s">
        <v>1920</v>
      </c>
      <c r="C961" s="3" t="str">
        <f>IFERROR(__xludf.DUMMYFUNCTION("GOOGLETRANSLATE(A961,""en"",""hy"")"),"ով է այսօր Չինաստանի ներկայիս ղեկավարը.")</f>
        <v>ով է այսօր Չինաստանի ներկայիս ղեկավարը.</v>
      </c>
      <c r="D961" s="3" t="str">
        <f>IFERROR(__xludf.DUMMYFUNCTION("GOOGLETRANSLATE(B961,""en"",""hy"")"),"Չինաստանի ներկայիս ղեկավարը Սի Ցզինպինն է։")</f>
        <v>Չինաստանի ներկայիս ղեկավարը Սի Ցզինպինն է։</v>
      </c>
    </row>
    <row r="962">
      <c r="A962" s="1" t="s">
        <v>1921</v>
      </c>
      <c r="B962" s="2" t="s">
        <v>1922</v>
      </c>
      <c r="C962" s="3" t="str">
        <f>IFERROR(__xludf.DUMMYFUNCTION("GOOGLETRANSLATE(A962,""en"",""hy"")"),"որտեղ է գտնվում Հյուսիսային Դակոտան:")</f>
        <v>որտեղ է գտնվում Հյուսիսային Դակոտան:</v>
      </c>
      <c r="D962" s="3" t="str">
        <f>IFERROR(__xludf.DUMMYFUNCTION("GOOGLETRANSLATE(B962,""en"",""hy"")"),"Հյուսիսային Դակոտան գտնվում է Միացյալ Նահանգների միջինարևմտյան մասում:")</f>
        <v>Հյուսիսային Դակոտան գտնվում է Միացյալ Նահանգների միջինարևմտյան մասում:</v>
      </c>
    </row>
    <row r="963">
      <c r="A963" s="1" t="s">
        <v>1923</v>
      </c>
      <c r="B963" s="2" t="s">
        <v>1924</v>
      </c>
      <c r="C963" s="3" t="str">
        <f>IFERROR(__xludf.DUMMYFUNCTION("GOOGLETRANSLATE(A963,""en"",""hy"")"),"Ո՞ր երկրներն է ղեկավարել Եղիսաբեթ II թագուհին:")</f>
        <v>Ո՞ր երկրներն է ղեկավարել Եղիսաբեթ II թագուհին:</v>
      </c>
      <c r="D963" s="3" t="str">
        <f>IFERROR(__xludf.DUMMYFUNCTION("GOOGLETRANSLATE(B963,""en"",""hy"")"),"Եղիսաբեթ II թագուհին կառավարել է Միացյալ Թագավորությունը և Համագործակցության 15 այլ թագավորություններ:")</f>
        <v>Եղիսաբեթ II թագուհին կառավարել է Միացյալ Թագավորությունը և Համագործակցության 15 այլ թագավորություններ:</v>
      </c>
    </row>
    <row r="964">
      <c r="A964" s="1" t="s">
        <v>1925</v>
      </c>
      <c r="B964" s="2" t="s">
        <v>1926</v>
      </c>
      <c r="C964" s="3" t="str">
        <f>IFERROR(__xludf.DUMMYFUNCTION("GOOGLETRANSLATE(A964,""en"",""hy"")"),"ով է խաղացել Forrest Gump որպես երեխա?")</f>
        <v>ով է խաղացել Forrest Gump որպես երեխա?</v>
      </c>
      <c r="D964" s="3" t="str">
        <f>IFERROR(__xludf.DUMMYFUNCTION("GOOGLETRANSLATE(B964,""en"",""hy"")"),"Մայքլ Քոներ Համֆրիս")</f>
        <v>Մայքլ Քոներ Համֆրիս</v>
      </c>
    </row>
    <row r="965">
      <c r="A965" s="1" t="s">
        <v>1927</v>
      </c>
      <c r="B965" s="2" t="s">
        <v>1928</v>
      </c>
      <c r="C965" s="3" t="str">
        <f>IFERROR(__xludf.DUMMYFUNCTION("GOOGLETRANSLATE(A965,""en"",""hy"")"),"որտեղ է տեղի ունեցել Վիկսբուրգի ճակատամարտը:")</f>
        <v>որտեղ է տեղի ունեցել Վիկսբուրգի ճակատամարտը:</v>
      </c>
      <c r="D965" s="3" t="str">
        <f>IFERROR(__xludf.DUMMYFUNCTION("GOOGLETRANSLATE(B965,""en"",""hy"")"),"Վիկսբուրգի ճակատամարտն անցկացվել է ԱՄՆ Միսիսիպի քաղաքում։")</f>
        <v>Վիկսբուրգի ճակատամարտն անցկացվել է ԱՄՆ Միսիսիպի քաղաքում։</v>
      </c>
    </row>
    <row r="966">
      <c r="A966" s="1" t="s">
        <v>1929</v>
      </c>
      <c r="B966" s="2" t="s">
        <v>1930</v>
      </c>
      <c r="C966" s="3" t="str">
        <f>IFERROR(__xludf.DUMMYFUNCTION("GOOGLETRANSLATE(A966,""en"",""hy"")"),"ինչպիսի՞ նկարիչ է Հենրի Մատիսը:")</f>
        <v>ինչպիսի՞ նկարիչ է Հենրի Մատիսը:</v>
      </c>
      <c r="D966" s="3" t="str">
        <f>IFERROR(__xludf.DUMMYFUNCTION("GOOGLETRANSLATE(B966,""en"",""hy"")"),"Անրի Մատիսը ֆրանսիացի նկարիչ, քանդակագործ և տպագրիչ էր։")</f>
        <v>Անրի Մատիսը ֆրանսիացի նկարիչ, քանդակագործ և տպագրիչ էր։</v>
      </c>
    </row>
    <row r="967">
      <c r="A967" s="1" t="s">
        <v>1931</v>
      </c>
      <c r="B967" s="2" t="s">
        <v>1932</v>
      </c>
      <c r="C967" s="3" t="str">
        <f>IFERROR(__xludf.DUMMYFUNCTION("GOOGLETRANSLATE(A967,""en"",""hy"")"),"որո՞նք են փորող երեխաների անունները և տարիքը:")</f>
        <v>որո՞նք են փորող երեխաների անունները և տարիքը:</v>
      </c>
      <c r="D967" s="3" t="str">
        <f>IFERROR(__xludf.DUMMYFUNCTION("GOOGLETRANSLATE(B967,""en"",""hy"")"),"Դուգարի ​​երեխաների անուններն ու տարիքը տարբեր են, քանի որ նրանք ունեն 19 երեխա:")</f>
        <v>Դուգարի ​​երեխաների անուններն ու տարիքը տարբեր են, քանի որ նրանք ունեն 19 երեխա:</v>
      </c>
    </row>
    <row r="968">
      <c r="A968" s="1" t="s">
        <v>1933</v>
      </c>
      <c r="B968" s="2" t="s">
        <v>1934</v>
      </c>
      <c r="C968" s="3" t="str">
        <f>IFERROR(__xludf.DUMMYFUNCTION("GOOGLETRANSLATE(A968,""en"",""hy"")"),"որտեղ է ապրում Բեն Ստիլերը Նյու Յորքում:")</f>
        <v>որտեղ է ապրում Բեն Ստիլերը Նյու Յորքում:</v>
      </c>
      <c r="D968" s="3" t="str">
        <f>IFERROR(__xludf.DUMMYFUNCTION("GOOGLETRANSLATE(B968,""en"",""hy"")"),"Բեն Սթիլերն ապրում է Նյու Յորքի Upper West Side թաղամասում:")</f>
        <v>Բեն Սթիլերն ապրում է Նյու Յորքի Upper West Side թաղամասում:</v>
      </c>
    </row>
    <row r="969">
      <c r="A969" s="1" t="s">
        <v>1935</v>
      </c>
      <c r="B969" s="2" t="s">
        <v>1936</v>
      </c>
      <c r="C969" s="3" t="str">
        <f>IFERROR(__xludf.DUMMYFUNCTION("GOOGLETRANSLATE(A969,""en"",""hy"")"),"ո՞րն է Մեքսիկայի պաշտոնական լեզուն:")</f>
        <v>ո՞րն է Մեքսիկայի պաշտոնական լեզուն:</v>
      </c>
      <c r="D969" s="3" t="str">
        <f>IFERROR(__xludf.DUMMYFUNCTION("GOOGLETRANSLATE(B969,""en"",""hy"")"),"Մեքսիկայի պաշտոնական լեզուն իսպաներենն է։")</f>
        <v>Մեքսիկայի պաշտոնական լեզուն իսպաներենն է։</v>
      </c>
    </row>
    <row r="970">
      <c r="A970" s="1" t="s">
        <v>1937</v>
      </c>
      <c r="B970" s="2" t="s">
        <v>1938</v>
      </c>
      <c r="C970" s="3" t="str">
        <f>IFERROR(__xludf.DUMMYFUNCTION("GOOGLETRANSLATE(A970,""en"",""hy"")"),"Ո՞ր պատերազմներում է ծառայել Յուլիսիսի դրամաշնորհը:")</f>
        <v>Ո՞ր պատերազմներում է ծառայել Յուլիսիսի դրամաշնորհը:</v>
      </c>
      <c r="D970" s="3" t="str">
        <f>IFERROR(__xludf.DUMMYFUNCTION("GOOGLETRANSLATE(B970,""en"",""hy"")"),"Ուլիսես Ս. Գրանտը ծառայել է մեքսիկա-ամերիկյան և ամերիկյան քաղաքացիական պատերազմում:")</f>
        <v>Ուլիսես Ս. Գրանտը ծառայել է մեքսիկա-ամերիկյան և ամերիկյան քաղաքացիական պատերազմում:</v>
      </c>
    </row>
    <row r="971">
      <c r="A971" s="1" t="s">
        <v>1939</v>
      </c>
      <c r="B971" s="2" t="s">
        <v>1940</v>
      </c>
      <c r="C971" s="3" t="str">
        <f>IFERROR(__xludf.DUMMYFUNCTION("GOOGLETRANSLATE(A971,""en"",""hy"")"),"ով է Թենեսիի տիտանների գլխավոր մարզիչը.")</f>
        <v>ով է Թենեսիի տիտանների գլխավոր մարզիչը.</v>
      </c>
      <c r="D971" s="3" t="str">
        <f>IFERROR(__xludf.DUMMYFUNCTION("GOOGLETRANSLATE(B971,""en"",""hy"")"),"Tennessee Titans-ի գլխավոր մարզիչն է Մայք Վրաբելը։")</f>
        <v>Tennessee Titans-ի գլխավոր մարզիչն է Մայք Վրաբելը։</v>
      </c>
    </row>
    <row r="972">
      <c r="A972" s="1" t="s">
        <v>1941</v>
      </c>
      <c r="B972" s="2" t="s">
        <v>1942</v>
      </c>
      <c r="C972" s="3" t="str">
        <f>IFERROR(__xludf.DUMMYFUNCTION("GOOGLETRANSLATE(A972,""en"",""hy"")"),"ինչպիսի՞ կառավարություն ունի Ֆիջին:")</f>
        <v>ինչպիսի՞ կառավարություն ունի Ֆիջին:</v>
      </c>
      <c r="D972" s="3" t="str">
        <f>IFERROR(__xludf.DUMMYFUNCTION("GOOGLETRANSLATE(B972,""en"",""hy"")"),"Ֆիջիում խորհրդարանական ժողովրդավարություն է:")</f>
        <v>Ֆիջիում խորհրդարանական ժողովրդավարություն է:</v>
      </c>
    </row>
    <row r="973">
      <c r="A973" s="1" t="s">
        <v>1943</v>
      </c>
      <c r="B973" s="2" t="s">
        <v>1944</v>
      </c>
      <c r="C973" s="3" t="str">
        <f>IFERROR(__xludf.DUMMYFUNCTION("GOOGLETRANSLATE(A973,""en"",""hy"")"),"ի՞նչ վիճակում է տեղի ունեցել անտիետամի արյունալի ճակատամարտը.")</f>
        <v>ի՞նչ վիճակում է տեղի ունեցել անտիետամի արյունալի ճակատամարտը.</v>
      </c>
      <c r="D973" s="3" t="str">
        <f>IFERROR(__xludf.DUMMYFUNCTION("GOOGLETRANSLATE(B973,""en"",""hy"")"),"Անտիետամի արյունալի ճակատամարտը տեղի է ունեցել Մերիլենդում։")</f>
        <v>Անտիետամի արյունալի ճակատամարտը տեղի է ունեցել Մերիլենդում։</v>
      </c>
    </row>
    <row r="974">
      <c r="A974" s="1" t="s">
        <v>1945</v>
      </c>
      <c r="B974" s="2" t="s">
        <v>1946</v>
      </c>
      <c r="C974" s="3" t="str">
        <f>IFERROR(__xludf.DUMMYFUNCTION("GOOGLETRANSLATE(A974,""en"",""hy"")"),"որտեղի՞ց են ծագել վիետնամցիները:")</f>
        <v>որտեղի՞ց են ծագել վիետնամցիները:</v>
      </c>
      <c r="D974" s="3" t="str">
        <f>IFERROR(__xludf.DUMMYFUNCTION("GOOGLETRANSLATE(B974,""en"",""hy"")"),"Վիետնամցիները ծագել են Արևելյան Ասիայից:")</f>
        <v>Վիետնամցիները ծագել են Արևելյան Ասիայից:</v>
      </c>
    </row>
    <row r="975">
      <c r="A975" s="1" t="s">
        <v>1947</v>
      </c>
      <c r="B975" s="2" t="s">
        <v>1948</v>
      </c>
      <c r="C975" s="3" t="str">
        <f>IFERROR(__xludf.DUMMYFUNCTION("GOOGLETRANSLATE(A975,""en"",""hy"")"),"ով էր Դեն Քոդին")</f>
        <v>ով էր Դեն Քոդին</v>
      </c>
      <c r="D975" s="3" t="str">
        <f>IFERROR(__xludf.DUMMYFUNCTION("GOOGLETRANSLATE(B975,""en"",""hy"")"),"Դեն Քոդին Ֆ. Սքոթ Ֆիցջերալդի «Մեծն Գեթսբի» վեպի կերպարն էր։ Նա պղնձի հարուստ մագնատ էր, ով դարձավ Ջեյ Գեթսբիի դաստիարակը և նրան շքեղության ու բարձր հասարակության համը տվեց։")</f>
        <v>Դեն Քոդին Ֆ. Սքոթ Ֆիցջերալդի «Մեծն Գեթսբի» վեպի կերպարն էր։ Նա պղնձի հարուստ մագնատ էր, ով դարձավ Ջեյ Գեթսբիի դաստիարակը և նրան շքեղության ու բարձր հասարակության համը տվեց։</v>
      </c>
    </row>
    <row r="976">
      <c r="A976" s="1" t="s">
        <v>1949</v>
      </c>
      <c r="B976" s="2" t="s">
        <v>1950</v>
      </c>
      <c r="C976" s="3" t="str">
        <f>IFERROR(__xludf.DUMMYFUNCTION("GOOGLETRANSLATE(A976,""en"",""hy"")"),"ի՞նչ լեզվով են խոսում Թուրքիայում:")</f>
        <v>ի՞նչ լեզվով են խոսում Թուրքիայում:</v>
      </c>
      <c r="D976" s="3" t="str">
        <f>IFERROR(__xludf.DUMMYFUNCTION("GOOGLETRANSLATE(B976,""en"",""hy"")"),"թուրքական.")</f>
        <v>թուրքական.</v>
      </c>
    </row>
    <row r="977">
      <c r="A977" s="1" t="s">
        <v>1951</v>
      </c>
      <c r="B977" s="2" t="s">
        <v>1952</v>
      </c>
      <c r="C977" s="3" t="str">
        <f>IFERROR(__xludf.DUMMYFUNCTION("GOOGLETRANSLATE(A977,""en"",""hy"")"),"Ի՞նչ գյուտեր է արել Բենջամին Ֆրանկլինը:")</f>
        <v>Ի՞նչ գյուտեր է արել Բենջամին Ֆրանկլինը:</v>
      </c>
      <c r="D977" s="3" t="str">
        <f>IFERROR(__xludf.DUMMYFUNCTION("GOOGLETRANSLATE(B977,""en"",""hy"")"),"Բենջամին Ֆրանկլինի կողմից արված որոշ գյուտեր ներառում են կայծակաձողը, երկֆոկալները և Ֆրանկլինի վառարանը:")</f>
        <v>Բենջամին Ֆրանկլինի կողմից արված որոշ գյուտեր ներառում են կայծակաձողը, երկֆոկալները և Ֆրանկլինի վառարանը:</v>
      </c>
    </row>
    <row r="978">
      <c r="A978" s="1" t="s">
        <v>1953</v>
      </c>
      <c r="B978" s="2" t="s">
        <v>1954</v>
      </c>
      <c r="C978" s="3" t="str">
        <f>IFERROR(__xludf.DUMMYFUNCTION("GOOGLETRANSLATE(A978,""en"",""hy"")"),"ինչն էր սխալ Ջոան Քրոուֆորդի հետ:")</f>
        <v>ինչն էր սխալ Ջոան Քրոուֆորդի հետ:</v>
      </c>
      <c r="D978" s="3" t="str">
        <f>IFERROR(__xludf.DUMMYFUNCTION("GOOGLETRANSLATE(B978,""en"",""hy"")"),"Չկա վերջնական պատասխան, թե ինչն էր սխալ Ջոան Քրոուֆորդի հետ: Նա ուներ անհանգիստ անձնական կյանք և, ըստ տեղեկությունների, դժվարություններ ուներ իր հարաբերությունների և հոգեկան առողջության հետ:")</f>
        <v>Չկա վերջնական պատասխան, թե ինչն էր սխալ Ջոան Քրոուֆորդի հետ: Նա ուներ անհանգիստ անձնական կյանք և, ըստ տեղեկությունների, դժվարություններ ուներ իր հարաբերությունների և հոգեկան առողջության հետ:</v>
      </c>
    </row>
    <row r="979">
      <c r="A979" s="1" t="s">
        <v>1955</v>
      </c>
      <c r="B979" s="2" t="s">
        <v>1956</v>
      </c>
      <c r="C979" s="3" t="str">
        <f>IFERROR(__xludf.DUMMYFUNCTION("GOOGLETRANSLATE(A979,""en"",""hy"")"),"ում հետ է Դեբի Դինգլը դուրս գալիս:")</f>
        <v>ում հետ է Դեբի Դինգլը դուրս գալիս:</v>
      </c>
      <c r="D979" s="3" t="str">
        <f>IFERROR(__xludf.DUMMYFUNCTION("GOOGLETRANSLATE(B979,""en"",""hy"")"),"Դեբի Դինգլը ներկայումս դուրս է գալիս Ալ Չապմենի հետ:")</f>
        <v>Դեբի Դինգլը ներկայումս դուրս է գալիս Ալ Չապմենի հետ:</v>
      </c>
    </row>
    <row r="980">
      <c r="A980" s="1" t="s">
        <v>1957</v>
      </c>
      <c r="B980" s="2" t="s">
        <v>1958</v>
      </c>
      <c r="C980" s="3" t="str">
        <f>IFERROR(__xludf.DUMMYFUNCTION("GOOGLETRANSLATE(A980,""en"",""hy"")"),"Ո՞ր երկրից էր Անտոն վան Լևենհուկը:")</f>
        <v>Ո՞ր երկրից էր Անտոն վան Լևենհուկը:</v>
      </c>
      <c r="D980" s="3" t="str">
        <f>IFERROR(__xludf.DUMMYFUNCTION("GOOGLETRANSLATE(B980,""en"",""hy"")"),"Նիդեռլանդներ.")</f>
        <v>Նիդեռլանդներ.</v>
      </c>
    </row>
    <row r="981">
      <c r="A981" s="1" t="s">
        <v>1959</v>
      </c>
      <c r="B981" s="2" t="s">
        <v>1960</v>
      </c>
      <c r="C981" s="3" t="str">
        <f>IFERROR(__xludf.DUMMYFUNCTION("GOOGLETRANSLATE(A981,""en"",""hy"")"),"քանի՞ ժամ է Ֆրանսիայում, եթե Շոտլանդիայում առավոտյան 8-ն է:")</f>
        <v>քանի՞ ժամ է Ֆրանսիայում, եթե Շոտլանդիայում առավոտյան 8-ն է:</v>
      </c>
      <c r="D981" s="3" t="str">
        <f>IFERROR(__xludf.DUMMYFUNCTION("GOOGLETRANSLATE(B981,""en"",""hy"")"),"Ֆրանսիայում ժամը 9-ն էր:")</f>
        <v>Ֆրանսիայում ժամը 9-ն էր:</v>
      </c>
    </row>
    <row r="982">
      <c r="A982" s="1" t="s">
        <v>1961</v>
      </c>
      <c r="B982" s="2" t="s">
        <v>1962</v>
      </c>
      <c r="C982" s="3" t="str">
        <f>IFERROR(__xludf.DUMMYFUNCTION("GOOGLETRANSLATE(A982,""en"",""hy"")"),"ով խաղաց Թոդ Մենինգը մեկ կյանք ապրելու վրա:")</f>
        <v>ով խաղաց Թոդ Մենինգը մեկ կյանք ապրելու վրա:</v>
      </c>
      <c r="D982" s="3" t="str">
        <f>IFERROR(__xludf.DUMMYFUNCTION("GOOGLETRANSLATE(B982,""en"",""hy"")"),"Ռոջեր Հովարտը խաղացել է Թոդ Մենինգը «One Life to Live» ֆիլմում։")</f>
        <v>Ռոջեր Հովարտը խաղացել է Թոդ Մենինգը «One Life to Live» ֆիլմում։</v>
      </c>
    </row>
    <row r="983">
      <c r="A983" s="1" t="s">
        <v>1963</v>
      </c>
      <c r="B983" s="2" t="s">
        <v>1964</v>
      </c>
      <c r="C983" s="3" t="str">
        <f>IFERROR(__xludf.DUMMYFUNCTION("GOOGLETRANSLATE(A983,""en"",""hy"")"),"ինչից է բաղկացած Լատինական Ամերիկան")</f>
        <v>ինչից է բաղկացած Լատինական Ամերիկան</v>
      </c>
      <c r="D983" s="3" t="str">
        <f>IFERROR(__xludf.DUMMYFUNCTION("GOOGLETRANSLATE(B983,""en"",""hy"")"),"Լատինական Ամերիկան ​​բաղկացած է Ամերիկայի երկրներից, որոնք ժամանակին գաղութացվել են Իսպանիայի, Պորտուգալիայի և Ֆրանսիայի կողմից, և որտեղ հիմնականում խոսում են իսպաներեն, պորտուգալերեն կամ ֆրանսերեն:")</f>
        <v>Լատինական Ամերիկան ​​բաղկացած է Ամերիկայի երկրներից, որոնք ժամանակին գաղութացվել են Իսպանիայի, Պորտուգալիայի և Ֆրանսիայի կողմից, և որտեղ հիմնականում խոսում են իսպաներեն, պորտուգալերեն կամ ֆրանսերեն:</v>
      </c>
    </row>
    <row r="984">
      <c r="A984" s="1" t="s">
        <v>1965</v>
      </c>
      <c r="B984" s="2" t="s">
        <v>1966</v>
      </c>
      <c r="C984" s="3" t="str">
        <f>IFERROR(__xludf.DUMMYFUNCTION("GOOGLETRANSLATE(A984,""en"",""hy"")"),"ով է սուրբ Լուիս կարդինալների մենեջերը:")</f>
        <v>ով է սուրբ Լուիս կարդինալների մենեջերը:</v>
      </c>
      <c r="D984" s="3" t="str">
        <f>IFERROR(__xludf.DUMMYFUNCTION("GOOGLETRANSLATE(B984,""en"",""hy"")"),"Մայք Շիլդտ.")</f>
        <v>Մայք Շիլդտ.</v>
      </c>
    </row>
    <row r="985">
      <c r="A985" s="1" t="s">
        <v>1967</v>
      </c>
      <c r="B985" s="2" t="s">
        <v>1968</v>
      </c>
      <c r="C985" s="3" t="str">
        <f>IFERROR(__xludf.DUMMYFUNCTION("GOOGLETRANSLATE(A985,""en"",""hy"")"),"Որտե՞ղ է նկարահանվել Օրեգոնում կանգնած ինձ մոտ:")</f>
        <v>Որտե՞ղ է նկարահանվել Օրեգոնում կանգնած ինձ մոտ:</v>
      </c>
      <c r="D985" s="3" t="str">
        <f>IFERROR(__xludf.DUMMYFUNCTION("GOOGLETRANSLATE(B985,""en"",""hy"")"),"Stand by Me-ը նկարահանվել է Օրեգոնի մի քանի վայրերում, այդ թվում՝ Բրաունսվիլ, Քոթիջ Գրով և Վենետա քաղաքներում։")</f>
        <v>Stand by Me-ը նկարահանվել է Օրեգոնի մի քանի վայրերում, այդ թվում՝ Բրաունսվիլ, Քոթիջ Գրով և Վենետա քաղաքներում։</v>
      </c>
    </row>
    <row r="986">
      <c r="A986" s="1" t="s">
        <v>1969</v>
      </c>
      <c r="B986" s="2" t="s">
        <v>1970</v>
      </c>
      <c r="C986" s="3" t="str">
        <f>IFERROR(__xludf.DUMMYFUNCTION("GOOGLETRANSLATE(A986,""en"",""hy"")"),"ո՞ր երկրի համար է նավարկել vasco da gama-ն:")</f>
        <v>ո՞ր երկրի համար է նավարկել vasco da gama-ն:</v>
      </c>
      <c r="D986" s="3" t="str">
        <f>IFERROR(__xludf.DUMMYFUNCTION("GOOGLETRANSLATE(B986,""en"",""hy"")"),"Պորտուգալիա.")</f>
        <v>Պորտուգալիա.</v>
      </c>
    </row>
    <row r="987">
      <c r="A987" s="1" t="s">
        <v>1971</v>
      </c>
      <c r="B987" s="2" t="s">
        <v>1972</v>
      </c>
      <c r="C987" s="3" t="str">
        <f>IFERROR(__xludf.DUMMYFUNCTION("GOOGLETRANSLATE(A987,""en"",""hy"")"),"ինչի մասին են գրել Հարլեմի վերածննդի գրողները:")</f>
        <v>ինչի մասին են գրել Հարլեմի վերածննդի գրողները:</v>
      </c>
      <c r="D987" s="3" t="str">
        <f>IFERROR(__xludf.DUMMYFUNCTION("GOOGLETRANSLATE(B987,""en"",""hy"")"),"Հարլեմի վերածննդի գրողները գրել են աֆրոամերիկացիների փորձառությունների և մտահոգությունների մասին:")</f>
        <v>Հարլեմի վերածննդի գրողները գրել են աֆրոամերիկացիների փորձառությունների և մտահոգությունների մասին:</v>
      </c>
    </row>
    <row r="988">
      <c r="A988" s="1" t="s">
        <v>1973</v>
      </c>
      <c r="B988" s="2" t="s">
        <v>1974</v>
      </c>
      <c r="C988" s="3" t="str">
        <f>IFERROR(__xludf.DUMMYFUNCTION("GOOGLETRANSLATE(A988,""en"",""hy"")"),"ինչ լեզվով են խոսում Ջամայկայում:")</f>
        <v>ինչ լեզվով են խոսում Ջամայկայում:</v>
      </c>
      <c r="D988" s="3" t="str">
        <f>IFERROR(__xludf.DUMMYFUNCTION("GOOGLETRANSLATE(B988,""en"",""hy"")"),"Անգլերեն")</f>
        <v>Անգլերեն</v>
      </c>
    </row>
    <row r="989">
      <c r="A989" s="1" t="s">
        <v>1975</v>
      </c>
      <c r="B989" s="2" t="s">
        <v>1976</v>
      </c>
      <c r="C989" s="3" t="str">
        <f>IFERROR(__xludf.DUMMYFUNCTION("GOOGLETRANSLATE(A989,""en"",""hy"")"),"որտեղ ապրել duluth ga.")</f>
        <v>որտեղ ապրել duluth ga.</v>
      </c>
      <c r="D989" s="3" t="str">
        <f>IFERROR(__xludf.DUMMYFUNCTION("GOOGLETRANSLATE(B989,""en"",""hy"")"),"Կան շատ հիանալի թաղամասեր, որոնք պետք է հաշվի առնել, երբ որոշել եք, թե որտեղ ապրել Դուլութում, GA: Որոշ հայտնի տարբերակներ ներառում են Sugarloaf, Peachtree Industrial և Gwinnett Place:")</f>
        <v>Կան շատ հիանալի թաղամասեր, որոնք պետք է հաշվի առնել, երբ որոշել եք, թե որտեղ ապրել Դուլութում, GA: Որոշ հայտնի տարբերակներ ներառում են Sugarloaf, Peachtree Industrial և Gwinnett Place:</v>
      </c>
    </row>
    <row r="990">
      <c r="A990" s="1" t="s">
        <v>1977</v>
      </c>
      <c r="B990" s="2" t="s">
        <v>1978</v>
      </c>
      <c r="C990" s="3" t="str">
        <f>IFERROR(__xludf.DUMMYFUNCTION("GOOGLETRANSLATE(A990,""en"",""hy"")"),"որն է արժույթը Ավստրալիայում 2011 թ.")</f>
        <v>որն է արժույթը Ավստրալիայում 2011 թ.</v>
      </c>
      <c r="D990" s="3" t="str">
        <f>IFERROR(__xludf.DUMMYFUNCTION("GOOGLETRANSLATE(B990,""en"",""hy"")"),"Ավստրալիայի արժույթը 2011 թվականին ավստրալիական դոլարն էր։")</f>
        <v>Ավստրալիայի արժույթը 2011 թվականին ավստրալիական դոլարն էր։</v>
      </c>
    </row>
    <row r="991">
      <c r="A991" s="1" t="s">
        <v>1979</v>
      </c>
      <c r="B991" s="2" t="s">
        <v>1980</v>
      </c>
      <c r="C991" s="3" t="str">
        <f>IFERROR(__xludf.DUMMYFUNCTION("GOOGLETRANSLATE(A991,""en"",""hy"")"),"որտեղ է մահացել Դանիել մարգարեն")</f>
        <v>որտեղ է մահացել Դանիել մարգարեն</v>
      </c>
      <c r="D991" s="3" t="str">
        <f>IFERROR(__xludf.DUMMYFUNCTION("GOOGLETRANSLATE(B991,""en"",""hy"")"),"Դանիել մարգարեի մահվան ճշգրիտ վայրը հայտնի չէ։")</f>
        <v>Դանիել մարգարեի մահվան ճշգրիտ վայրը հայտնի չէ։</v>
      </c>
    </row>
    <row r="992">
      <c r="A992" s="1" t="s">
        <v>1981</v>
      </c>
      <c r="B992" s="2" t="s">
        <v>1982</v>
      </c>
      <c r="C992" s="3" t="str">
        <f>IFERROR(__xludf.DUMMYFUNCTION("GOOGLETRANSLATE(A992,""en"",""hy"")"),"Ո՞ր նահանգից էր Թեոդոր Ռուզվելտը:")</f>
        <v>Ո՞ր նահանգից էր Թեոդոր Ռուզվելտը:</v>
      </c>
      <c r="D992" s="3" t="str">
        <f>IFERROR(__xludf.DUMMYFUNCTION("GOOGLETRANSLATE(B992,""en"",""hy"")"),"Թեոդոր Ռուզվելտը Նյու Յորք նահանգից էր։")</f>
        <v>Թեոդոր Ռուզվելտը Նյու Յորք նահանգից էր։</v>
      </c>
    </row>
    <row r="993">
      <c r="A993" s="1" t="s">
        <v>1983</v>
      </c>
      <c r="B993" s="2" t="s">
        <v>1984</v>
      </c>
      <c r="C993" s="3" t="str">
        <f>IFERROR(__xludf.DUMMYFUNCTION("GOOGLETRANSLATE(A993,""en"",""hy"")"),"ի՞նչ է նշանակում պրիմադոննա տերմինը:")</f>
        <v>ի՞նչ է նշանակում պրիմադոննա տերմինը:</v>
      </c>
      <c r="D993" s="3" t="str">
        <f>IFERROR(__xludf.DUMMYFUNCTION("GOOGLETRANSLATE(B993,""en"",""hy"")"),"«Պրիմա դոննա» տերմինը վերաբերում է բարձր խառնվածքով կամ պահանջկոտ մարդուն, հատկապես տաղանդավոր կատարողին կամ արտիստին:")</f>
        <v>«Պրիմա դոննա» տերմինը վերաբերում է բարձր խառնվածքով կամ պահանջկոտ մարդուն, հատկապես տաղանդավոր կատարողին կամ արտիստին:</v>
      </c>
    </row>
    <row r="994">
      <c r="A994" s="1" t="s">
        <v>1985</v>
      </c>
      <c r="B994" s="2" t="s">
        <v>1986</v>
      </c>
      <c r="C994" s="3" t="str">
        <f>IFERROR(__xludf.DUMMYFUNCTION("GOOGLETRANSLATE(A994,""en"",""hy"")"),"ինչպիսի՞ կառավարման ձև ունի Բրազիլիան.")</f>
        <v>ինչպիսի՞ կառավարման ձև ունի Բրազիլիան.</v>
      </c>
      <c r="D994" s="3" t="str">
        <f>IFERROR(__xludf.DUMMYFUNCTION("GOOGLETRANSLATE(B994,""en"",""hy"")"),"Նախագահական Դաշնային Հանրապետություն.")</f>
        <v>Նախագահական Դաշնային Հանրապետություն.</v>
      </c>
    </row>
    <row r="995">
      <c r="A995" s="1" t="s">
        <v>1987</v>
      </c>
      <c r="B995" s="2" t="s">
        <v>1988</v>
      </c>
      <c r="C995" s="3" t="str">
        <f>IFERROR(__xludf.DUMMYFUNCTION("GOOGLETRANSLATE(A995,""en"",""hy"")"),"որտե՞ղ գնաց Լեբրոն Ջեյմսը ավագ դպրոց:")</f>
        <v>որտե՞ղ գնաց Լեբրոն Ջեյմսը ավագ դպրոց:</v>
      </c>
      <c r="D995" s="3" t="str">
        <f>IFERROR(__xludf.DUMMYFUNCTION("GOOGLETRANSLATE(B995,""en"",""hy"")"),"Լեբրոն Ջեյմսը գնաց Սենտ Վինսենթ-Ս. Մերի ավագ դպրոց Ակրոնում, Օհայո:")</f>
        <v>Լեբրոն Ջեյմսը գնաց Սենտ Վինսենթ-Ս. Մերի ավագ դպրոց Ակրոնում, Օհայո:</v>
      </c>
    </row>
    <row r="996">
      <c r="A996" s="1" t="s">
        <v>1989</v>
      </c>
      <c r="B996" s="2" t="s">
        <v>1990</v>
      </c>
      <c r="C996" s="3" t="str">
        <f>IFERROR(__xludf.DUMMYFUNCTION("GOOGLETRANSLATE(A996,""en"",""hy"")"),"որտեղի՞ց էր toussaint l'ouverture-ը:")</f>
        <v>որտեղի՞ց էր toussaint l'ouverture-ը:</v>
      </c>
      <c r="D996" s="3" t="str">
        <f>IFERROR(__xludf.DUMMYFUNCTION("GOOGLETRANSLATE(B996,""en"",""hy"")"),"Toussaint L'Ouverture-ը Հայիթիից էր:")</f>
        <v>Toussaint L'Ouverture-ը Հայիթիից էր:</v>
      </c>
    </row>
    <row r="997">
      <c r="A997" s="1" t="s">
        <v>1991</v>
      </c>
      <c r="B997" s="2" t="s">
        <v>1992</v>
      </c>
      <c r="C997" s="3" t="str">
        <f>IFERROR(__xludf.DUMMYFUNCTION("GOOGLETRANSLATE(A997,""en"",""hy"")"),"որտեղ են խաղում ֆլա մարլինները")</f>
        <v>որտեղ են խաղում ֆլա մարլինները</v>
      </c>
      <c r="D997" s="3" t="str">
        <f>IFERROR(__xludf.DUMMYFUNCTION("GOOGLETRANSLATE(B997,""en"",""hy"")"),"Ֆլորիդայի Մարլինսը խաղում է Մայամիի Marlins Park-ում:")</f>
        <v>Ֆլորիդայի Մարլինսը խաղում է Մայամիի Marlins Park-ում:</v>
      </c>
    </row>
    <row r="998">
      <c r="A998" s="1" t="s">
        <v>1993</v>
      </c>
      <c r="B998" s="2" t="s">
        <v>1994</v>
      </c>
      <c r="C998" s="3" t="str">
        <f>IFERROR(__xludf.DUMMYFUNCTION("GOOGLETRANSLATE(A998,""en"",""hy"")"),"ի՞նչ արվեստ է անում Վասիլի Կանդինսկին:")</f>
        <v>ի՞նչ արվեստ է անում Վասիլի Կանդինսկին:</v>
      </c>
      <c r="D998" s="3" t="str">
        <f>IFERROR(__xludf.DUMMYFUNCTION("GOOGLETRANSLATE(B998,""en"",""hy"")"),"Վասիլի Կանդինսկին հայտնի էր իր աբստրակտ արվեստով։")</f>
        <v>Վասիլի Կանդինսկին հայտնի էր իր աբստրակտ արվեստով։</v>
      </c>
    </row>
    <row r="999">
      <c r="A999" s="1" t="s">
        <v>1995</v>
      </c>
      <c r="B999" s="2" t="s">
        <v>1996</v>
      </c>
      <c r="C999" s="3" t="str">
        <f>IFERROR(__xludf.DUMMYFUNCTION("GOOGLETRANSLATE(A999,""en"",""hy"")"),"ով հաղթեց Լոնդոնի քաղաքապետի ընտրություններում 2012 թ.")</f>
        <v>ով հաղթեց Լոնդոնի քաղաքապետի ընտրություններում 2012 թ.</v>
      </c>
      <c r="D999" s="3" t="str">
        <f>IFERROR(__xludf.DUMMYFUNCTION("GOOGLETRANSLATE(B999,""en"",""hy"")"),"Բորիս Ջոնսոն.")</f>
        <v>Բորիս Ջոնսոն.</v>
      </c>
    </row>
    <row r="1000">
      <c r="A1000" s="1" t="s">
        <v>1997</v>
      </c>
      <c r="B1000" s="2" t="s">
        <v>1998</v>
      </c>
      <c r="C1000" s="3" t="str">
        <f>IFERROR(__xludf.DUMMYFUNCTION("GOOGLETRANSLATE(A1000,""en"",""hy"")"),"ով էր Արթուր Միլլերի հայրը")</f>
        <v>ով էր Արթուր Միլլերի հայրը</v>
      </c>
      <c r="D1000" s="3" t="str">
        <f>IFERROR(__xludf.DUMMYFUNCTION("GOOGLETRANSLATE(B1000,""en"",""hy"")"),"Արթուր Միլլերի հայրը Իսիդոր Միլլերն էր։")</f>
        <v>Արթուր Միլլերի հայրը Իսիդոր Միլլերն էր։</v>
      </c>
    </row>
    <row r="1001">
      <c r="A1001" s="1" t="s">
        <v>1999</v>
      </c>
      <c r="B1001" s="2" t="s">
        <v>2000</v>
      </c>
      <c r="C1001" s="3" t="str">
        <f>IFERROR(__xludf.DUMMYFUNCTION("GOOGLETRANSLATE(A1001,""en"",""hy"")"),"Ի՞նչն է ազդել Ուիլյամ Մորիսի նկարիչ դառնալու վրա:")</f>
        <v>Ի՞նչն է ազդել Ուիլյամ Մորիսի նկարիչ դառնալու վրա:</v>
      </c>
      <c r="D1001" s="3" t="str">
        <f>IFERROR(__xludf.DUMMYFUNCTION("GOOGLETRANSLATE(B1001,""en"",""hy"")"),"Ուիլյամ Մորիսը նկարիչ դառնալու վրա ազդել է բնության, միջնադարյան արվեստի և գրականության հանդեպ ունեցած իր գնահատանքով և Վիկտորիանական դարաշրջանի դիզայնն ու արհեստագործությունը բարեփոխելու ցանկությամբ:")</f>
        <v>Ուիլյամ Մորիսը նկարիչ դառնալու վրա ազդել է բնության, միջնադարյան արվեստի և գրականության հանդեպ ունեցած իր գնահատանքով և Վիկտորիանական դարաշրջանի դիզայնն ու արհեստագործությունը բարեփոխելու ցանկությամբ:</v>
      </c>
    </row>
    <row r="1002">
      <c r="A1002" s="1" t="s">
        <v>2001</v>
      </c>
      <c r="B1002" s="2" t="s">
        <v>2002</v>
      </c>
      <c r="C1002" s="3" t="str">
        <f>IFERROR(__xludf.DUMMYFUNCTION("GOOGLETRANSLATE(A1002,""en"",""hy"")"),"որտեղ են ապրում աբենակի հնդկացիները:")</f>
        <v>որտեղ են ապրում աբենակի հնդկացիները:</v>
      </c>
      <c r="D1002" s="3" t="str">
        <f>IFERROR(__xludf.DUMMYFUNCTION("GOOGLETRANSLATE(B1002,""en"",""hy"")"),"Աբենակի հնդկացիներն ապրում են ԱՄՆ-ի հյուսիս-արևելքում, հիմնականում՝ Վերմոնտում, Նյու Հեմփշիրում և Մեյնի որոշ մասերում։")</f>
        <v>Աբենակի հնդկացիներն ապրում են ԱՄՆ-ի հյուսիս-արևելքում, հիմնականում՝ Վերմոնտում, Նյու Հեմփշիրում և Մեյնի որոշ մասերում։</v>
      </c>
    </row>
    <row r="1003">
      <c r="A1003" s="1" t="s">
        <v>2003</v>
      </c>
      <c r="B1003" s="2" t="s">
        <v>2004</v>
      </c>
      <c r="C1003" s="3" t="str">
        <f>IFERROR(__xludf.DUMMYFUNCTION("GOOGLETRANSLATE(A1003,""en"",""hy"")"),"ի՞նչ սուպեր գավաթներ են նվաճել հսկաները:")</f>
        <v>ի՞նչ սուպեր գավաթներ են նվաճել հսկաները:</v>
      </c>
      <c r="D1003" s="3" t="str">
        <f>IFERROR(__xludf.DUMMYFUNCTION("GOOGLETRANSLATE(B1003,""en"",""hy"")"),"The Giants-ը հաղթել է չորս Super Bowls:")</f>
        <v>The Giants-ը հաղթել է չորս Super Bowls:</v>
      </c>
    </row>
    <row r="1004">
      <c r="A1004" s="1" t="s">
        <v>2005</v>
      </c>
      <c r="B1004" s="2" t="s">
        <v>2006</v>
      </c>
      <c r="C1004" s="3" t="str">
        <f>IFERROR(__xludf.DUMMYFUNCTION("GOOGLETRANSLATE(A1004,""en"",""hy"")"),"որտեղ է ծնվել Ռոդ Ստյուարտը")</f>
        <v>որտեղ է ծնվել Ռոդ Ստյուարտը</v>
      </c>
      <c r="D1004" s="3" t="str">
        <f>IFERROR(__xludf.DUMMYFUNCTION("GOOGLETRANSLATE(B1004,""en"",""hy"")"),"Ռոդ Ստյուարտը ծնվել է Հայգեյթում, Լոնդոն, Անգլիա:")</f>
        <v>Ռոդ Ստյուարտը ծնվել է Հայգեյթում, Լոնդոն, Անգլիա:</v>
      </c>
    </row>
    <row r="1005">
      <c r="A1005" s="1" t="s">
        <v>2007</v>
      </c>
      <c r="B1005" s="2" t="s">
        <v>2008</v>
      </c>
      <c r="C1005" s="3" t="str">
        <f>IFERROR(__xludf.DUMMYFUNCTION("GOOGLETRANSLATE(A1005,""en"",""hy"")"),"ինչի՞ համար է Ջեք Գևորգյանը բանտ նստել.")</f>
        <v>ինչի՞ համար է Ջեք Գևորգյանը բանտ նստել.</v>
      </c>
      <c r="D1005" s="3" t="str">
        <f>IFERROR(__xludf.DUMMYFUNCTION("GOOGLETRANSLATE(B1005,""en"",""hy"")"),"Ջեք Գևորգյանը բանտ է նստել անբուժելի հիվանդների ինքնասպանություններին աջակցելու համար։")</f>
        <v>Ջեք Գևորգյանը բանտ է նստել անբուժելի հիվանդների ինքնասպանություններին աջակցելու համար։</v>
      </c>
    </row>
    <row r="1006">
      <c r="A1006" s="1" t="s">
        <v>2009</v>
      </c>
      <c r="B1006" s="2" t="s">
        <v>2010</v>
      </c>
      <c r="C1006" s="3" t="str">
        <f>IFERROR(__xludf.DUMMYFUNCTION("GOOGLETRANSLATE(A1006,""en"",""hy"")"),"ո՞ր երկիրն է եվրոն օգտագործում որպես հիմնական արժույթ:")</f>
        <v>ո՞ր երկիրն է եվրոն օգտագործում որպես հիմնական արժույթ:</v>
      </c>
      <c r="D1006" s="3" t="str">
        <f>IFERROR(__xludf.DUMMYFUNCTION("GOOGLETRANSLATE(B1006,""en"",""hy"")"),"Տասնինը երկրներ որպես հիմնական արժույթ օգտագործում են եվրոն։")</f>
        <v>Տասնինը երկրներ որպես հիմնական արժույթ օգտագործում են եվրոն։</v>
      </c>
    </row>
    <row r="1007">
      <c r="A1007" s="1" t="s">
        <v>2011</v>
      </c>
      <c r="B1007" s="2" t="s">
        <v>2012</v>
      </c>
      <c r="C1007" s="3" t="str">
        <f>IFERROR(__xludf.DUMMYFUNCTION("GOOGLETRANSLATE(A1007,""en"",""hy"")"),"ով է հիմա կառավարում Թունիսը.")</f>
        <v>ով է հիմա կառավարում Թունիսը.</v>
      </c>
      <c r="D1007" s="3" t="str">
        <f>IFERROR(__xludf.DUMMYFUNCTION("GOOGLETRANSLATE(B1007,""en"",""hy"")"),"Թունիսի ներկայիս կառավարիչը նախագահ Կաիս Սաիդն է։")</f>
        <v>Թունիսի ներկայիս կառավարիչը նախագահ Կաիս Սաիդն է։</v>
      </c>
    </row>
    <row r="1008">
      <c r="A1008" s="1" t="s">
        <v>2013</v>
      </c>
      <c r="B1008" s="2" t="s">
        <v>2014</v>
      </c>
      <c r="C1008" s="3" t="str">
        <f>IFERROR(__xludf.DUMMYFUNCTION("GOOGLETRANSLATE(A1008,""en"",""hy"")"),"ով է խաղացել էովին օղակների տիրակալը ֆիլմերում:")</f>
        <v>ով է խաղացել էովին օղակների տիրակալը ֆիլմերում:</v>
      </c>
      <c r="D1008" s="3" t="str">
        <f>IFERROR(__xludf.DUMMYFUNCTION("GOOGLETRANSLATE(B1008,""en"",""hy"")"),"Միրանդա Օտտո.")</f>
        <v>Միրանդա Օտտո.</v>
      </c>
    </row>
    <row r="1009">
      <c r="A1009" s="1" t="s">
        <v>2015</v>
      </c>
      <c r="B1009" s="2" t="s">
        <v>2016</v>
      </c>
      <c r="C1009" s="3" t="str">
        <f>IFERROR(__xludf.DUMMYFUNCTION("GOOGLETRANSLATE(A1009,""en"",""hy"")"),"որտեղ է խորհրդարանը Հարավային Աֆրիկայում.")</f>
        <v>որտեղ է խորհրդարանը Հարավային Աֆրիկայում.</v>
      </c>
      <c r="D1009" s="3" t="str">
        <f>IFERROR(__xludf.DUMMYFUNCTION("GOOGLETRANSLATE(B1009,""en"",""hy"")"),"Հարավային Աֆրիկայում գտնվող խորհրդարանը գտնվում է Քեյփթաունում:")</f>
        <v>Հարավային Աֆրիկայում գտնվող խորհրդարանը գտնվում է Քեյփթաունում:</v>
      </c>
    </row>
    <row r="1010">
      <c r="A1010" s="1" t="s">
        <v>2017</v>
      </c>
      <c r="B1010" s="2" t="s">
        <v>2018</v>
      </c>
      <c r="C1010" s="3" t="str">
        <f>IFERROR(__xludf.DUMMYFUNCTION("GOOGLETRANSLATE(A1010,""en"",""hy"")"),"ի՞նչ կարևոր պաշտոն է զբաղեցրել Աբրահամ Լինքոլնը:")</f>
        <v>ի՞նչ կարևոր պաշտոն է զբաղեցրել Աբրահամ Լինքոլնը:</v>
      </c>
      <c r="D1010" s="3" t="str">
        <f>IFERROR(__xludf.DUMMYFUNCTION("GOOGLETRANSLATE(B1010,""en"",""hy"")"),"Նախագահությունը.")</f>
        <v>Նախագահությունը.</v>
      </c>
    </row>
    <row r="1011">
      <c r="A1011" s="1" t="s">
        <v>2019</v>
      </c>
      <c r="B1011" s="2" t="s">
        <v>2020</v>
      </c>
      <c r="C1011" s="3" t="str">
        <f>IFERROR(__xludf.DUMMYFUNCTION("GOOGLETRANSLATE(A1011,""en"",""hy"")"),"Ո՞ր երկիրն է եվրոն ընդունել որպես արժույթ (1 միավոր):")</f>
        <v>Ո՞ր երկիրն է եվրոն ընդունել որպես արժույթ (1 միավոր):</v>
      </c>
      <c r="D1011" s="3" t="str">
        <f>IFERROR(__xludf.DUMMYFUNCTION("GOOGLETRANSLATE(B1011,""en"",""hy"")"),"Գերմանիա")</f>
        <v>Գերմանիա</v>
      </c>
    </row>
    <row r="1012">
      <c r="A1012" s="1" t="s">
        <v>2021</v>
      </c>
      <c r="B1012" s="2" t="s">
        <v>2022</v>
      </c>
      <c r="C1012" s="3" t="str">
        <f>IFERROR(__xludf.DUMMYFUNCTION("GOOGLETRANSLATE(A1012,""en"",""hy"")"),"որտեղ է Մայքլ Ջորդանը խաղացել ավագ դպրոցի բասկետբոլ:")</f>
        <v>որտեղ է Մայքլ Ջորդանը խաղացել ավագ դպրոցի բասկետբոլ:</v>
      </c>
      <c r="D1012" s="3" t="str">
        <f>IFERROR(__xludf.DUMMYFUNCTION("GOOGLETRANSLATE(B1012,""en"",""hy"")"),"Մայքլ Ջորդանը ավագ դպրոցի բասկետբոլ է խաղացել Հյուսիսային Կարոլինայի Ուիլմինգթոնի Emsley A. Laney ավագ դպրոցում:")</f>
        <v>Մայքլ Ջորդանը ավագ դպրոցի բասկետբոլ է խաղացել Հյուսիսային Կարոլինայի Ուիլմինգթոնի Emsley A. Laney ավագ դպրոցում:</v>
      </c>
    </row>
    <row r="1013">
      <c r="A1013" s="1" t="s">
        <v>2023</v>
      </c>
      <c r="B1013" s="2" t="s">
        <v>2024</v>
      </c>
      <c r="C1013" s="3" t="str">
        <f>IFERROR(__xludf.DUMMYFUNCTION("GOOGLETRANSLATE(A1013,""en"",""hy"")"),"Ո՞ր տեսակի քաղցկեղից է մահացել Հյուլ Հաուսերը:")</f>
        <v>Ո՞ր տեսակի քաղցկեղից է մահացել Հյուլ Հաուսերը:</v>
      </c>
      <c r="D1013" s="3" t="str">
        <f>IFERROR(__xludf.DUMMYFUNCTION("GOOGLETRANSLATE(B1013,""en"",""hy"")"),"Հյուել Հաուսերը մահացել է շագանակագեղձի քաղցկեղից։")</f>
        <v>Հյուել Հաուսերը մահացել է շագանակագեղձի քաղցկեղից։</v>
      </c>
    </row>
    <row r="1014">
      <c r="A1014" s="1" t="s">
        <v>2025</v>
      </c>
      <c r="B1014" s="2" t="s">
        <v>2026</v>
      </c>
      <c r="C1014" s="3" t="str">
        <f>IFERROR(__xludf.DUMMYFUNCTION("GOOGLETRANSLATE(A1014,""en"",""hy"")"),"Ո՞ր ժամային գոտում է գտնվում Մինեապոլիսը:")</f>
        <v>Ո՞ր ժամային գոտում է գտնվում Մինեապոլիսը:</v>
      </c>
      <c r="D1014" s="3" t="str">
        <f>IFERROR(__xludf.DUMMYFUNCTION("GOOGLETRANSLATE(B1014,""en"",""hy"")"),"Մինեապոլիսը գտնվում է Կենտրոնական ժամային գոտում:")</f>
        <v>Մինեապոլիսը գտնվում է Կենտրոնական ժամային գոտում:</v>
      </c>
    </row>
    <row r="1015">
      <c r="A1015" s="1" t="s">
        <v>2027</v>
      </c>
      <c r="B1015" s="2" t="s">
        <v>2028</v>
      </c>
      <c r="C1015" s="3" t="str">
        <f>IFERROR(__xludf.DUMMYFUNCTION("GOOGLETRANSLATE(A1015,""en"",""hy"")"),"ով է Աիդան Դևիսը")</f>
        <v>ով է Աիդան Դևիսը</v>
      </c>
      <c r="D1015" s="3" t="str">
        <f>IFERROR(__xludf.DUMMYFUNCTION("GOOGLETRANSLATE(B1015,""en"",""hy"")"),"Էյդան Դևիսը պարուհի է և «Britain's Got Talent»-ի նախկին մասնակից:")</f>
        <v>Էյդան Դևիսը պարուհի է և «Britain's Got Talent»-ի նախկին մասնակից:</v>
      </c>
    </row>
    <row r="1016">
      <c r="A1016" s="1" t="s">
        <v>2029</v>
      </c>
      <c r="B1016" s="2" t="s">
        <v>2030</v>
      </c>
      <c r="C1016" s="3" t="str">
        <f>IFERROR(__xludf.DUMMYFUNCTION("GOOGLETRANSLATE(A1016,""en"",""hy"")"),"ով է Սամանթա Գիբը")</f>
        <v>ով է Սամանթա Գիբը</v>
      </c>
      <c r="D1016" s="3" t="str">
        <f>IFERROR(__xludf.DUMMYFUNCTION("GOOGLETRANSLATE(B1016,""en"",""hy"")"),"Սամանտա Գիբը Bee Gees խմբի անդամ Բարրի Գիբի դուստրն է:")</f>
        <v>Սամանտա Գիբը Bee Gees խմբի անդամ Բարրի Գիբի դուստրն է:</v>
      </c>
    </row>
    <row r="1017">
      <c r="A1017" s="1" t="s">
        <v>2031</v>
      </c>
      <c r="B1017" s="2" t="s">
        <v>2032</v>
      </c>
      <c r="C1017" s="3" t="str">
        <f>IFERROR(__xludf.DUMMYFUNCTION("GOOGLETRANSLATE(A1017,""en"",""hy"")"),"ինչ էր Նիկոլա Կոպեռնիկոսի զբաղմունքը:")</f>
        <v>ինչ էր Նիկոլա Կոպեռնիկոսի զբաղմունքը:</v>
      </c>
      <c r="D1017" s="3" t="str">
        <f>IFERROR(__xludf.DUMMYFUNCTION("GOOGLETRANSLATE(B1017,""en"",""hy"")"),"Նիկոլայ Կոպեռնիկոսը աստղագետ և մաթեմատիկոս էր։")</f>
        <v>Նիկոլայ Կոպեռնիկոսը աստղագետ և մաթեմատիկոս էր։</v>
      </c>
    </row>
    <row r="1018">
      <c r="A1018" s="1" t="s">
        <v>2033</v>
      </c>
      <c r="B1018" s="2" t="s">
        <v>2034</v>
      </c>
      <c r="C1018" s="3" t="str">
        <f>IFERROR(__xludf.DUMMYFUNCTION("GOOGLETRANSLATE(A1018,""en"",""hy"")"),"ի՞նչ է նպաստել Ռիչարդ Արքրայթը արդյունաբերական հեղափոխությանը:")</f>
        <v>ի՞նչ է նպաստել Ռիչարդ Արքրայթը արդյունաբերական հեղափոխությանը:</v>
      </c>
      <c r="D1018" s="3" t="str">
        <f>IFERROR(__xludf.DUMMYFUNCTION("GOOGLETRANSLATE(B1018,""en"",""hy"")"),"Ռիչարդ Արքրայթը նպաստեց արդյունաբերական հեղափոխությանը` հորինելով ջրով աշխատող պտտվող շրջանակը, որը նաև հայտնի է որպես ջրային շրջանակ:")</f>
        <v>Ռիչարդ Արքրայթը նպաստեց արդյունաբերական հեղափոխությանը` հորինելով ջրով աշխատող պտտվող շրջանակը, որը նաև հայտնի է որպես ջրային շրջանակ:</v>
      </c>
    </row>
    <row r="1019">
      <c r="A1019" s="1" t="s">
        <v>2035</v>
      </c>
      <c r="B1019" s="2" t="s">
        <v>2036</v>
      </c>
      <c r="C1019" s="3" t="str">
        <f>IFERROR(__xludf.DUMMYFUNCTION("GOOGLETRANSLATE(A1019,""en"",""hy"")"),"ի՞նչ արժույթ ունի Հունաստանը")</f>
        <v>ի՞նչ արժույթ ունի Հունաստանը</v>
      </c>
      <c r="D1019" s="3" t="str">
        <f>IFERROR(__xludf.DUMMYFUNCTION("GOOGLETRANSLATE(B1019,""en"",""hy"")"),"Հունաստանի արժույթը եվրոն է։")</f>
        <v>Հունաստանի արժույթը եվրոն է։</v>
      </c>
    </row>
    <row r="1020">
      <c r="A1020" s="1" t="s">
        <v>2037</v>
      </c>
      <c r="B1020" s="2" t="s">
        <v>2038</v>
      </c>
      <c r="C1020" s="3" t="str">
        <f>IFERROR(__xludf.DUMMYFUNCTION("GOOGLETRANSLATE(A1020,""en"",""hy"")"),"Ե՞րբ է «Մանչեսթեր Յունայթեդը» առաջին անգամ նվաճել գավաթը:")</f>
        <v>Ե՞րբ է «Մանչեսթեր Յունայթեդը» առաջին անգամ նվաճել գավաթը:</v>
      </c>
      <c r="D1020" s="3" t="str">
        <f>IFERROR(__xludf.DUMMYFUNCTION("GOOGLETRANSLATE(B1020,""en"",""hy"")"),"«Մանչեսթեր Յունայթեդն» առաջին անգամ գավաթ է նվաճել 1908 թվականին։")</f>
        <v>«Մանչեսթեր Յունայթեդն» առաջին անգամ գավաթ է նվաճել 1908 թվականին։</v>
      </c>
    </row>
    <row r="1021">
      <c r="A1021" s="1" t="s">
        <v>2039</v>
      </c>
      <c r="B1021" s="2" t="s">
        <v>2040</v>
      </c>
      <c r="C1021" s="3" t="str">
        <f>IFERROR(__xludf.DUMMYFUNCTION("GOOGLETRANSLATE(A1021,""en"",""hy"")"),"որտեղ է գտնվում Մոզամբիկը:")</f>
        <v>որտեղ է գտնվում Մոզամբիկը:</v>
      </c>
      <c r="D1021" s="3" t="str">
        <f>IFERROR(__xludf.DUMMYFUNCTION("GOOGLETRANSLATE(B1021,""en"",""hy"")"),"Մոզամբիկը գտնվում է հարավարևելյան Աֆրիկայում։")</f>
        <v>Մոզամբիկը գտնվում է հարավարևելյան Աֆրիկայում։</v>
      </c>
    </row>
    <row r="1022">
      <c r="A1022" s="1" t="s">
        <v>2041</v>
      </c>
      <c r="B1022" s="2" t="s">
        <v>2042</v>
      </c>
      <c r="C1022" s="3" t="str">
        <f>IFERROR(__xludf.DUMMYFUNCTION("GOOGLETRANSLATE(A1022,""en"",""hy"")"),"որտեղ է գտնվում Պանամայի Իսթմուսը:")</f>
        <v>որտեղ է գտնվում Պանամայի Իսթմուսը:</v>
      </c>
      <c r="D1022" s="3" t="str">
        <f>IFERROR(__xludf.DUMMYFUNCTION("GOOGLETRANSLATE(B1022,""en"",""hy"")"),"Պանամայի Իստմուսը գտնվում է Կենտրոնական Ամերիկայում։")</f>
        <v>Պանամայի Իստմուսը գտնվում է Կենտրոնական Ամերիկայում։</v>
      </c>
    </row>
    <row r="1023">
      <c r="A1023" s="1" t="s">
        <v>2043</v>
      </c>
      <c r="B1023" s="2" t="s">
        <v>2044</v>
      </c>
      <c r="C1023" s="3" t="str">
        <f>IFERROR(__xludf.DUMMYFUNCTION("GOOGLETRANSLATE(A1023,""en"",""hy"")"),"ինչ տեսնել Վաշինգտոնում 2 օրում:")</f>
        <v>ինչ տեսնել Վաշինգտոնում 2 օրում:</v>
      </c>
      <c r="D1023" s="3" t="str">
        <f>IFERROR(__xludf.DUMMYFUNCTION("GOOGLETRANSLATE(B1023,""en"",""hy"")"),"Վաշինգտոնում 2 օրվա ընթացքում կարելի է տեսնել մի քանի հայտնի տեսարժան վայրեր՝ Ազգային առևտրի կենտրոնը, Լինքոլնի հուշահամալիրը, Սպիտակ տունը, Սմիթսոնյան թանգարանները, Կապիտոլիումի շենքը և Վաշինգտոնի հուշարձանը:")</f>
        <v>Վաշինգտոնում 2 օրվա ընթացքում կարելի է տեսնել մի քանի հայտնի տեսարժան վայրեր՝ Ազգային առևտրի կենտրոնը, Լինքոլնի հուշահամալիրը, Սպիտակ տունը, Սմիթսոնյան թանգարանները, Կապիտոլիումի շենքը և Վաշինգտոնի հուշարձանը:</v>
      </c>
    </row>
    <row r="1024">
      <c r="A1024" s="1" t="s">
        <v>2045</v>
      </c>
      <c r="B1024" s="2" t="s">
        <v>2046</v>
      </c>
      <c r="C1024" s="3" t="str">
        <f>IFERROR(__xludf.DUMMYFUNCTION("GOOGLETRANSLATE(A1024,""en"",""hy"")"),"որտեղ է Ադրբեջանը")</f>
        <v>որտեղ է Ադրբեջանը</v>
      </c>
      <c r="D1024" s="3" t="str">
        <f>IFERROR(__xludf.DUMMYFUNCTION("GOOGLETRANSLATE(B1024,""en"",""hy"")"),"Ադրբեջանը Հարավային Կովկասի տարածաշրջանում գտնվող երկիր է, որը գտնվում է Արևելյան Եվրոպայի և Արևմտյան Ասիայի խաչմերուկում։")</f>
        <v>Ադրբեջանը Հարավային Կովկասի տարածաշրջանում գտնվող երկիր է, որը գտնվում է Արևելյան Եվրոպայի և Արևմտյան Ասիայի խաչմերուկում։</v>
      </c>
    </row>
    <row r="1025">
      <c r="A1025" s="1" t="s">
        <v>2047</v>
      </c>
      <c r="B1025" s="2" t="s">
        <v>2048</v>
      </c>
      <c r="C1025" s="3" t="str">
        <f>IFERROR(__xludf.DUMMYFUNCTION("GOOGLETRANSLATE(A1025,""en"",""hy"")"),"ինչպես են կոչվում Արգենտինայի փողերը")</f>
        <v>ինչպես են կոչվում Արգենտինայի փողերը</v>
      </c>
      <c r="D1025" s="3" t="str">
        <f>IFERROR(__xludf.DUMMYFUNCTION("GOOGLETRANSLATE(B1025,""en"",""hy"")"),"Արգենտինայի արժույթը կոչվում է արգենտինական պեսո։")</f>
        <v>Արգենտինայի արժույթը կոչվում է արգենտինական պեսո։</v>
      </c>
    </row>
    <row r="1026">
      <c r="A1026" s="1" t="s">
        <v>2049</v>
      </c>
      <c r="B1026" s="2" t="s">
        <v>2050</v>
      </c>
      <c r="C1026" s="3" t="str">
        <f>IFERROR(__xludf.DUMMYFUNCTION("GOOGLETRANSLATE(A1026,""en"",""hy"")"),"Ո՞ր քոլեջում է խաղացել Մեթ Շաուբը:")</f>
        <v>Ո՞ր քոլեջում է խաղացել Մեթ Շաուբը:</v>
      </c>
      <c r="D1026" s="3" t="str">
        <f>IFERROR(__xludf.DUMMYFUNCTION("GOOGLETRANSLATE(B1026,""en"",""hy"")"),"Մեթ Շաուբը քոլեջի ֆուտբոլ է խաղացել Վիրջինիայի համալսարանում:")</f>
        <v>Մեթ Շաուբը քոլեջի ֆուտբոլ է խաղացել Վիրջինիայի համալսարանում:</v>
      </c>
    </row>
    <row r="1027">
      <c r="A1027" s="1" t="s">
        <v>2051</v>
      </c>
      <c r="B1027" s="2" t="s">
        <v>2052</v>
      </c>
      <c r="C1027" s="3" t="str">
        <f>IFERROR(__xludf.DUMMYFUNCTION("GOOGLETRANSLATE(A1027,""en"",""hy"")"),"ինչ արեց Բելլա Աբզուգը")</f>
        <v>ինչ արեց Բելլա Աբզուգը</v>
      </c>
      <c r="D1027" s="3" t="str">
        <f>IFERROR(__xludf.DUMMYFUNCTION("GOOGLETRANSLATE(B1027,""en"",""hy"")"),"Բելլա Աբզուգը իրավաբան էր, ակտիվիստ և քաղաքական գործիչ, ով պայքարում էր կանանց իրավունքների և սոցիալական արդարության համար:")</f>
        <v>Բելլա Աբզուգը իրավաբան էր, ակտիվիստ և քաղաքական գործիչ, ով պայքարում էր կանանց իրավունքների և սոցիալական արդարության համար:</v>
      </c>
    </row>
    <row r="1028">
      <c r="A1028" s="1" t="s">
        <v>2053</v>
      </c>
      <c r="B1028" s="2" t="s">
        <v>2054</v>
      </c>
      <c r="C1028" s="3" t="str">
        <f>IFERROR(__xludf.DUMMYFUNCTION("GOOGLETRANSLATE(A1028,""en"",""hy"")"),"ինչ տեսարժան վայրեր տեսնել Մադրիդում.")</f>
        <v>ինչ տեսարժան վայրեր տեսնել Մադրիդում.</v>
      </c>
      <c r="D1028" s="3" t="str">
        <f>IFERROR(__xludf.DUMMYFUNCTION("GOOGLETRANSLATE(B1028,""en"",""hy"")"),"Մադրիդի որոշ հայտնի տեսարժան վայրերից են Թագավորական պալատը, Պրադոյի թանգարանը, Ռետիրո այգին, Պլազա Մայորը և Պուերտա դել Սոլը:")</f>
        <v>Մադրիդի որոշ հայտնի տեսարժան վայրերից են Թագավորական պալատը, Պրադոյի թանգարանը, Ռետիրո այգին, Պլազա Մայորը և Պուերտա դել Սոլը:</v>
      </c>
    </row>
    <row r="1029">
      <c r="A1029" s="1" t="s">
        <v>2055</v>
      </c>
      <c r="B1029" s="2" t="s">
        <v>2056</v>
      </c>
      <c r="C1029" s="3" t="str">
        <f>IFERROR(__xludf.DUMMYFUNCTION("GOOGLETRANSLATE(A1029,""en"",""hy"")"),"ինչ լավ բաներ է արել Անջելինա Ջոլին:")</f>
        <v>ինչ լավ բաներ է արել Անջելինա Ջոլին:</v>
      </c>
      <c r="D1029" s="3" t="str">
        <f>IFERROR(__xludf.DUMMYFUNCTION("GOOGLETRANSLATE(B1029,""en"",""hy"")"),"Անջելինա Ջոլին շատ լավ բաներ է արել, ինչպիսիք են փախստականների իրավունքների պաշտպանությունը, կանանց կրթության և առողջության խթանումը և տարբեր մարդասիրական նպատակների ներդրումն ամբողջ աշխարհում:")</f>
        <v>Անջելինա Ջոլին շատ լավ բաներ է արել, ինչպիսիք են փախստականների իրավունքների պաշտպանությունը, կանանց կրթության և առողջության խթանումը և տարբեր մարդասիրական նպատակների ներդրումն ամբողջ աշխարհում:</v>
      </c>
    </row>
    <row r="1030">
      <c r="A1030" s="1" t="s">
        <v>2057</v>
      </c>
      <c r="B1030" s="2" t="s">
        <v>2058</v>
      </c>
      <c r="C1030" s="3" t="str">
        <f>IFERROR(__xludf.DUMMYFUNCTION("GOOGLETRANSLATE(A1030,""en"",""hy"")"),"ինչ ֆիլմերում է նկարահանվել Ջերարդ Բաթլերը")</f>
        <v>ինչ ֆիլմերում է նկարահանվել Ջերարդ Բաթլերը</v>
      </c>
      <c r="D1030" s="3" t="str">
        <f>IFERROR(__xludf.DUMMYFUNCTION("GOOGLETRANSLATE(B1030,""en"",""hy"")"),"Ջերարդ Բաթլերի նկարահանած ֆիլմերից մի քանիսն են՝ «300», «Օրենքին հնազանդ քաղաքացի» և «Օպերայի ուրվականը»:")</f>
        <v>Ջերարդ Բաթլերի նկարահանած ֆիլմերից մի քանիսն են՝ «300», «Օրենքին հնազանդ քաղաքացի» և «Օպերայի ուրվականը»:</v>
      </c>
    </row>
    <row r="1031">
      <c r="A1031" s="1" t="s">
        <v>2059</v>
      </c>
      <c r="B1031" s="2" t="s">
        <v>2060</v>
      </c>
      <c r="C1031" s="3" t="str">
        <f>IFERROR(__xludf.DUMMYFUNCTION("GOOGLETRANSLATE(A1031,""en"",""hy"")"),"Ո՞ր ֆիլմերի համար է երաժշտություն գրել Հանս Զիմմերը:")</f>
        <v>Ո՞ր ֆիլմերի համար է երաժշտություն գրել Հանս Զիմմերը:</v>
      </c>
      <c r="D1031" s="3" t="str">
        <f>IFERROR(__xludf.DUMMYFUNCTION("GOOGLETRANSLATE(B1031,""en"",""hy"")"),"Հանս Զիմմերը երաժշտություն է գրել բազմաթիվ ֆիլմերի համար, այդ թվում՝ «Առյուծ արքան», «Սկիզբը», «Մութ ասպետի» եռերգությունը, «Կարիբյան ծովի ծովահենները» և «Գլադիատորը» և շատ այլ ֆիլմեր:")</f>
        <v>Հանս Զիմմերը երաժշտություն է գրել բազմաթիվ ֆիլմերի համար, այդ թվում՝ «Առյուծ արքան», «Սկիզբը», «Մութ ասպետի» եռերգությունը, «Կարիբյան ծովի ծովահենները» և «Գլադիատորը» և շատ այլ ֆիլմեր:</v>
      </c>
    </row>
    <row r="1032">
      <c r="A1032" s="1" t="s">
        <v>2061</v>
      </c>
      <c r="B1032" s="2" t="s">
        <v>2062</v>
      </c>
      <c r="C1032" s="3" t="str">
        <f>IFERROR(__xludf.DUMMYFUNCTION("GOOGLETRANSLATE(A1032,""en"",""hy"")"),"որտեղ է ծնվել Ալիս Փոլը")</f>
        <v>որտեղ է ծնվել Ալիս Փոլը</v>
      </c>
      <c r="D1032" s="3" t="str">
        <f>IFERROR(__xludf.DUMMYFUNCTION("GOOGLETRANSLATE(B1032,""en"",""hy"")"),"Էլիս Փոլը ծնվել է Մաունթ Լորելում, Նյու Ջերսի, ԱՄՆ:")</f>
        <v>Էլիս Փոլը ծնվել է Մաունթ Լորելում, Նյու Ջերսի, ԱՄՆ:</v>
      </c>
    </row>
    <row r="1033">
      <c r="A1033" s="1" t="s">
        <v>2063</v>
      </c>
      <c r="B1033" s="2" t="s">
        <v>2064</v>
      </c>
      <c r="C1033" s="3" t="str">
        <f>IFERROR(__xludf.DUMMYFUNCTION("GOOGLETRANSLATE(A1033,""en"",""hy"")"),"ինչի՞ց է մահացել Ջոն Քվինսի Ադամսը:")</f>
        <v>ինչի՞ց է մահացել Ջոն Քվինսի Ադամսը:</v>
      </c>
      <c r="D1033" s="3" t="str">
        <f>IFERROR(__xludf.DUMMYFUNCTION("GOOGLETRANSLATE(B1033,""en"",""hy"")"),"Ջոն Քուինսի Ադամսը մահացել է ինսուլտից։")</f>
        <v>Ջոն Քուինսի Ադամսը մահացել է ինսուլտից։</v>
      </c>
    </row>
    <row r="1034">
      <c r="A1034" s="1" t="s">
        <v>2065</v>
      </c>
      <c r="B1034" s="2" t="s">
        <v>2066</v>
      </c>
      <c r="C1034" s="3" t="str">
        <f>IFERROR(__xludf.DUMMYFUNCTION("GOOGLETRANSLATE(A1034,""en"",""hy"")"),"ի՞նչ է նշանակում բժշկական փորձարկում:")</f>
        <v>ի՞նչ է նշանակում բժշկական փորձարկում:</v>
      </c>
      <c r="D1034" s="3" t="str">
        <f>IFERROR(__xludf.DUMMYFUNCTION("GOOGLETRANSLATE(B1034,""en"",""hy"")"),"Միջոցների փորձարկումը Medicare-ը անհատի եկամուտների և ակտիվների գնահատման գործընթաց է՝ որոշելու նրանց իրավասությունը Medicare ծրագրի շրջանակներում որոշակի նպաստների կամ օգնության համար:")</f>
        <v>Միջոցների փորձարկումը Medicare-ը անհատի եկամուտների և ակտիվների գնահատման գործընթաց է՝ որոշելու նրանց իրավասությունը Medicare ծրագրի շրջանակներում որոշակի նպաստների կամ օգնության համար:</v>
      </c>
    </row>
    <row r="1035">
      <c r="A1035" s="1" t="s">
        <v>2067</v>
      </c>
      <c r="B1035" s="2" t="s">
        <v>2068</v>
      </c>
      <c r="C1035" s="3" t="str">
        <f>IFERROR(__xludf.DUMMYFUNCTION("GOOGLETRANSLATE(A1035,""en"",""hy"")"),"ով արեց Խուան Պոնսե դե Լեոն Մերին:")</f>
        <v>ով արեց Խուան Պոնսե դե Լեոն Մերին:</v>
      </c>
      <c r="D1035" s="3" t="str">
        <f>IFERROR(__xludf.DUMMYFUNCTION("GOOGLETRANSLATE(B1035,""en"",""hy"")"),"Խուան Պոնսե դե Լեոնն ամուսնացավ Լեոնոր Պոնսե դե Լեոն անունով մի կնոջ հետ։")</f>
        <v>Խուան Պոնսե դե Լեոնն ամուսնացավ Լեոնոր Պոնսե դե Լեոն անունով մի կնոջ հետ։</v>
      </c>
    </row>
    <row r="1036">
      <c r="A1036" s="1" t="s">
        <v>2069</v>
      </c>
      <c r="B1036" s="2" t="s">
        <v>2070</v>
      </c>
      <c r="C1036" s="3" t="str">
        <f>IFERROR(__xludf.DUMMYFUNCTION("GOOGLETRANSLATE(A1036,""en"",""hy"")"),"ո՞ր ժամային գոտին է Մեծ Բրիտանիայում:")</f>
        <v>ո՞ր ժամային գոտին է Մեծ Բրիտանիայում:</v>
      </c>
      <c r="D1036" s="3" t="str">
        <f>IFERROR(__xludf.DUMMYFUNCTION("GOOGLETRANSLATE(B1036,""en"",""hy"")"),"Մեծ Բրիտանիայում ժամային գոտին ձմռան ամիսներին Գրինվիչի միջին ժամանակն է (GMT), իսկ ամռան ամիսներին՝ բրիտանական ամառային ժամանակ (BST):")</f>
        <v>Մեծ Բրիտանիայում ժամային գոտին ձմռան ամիսներին Գրինվիչի միջին ժամանակն է (GMT), իսկ ամռան ամիսներին՝ բրիտանական ամառային ժամանակ (BST):</v>
      </c>
    </row>
    <row r="1037">
      <c r="A1037" s="1" t="s">
        <v>2071</v>
      </c>
      <c r="B1037" s="2" t="s">
        <v>2072</v>
      </c>
      <c r="C1037" s="3" t="str">
        <f>IFERROR(__xludf.DUMMYFUNCTION("GOOGLETRANSLATE(A1037,""en"",""hy"")"),"ինչպիսի՞ն է Իտալիայի քաղաքական համակարգը:")</f>
        <v>ինչպիսի՞ն է Իտալիայի քաղաքական համակարգը:</v>
      </c>
      <c r="D1037" s="3" t="str">
        <f>IFERROR(__xludf.DUMMYFUNCTION("GOOGLETRANSLATE(B1037,""en"",""hy"")"),"Իտալիայի քաղաքական համակարգը խորհրդարանական հանրապետություն է։")</f>
        <v>Իտալիայի քաղաքական համակարգը խորհրդարանական հանրապետություն է։</v>
      </c>
    </row>
    <row r="1038">
      <c r="A1038" s="1" t="s">
        <v>2073</v>
      </c>
      <c r="B1038" s="2" t="s">
        <v>2074</v>
      </c>
      <c r="C1038" s="3" t="str">
        <f>IFERROR(__xludf.DUMMYFUNCTION("GOOGLETRANSLATE(A1038,""en"",""hy"")"),"ով է Ֆրանսիայի ղեկավարը 2012թ.")</f>
        <v>ով է Ֆրանսիայի ղեկավարը 2012թ.</v>
      </c>
      <c r="D1038" s="3" t="str">
        <f>IFERROR(__xludf.DUMMYFUNCTION("GOOGLETRANSLATE(B1038,""en"",""hy"")"),"Ֆրանսուա Օլանդը Ֆրանսիայի ղեկավարն էր 2012թ.")</f>
        <v>Ֆրանսուա Օլանդը Ֆրանսիայի ղեկավարն էր 2012թ.</v>
      </c>
    </row>
    <row r="1039">
      <c r="A1039" s="1" t="s">
        <v>2075</v>
      </c>
      <c r="B1039" s="2" t="s">
        <v>2076</v>
      </c>
      <c r="C1039" s="3" t="str">
        <f>IFERROR(__xludf.DUMMYFUNCTION("GOOGLETRANSLATE(A1039,""en"",""hy"")"),"ով է Ռակել Ուելչի դուստրը")</f>
        <v>ով է Ռակել Ուելչի դուստրը</v>
      </c>
      <c r="D1039" s="3" t="str">
        <f>IFERROR(__xludf.DUMMYFUNCTION("GOOGLETRANSLATE(B1039,""en"",""hy"")"),"Ռաքել Ուելչի դուստրը Թահնի Ուելչն է:")</f>
        <v>Ռաքել Ուելչի դուստրը Թահնի Ուելչն է:</v>
      </c>
    </row>
    <row r="1040">
      <c r="A1040" s="1" t="s">
        <v>2077</v>
      </c>
      <c r="B1040" s="2" t="s">
        <v>2078</v>
      </c>
      <c r="C1040" s="3" t="str">
        <f>IFERROR(__xludf.DUMMYFUNCTION("GOOGLETRANSLATE(A1040,""en"",""hy"")"),"ի՞նչ արվեստ է ստեղծել Լեոնարդո դա Վինչին:")</f>
        <v>ի՞նչ արվեստ է ստեղծել Լեոնարդո դա Վինչին:</v>
      </c>
      <c r="D1040" s="3" t="str">
        <f>IFERROR(__xludf.DUMMYFUNCTION("GOOGLETRANSLATE(B1040,""en"",""hy"")"),"Լեոնարդո դա Վինչին արտադրել է արվեստի տարբեր տեսակներ, այդ թվում՝ նկարներ, քանդակներ և գծանկարներ։")</f>
        <v>Լեոնարդո դա Վինչին արտադրել է արվեստի տարբեր տեսակներ, այդ թվում՝ նկարներ, քանդակներ և գծանկարներ։</v>
      </c>
    </row>
    <row r="1041">
      <c r="A1041" s="1" t="s">
        <v>2079</v>
      </c>
      <c r="B1041" s="2" t="s">
        <v>2080</v>
      </c>
      <c r="C1041" s="3" t="str">
        <f>IFERROR(__xludf.DUMMYFUNCTION("GOOGLETRANSLATE(A1041,""en"",""hy"")"),"ինչի մեջ է թափվում Զամբեզի գետը.")</f>
        <v>ինչի մեջ է թափվում Զամբեզի գետը.</v>
      </c>
      <c r="D1041" s="3" t="str">
        <f>IFERROR(__xludf.DUMMYFUNCTION("GOOGLETRANSLATE(B1041,""en"",""hy"")"),"Զամբեզի գետը թափվում է Հնդկական օվկիանոս։")</f>
        <v>Զամբեզի գետը թափվում է Հնդկական օվկիանոս։</v>
      </c>
    </row>
    <row r="1042">
      <c r="A1042" s="1" t="s">
        <v>2081</v>
      </c>
      <c r="B1042" s="2" t="s">
        <v>2082</v>
      </c>
      <c r="C1042" s="3" t="str">
        <f>IFERROR(__xludf.DUMMYFUNCTION("GOOGLETRANSLATE(A1042,""en"",""hy"")"),"Ո՞ր նահանգներով է հոսում Կոնեկտիկուտ գետը:")</f>
        <v>Ո՞ր նահանգներով է հոսում Կոնեկտիկուտ գետը:</v>
      </c>
      <c r="D1042" s="3" t="str">
        <f>IFERROR(__xludf.DUMMYFUNCTION("GOOGLETRANSLATE(B1042,""en"",""hy"")"),"Կոնեկտիկուտ գետը հոսում է չորս նահանգներով՝ Կոնեկտիկուտ, Մասաչուսեթս, Վերմոնտ և Նյու Հեմփշիր։")</f>
        <v>Կոնեկտիկուտ գետը հոսում է չորս նահանգներով՝ Կոնեկտիկուտ, Մասաչուսեթս, Վերմոնտ և Նյու Հեմփշիր։</v>
      </c>
    </row>
    <row r="1043">
      <c r="A1043" s="1" t="s">
        <v>2083</v>
      </c>
      <c r="B1043" s="2" t="s">
        <v>2084</v>
      </c>
      <c r="C1043" s="3" t="str">
        <f>IFERROR(__xludf.DUMMYFUNCTION("GOOGLETRANSLATE(A1043,""en"",""hy"")"),"ինչ փողեր են օգտագործվում Մալդիվներում.")</f>
        <v>ինչ փողեր են օգտագործվում Մալդիվներում.</v>
      </c>
      <c r="D1043" s="3" t="str">
        <f>IFERROR(__xludf.DUMMYFUNCTION("GOOGLETRANSLATE(B1043,""en"",""hy"")"),"Մալդիվյան Ռուֆիա (MVR) արժույթն է, որն օգտագործվում է Մալդիվներում։")</f>
        <v>Մալդիվյան Ռուֆիա (MVR) արժույթն է, որն օգտագործվում է Մալդիվներում։</v>
      </c>
    </row>
    <row r="1044">
      <c r="A1044" s="1" t="s">
        <v>2085</v>
      </c>
      <c r="B1044" s="2" t="s">
        <v>2086</v>
      </c>
      <c r="C1044" s="3" t="str">
        <f>IFERROR(__xludf.DUMMYFUNCTION("GOOGLETRANSLATE(A1044,""en"",""hy"")"),"ինչ է Անդերսոն Կուպերը:")</f>
        <v>ինչ է Անդերսոն Կուպերը:</v>
      </c>
      <c r="D1044" s="3" t="str">
        <f>IFERROR(__xludf.DUMMYFUNCTION("GOOGLETRANSLATE(B1044,""en"",""hy"")"),"Անդերսոն Կուպերը ամերիկացի հեռուստալրագրող է և հաղորդավար։")</f>
        <v>Անդերսոն Կուպերը ամերիկացի հեռուստալրագրող է և հաղորդավար։</v>
      </c>
    </row>
    <row r="1045">
      <c r="A1045" s="1" t="s">
        <v>2087</v>
      </c>
      <c r="B1045" s="2" t="s">
        <v>2088</v>
      </c>
      <c r="C1045" s="3" t="str">
        <f>IFERROR(__xludf.DUMMYFUNCTION("GOOGLETRANSLATE(A1045,""en"",""hy"")"),"որտեղ է Մայք Լիչ մարզիչը")</f>
        <v>որտեղ է Մայք Լիչ մարզիչը</v>
      </c>
      <c r="D1045" s="3" t="str">
        <f>IFERROR(__xludf.DUMMYFUNCTION("GOOGLETRANSLATE(B1045,""en"",""hy"")"),"Մայք Լիչը ներկայումս մարզում է Միսիսիպի նահանգի համալսարանում՝ որպես ֆուտբոլի գլխավոր մարզիչ:")</f>
        <v>Մայք Լիչը ներկայումս մարզում է Միսիսիպի նահանգի համալսարանում՝ որպես ֆուտբոլի գլխավոր մարզիչ:</v>
      </c>
    </row>
    <row r="1046">
      <c r="A1046" s="1" t="s">
        <v>2089</v>
      </c>
      <c r="B1046" s="2" t="s">
        <v>2090</v>
      </c>
      <c r="C1046" s="3" t="str">
        <f>IFERROR(__xludf.DUMMYFUNCTION("GOOGLETRANSLATE(A1046,""en"",""hy"")"),"ո՞րն է Նյու Յորքի փոստային կոդը:")</f>
        <v>ո՞րն է Նյու Յորքի փոստային կոդը:</v>
      </c>
      <c r="D1046" s="3" t="str">
        <f>IFERROR(__xludf.DUMMYFUNCTION("GOOGLETRANSLATE(B1046,""en"",""hy"")"),"10001-10292 թթ")</f>
        <v>10001-10292 թթ</v>
      </c>
    </row>
    <row r="1047">
      <c r="A1047" s="1" t="s">
        <v>2091</v>
      </c>
      <c r="B1047" s="2" t="s">
        <v>2092</v>
      </c>
      <c r="C1047" s="3" t="str">
        <f>IFERROR(__xludf.DUMMYFUNCTION("GOOGLETRANSLATE(A1047,""en"",""hy"")"),"ինչ վիճակում է Մայքլ Ջ Ֆոքսը:")</f>
        <v>ինչ վիճակում է Մայքլ Ջ Ֆոքսը:</v>
      </c>
      <c r="D1047" s="3" t="str">
        <f>IFERROR(__xludf.DUMMYFUNCTION("GOOGLETRANSLATE(B1047,""en"",""hy"")"),"Մայքլ Ջ. Ֆոքսը Պարկինսոնի հիվանդություն ունի:")</f>
        <v>Մայքլ Ջ. Ֆոքսը Պարկինսոնի հիվանդություն ունի:</v>
      </c>
    </row>
    <row r="1048">
      <c r="A1048" s="1" t="s">
        <v>2093</v>
      </c>
      <c r="B1048" s="2" t="s">
        <v>2094</v>
      </c>
      <c r="C1048" s="3" t="str">
        <f>IFERROR(__xludf.DUMMYFUNCTION("GOOGLETRANSLATE(A1048,""en"",""hy"")"),"որտեղ էր ապրում Ջր Թոլքինը")</f>
        <v>որտեղ էր ապրում Ջր Թոլքինը</v>
      </c>
      <c r="D1048" s="3" t="str">
        <f>IFERROR(__xludf.DUMMYFUNCTION("GOOGLETRANSLATE(B1048,""en"",""hy"")"),"Ջ.Ռ.Ռ. Թոլքինն ապրում էր Անգլիայում։")</f>
        <v>Ջ.Ռ.Ռ. Թոլքինն ապրում էր Անգլիայում։</v>
      </c>
    </row>
    <row r="1049">
      <c r="A1049" s="1" t="s">
        <v>2095</v>
      </c>
      <c r="B1049" s="2" t="s">
        <v>2096</v>
      </c>
      <c r="C1049" s="3" t="str">
        <f>IFERROR(__xludf.DUMMYFUNCTION("GOOGLETRANSLATE(A1049,""en"",""hy"")"),"որո՞նք են Իտալիայի հիմնական լեզուները:")</f>
        <v>որո՞նք են Իտալիայի հիմնական լեզուները:</v>
      </c>
      <c r="D1049" s="3" t="str">
        <f>IFERROR(__xludf.DUMMYFUNCTION("GOOGLETRANSLATE(B1049,""en"",""hy"")"),"Իտալերենը Իտալիայի հիմնական լեզուն է։")</f>
        <v>Իտալերենը Իտալիայի հիմնական լեզուն է։</v>
      </c>
    </row>
    <row r="1050">
      <c r="A1050" s="1" t="s">
        <v>2097</v>
      </c>
      <c r="B1050" s="2" t="s">
        <v>2098</v>
      </c>
      <c r="C1050" s="3" t="str">
        <f>IFERROR(__xludf.DUMMYFUNCTION("GOOGLETRANSLATE(A1050,""en"",""hy"")"),"ինչ անել Պանամայի քաղաքային լողափում.")</f>
        <v>ինչ անել Պանամայի քաղաքային լողափում.</v>
      </c>
      <c r="D1050" s="3" t="str">
        <f>IFERROR(__xludf.DUMMYFUNCTION("GOOGLETRANSLATE(B1050,""en"",""hy"")"),"Ֆլորիդայի Պանամա Սիթի Բիչում կան տարբեր գործողություններ, ինչպիսիք են՝ այցելել լողափ, ուսումնասիրել Սենթ Էնդրյուս նահանգի այգին, փորձել ջրային սպորտաձևեր, ինչպիսիք են թիավարումը կամ ռեակտիվ դահուկը, այցելել Նավաբեկություն կղզու ջրաշխարհը, գնալ ձկնորսությո"&amp;"ւն կամ նավով զբոսնել, ուսումնասիրել Պիեր զբոսայգին գնումներ կատարելու համար և ընթրիք և դելֆինի կամ սնորքելինգի շրջագայություն:")</f>
        <v>Ֆլորիդայի Պանամա Սիթի Բիչում կան տարբեր գործողություններ, ինչպիսիք են՝ այցելել լողափ, ուսումնասիրել Սենթ Էնդրյուս նահանգի այգին, փորձել ջրային սպորտաձևեր, ինչպիսիք են թիավարումը կամ ռեակտիվ դահուկը, այցելել Նավաբեկություն կղզու ջրաշխարհը, գնալ ձկնորսություն կամ նավով զբոսնել, ուսումնասիրել Պիեր զբոսայգին գնումներ կատարելու համար և ընթրիք և դելֆինի կամ սնորքելինգի շրջագայություն:</v>
      </c>
    </row>
    <row r="1051">
      <c r="A1051" s="1" t="s">
        <v>2099</v>
      </c>
      <c r="B1051" s="2" t="s">
        <v>2100</v>
      </c>
      <c r="C1051" s="3" t="str">
        <f>IFERROR(__xludf.DUMMYFUNCTION("GOOGLETRANSLATE(A1051,""en"",""hy"")"),"ինչ է արժույթը Դոմինիկյան Հանրապետությունում:")</f>
        <v>ինչ է արժույթը Դոմինիկյան Հանրապետությունում:</v>
      </c>
      <c r="D1051" s="3" t="str">
        <f>IFERROR(__xludf.DUMMYFUNCTION("GOOGLETRANSLATE(B1051,""en"",""hy"")"),"Դոմինիկյան Հանրապետությունում արժույթը Դոմինիկյան պեսոն է (DOP):")</f>
        <v>Դոմինիկյան Հանրապետությունում արժույթը Դոմինիկյան պեսոն է (DOP):</v>
      </c>
    </row>
    <row r="1052">
      <c r="A1052" s="1" t="s">
        <v>2101</v>
      </c>
      <c r="B1052" s="2" t="s">
        <v>2102</v>
      </c>
      <c r="C1052" s="3" t="str">
        <f>IFERROR(__xludf.DUMMYFUNCTION("GOOGLETRANSLATE(A1052,""en"",""hy"")"),"որտեղ է Սան Միգել Մեքսիկան քարտեզի վրա:")</f>
        <v>որտեղ է Սան Միգել Մեքսիկան քարտեզի վրա:</v>
      </c>
      <c r="D1052" s="3" t="str">
        <f>IFERROR(__xludf.DUMMYFUNCTION("GOOGLETRANSLATE(B1052,""en"",""hy"")"),"Մեքսիկայի Սան Միգել քաղաքը գտնվում է երկրի կենտրոնական մասում։")</f>
        <v>Մեքսիկայի Սան Միգել քաղաքը գտնվում է երկրի կենտրոնական մասում։</v>
      </c>
    </row>
    <row r="1053">
      <c r="A1053" s="1" t="s">
        <v>2103</v>
      </c>
      <c r="B1053" s="2" t="s">
        <v>2104</v>
      </c>
      <c r="C1053" s="3" t="str">
        <f>IFERROR(__xludf.DUMMYFUNCTION("GOOGLETRANSLATE(A1053,""en"",""hy"")"),"որտեղ է տեղի ունեցել ցունամին Ճապոնիայում.")</f>
        <v>որտեղ է տեղի ունեցել ցունամին Ճապոնիայում.</v>
      </c>
      <c r="D1053" s="3" t="str">
        <f>IFERROR(__xludf.DUMMYFUNCTION("GOOGLETRANSLATE(B1053,""en"",""hy"")"),"Ցունամին տեղի է ունեցել Ճապոնիայում՝ հյուսիսարևելյան ափին։ Մասնավորապես, այն ազդել է Տոհոկու շրջանի վրա:")</f>
        <v>Ցունամին տեղի է ունեցել Ճապոնիայում՝ հյուսիսարևելյան ափին։ Մասնավորապես, այն ազդել է Տոհոկու շրջանի վրա:</v>
      </c>
    </row>
    <row r="1054">
      <c r="A1054" s="1" t="s">
        <v>2105</v>
      </c>
      <c r="B1054" s="2" t="s">
        <v>2106</v>
      </c>
      <c r="C1054" s="3" t="str">
        <f>IFERROR(__xludf.DUMMYFUNCTION("GOOGLETRANSLATE(A1054,""en"",""hy"")"),"որտեղ է գտնվում Գիզայի մեծ բուրգը:")</f>
        <v>որտեղ է գտնվում Գիզայի մեծ բուրգը:</v>
      </c>
      <c r="D1054" s="3" t="str">
        <f>IFERROR(__xludf.DUMMYFUNCTION("GOOGLETRANSLATE(B1054,""en"",""hy"")"),"Գիզայի մեծ բուրգը գտնվում է Եգիպտոսի Գիզայում։")</f>
        <v>Գիզայի մեծ բուրգը գտնվում է Եգիպտոսի Գիզայում։</v>
      </c>
    </row>
    <row r="1055">
      <c r="A1055" s="1" t="s">
        <v>2107</v>
      </c>
      <c r="B1055" s="2" t="s">
        <v>2108</v>
      </c>
      <c r="C1055" s="3" t="str">
        <f>IFERROR(__xludf.DUMMYFUNCTION("GOOGLETRANSLATE(A1055,""en"",""hy"")"),"ինչպիսի՞ն էր Լիամ Նիսոնի կերպարը աստղային պատերազմներում:")</f>
        <v>ինչպիսի՞ն էր Լիամ Նիսոնի կերպարը աստղային պատերազմներում:</v>
      </c>
      <c r="D1055" s="3" t="str">
        <f>IFERROR(__xludf.DUMMYFUNCTION("GOOGLETRANSLATE(B1055,""en"",""hy"")"),"«Աստղային պատերազմներ»-ում Լիամ Նիսոնի կերպարը Քվի-Գոն Ջինն էր:")</f>
        <v>«Աստղային պատերազմներ»-ում Լիամ Նիսոնի կերպարը Քվի-Գոն Ջինն էր:</v>
      </c>
    </row>
    <row r="1056">
      <c r="A1056" s="1" t="s">
        <v>2109</v>
      </c>
      <c r="B1056" s="2" t="s">
        <v>2110</v>
      </c>
      <c r="C1056" s="3" t="str">
        <f>IFERROR(__xludf.DUMMYFUNCTION("GOOGLETRANSLATE(A1056,""en"",""hy"")"),"ով է նվագում Լոյս Գրիֆինի ձայնը:")</f>
        <v>ով է նվագում Լոյս Գրիֆինի ձայնը:</v>
      </c>
      <c r="D1056" s="3" t="str">
        <f>IFERROR(__xludf.DUMMYFUNCTION("GOOGLETRANSLATE(B1056,""en"",""hy"")"),"Ալեքս Բորշտեյն.")</f>
        <v>Ալեքս Բորշտեյն.</v>
      </c>
    </row>
    <row r="1057">
      <c r="A1057" s="1" t="s">
        <v>2111</v>
      </c>
      <c r="B1057" s="2" t="s">
        <v>2112</v>
      </c>
      <c r="C1057" s="3" t="str">
        <f>IFERROR(__xludf.DUMMYFUNCTION("GOOGLETRANSLATE(A1057,""en"",""hy"")"),"ո՞ր թիմում է խաղում Սերխիո Ագուերոն")</f>
        <v>ո՞ր թիմում է խաղում Սերխիո Ագուերոն</v>
      </c>
      <c r="D1057" s="3" t="str">
        <f>IFERROR(__xludf.DUMMYFUNCTION("GOOGLETRANSLATE(B1057,""en"",""hy"")"),"Բարսելոնա.")</f>
        <v>Բարսելոնա.</v>
      </c>
    </row>
    <row r="1058">
      <c r="A1058" s="1" t="s">
        <v>2113</v>
      </c>
      <c r="B1058" s="2" t="s">
        <v>2114</v>
      </c>
      <c r="C1058" s="3" t="str">
        <f>IFERROR(__xludf.DUMMYFUNCTION("GOOGLETRANSLATE(A1058,""en"",""hy"")"),"ո՞րն է Վրաստանի մայրաքաղաքը")</f>
        <v>ո՞րն է Վրաստանի մայրաքաղաքը</v>
      </c>
      <c r="D1058" s="3" t="str">
        <f>IFERROR(__xludf.DUMMYFUNCTION("GOOGLETRANSLATE(B1058,""en"",""hy"")"),"Վրաստանի մայրաքաղաքը Թբիլիսին է։")</f>
        <v>Վրաստանի մայրաքաղաքը Թբիլիսին է։</v>
      </c>
    </row>
    <row r="1059">
      <c r="A1059" s="1" t="s">
        <v>2115</v>
      </c>
      <c r="B1059" s="2" t="s">
        <v>2116</v>
      </c>
      <c r="C1059" s="3" t="str">
        <f>IFERROR(__xludf.DUMMYFUNCTION("GOOGLETRANSLATE(A1059,""en"",""hy"")"),"ե՞րբ են դադարեցրել ֆորդ ռեյնջերներ արտադրել։")</f>
        <v>ե՞րբ են դադարեցրել ֆորդ ռեյնջերներ արտադրել։</v>
      </c>
      <c r="D1059" s="3" t="str">
        <f>IFERROR(__xludf.DUMMYFUNCTION("GOOGLETRANSLATE(B1059,""en"",""hy"")"),"ԱՄՆ շուկայի համար Ford Rangers-ի արտադրությունը դադարեցվել է 2011 թվականի դեկտեմբերին։")</f>
        <v>ԱՄՆ շուկայի համար Ford Rangers-ի արտադրությունը դադարեցվել է 2011 թվականի դեկտեմբերին։</v>
      </c>
    </row>
    <row r="1060">
      <c r="A1060" s="1" t="s">
        <v>2117</v>
      </c>
      <c r="B1060" s="2" t="s">
        <v>2118</v>
      </c>
      <c r="C1060" s="3" t="str">
        <f>IFERROR(__xludf.DUMMYFUNCTION("GOOGLETRANSLATE(A1060,""en"",""hy"")"),"ինչ գույնի են Մայլի Սայրուսի կարմիր մազերը:")</f>
        <v>ինչ գույնի են Մայլի Սայրուսի կարմիր մազերը:</v>
      </c>
      <c r="D1060" s="3" t="str">
        <f>IFERROR(__xludf.DUMMYFUNCTION("GOOGLETRANSLATE(B1060,""en"",""hy"")"),"Մայլի Սայրուսի մազերը նարնջագույն-կարմիր են։")</f>
        <v>Մայլի Սայրուսի մազերը նարնջագույն-կարմիր են։</v>
      </c>
    </row>
    <row r="1061">
      <c r="A1061" s="1" t="s">
        <v>2119</v>
      </c>
      <c r="B1061" s="2" t="s">
        <v>2120</v>
      </c>
      <c r="C1061" s="3" t="str">
        <f>IFERROR(__xludf.DUMMYFUNCTION("GOOGLETRANSLATE(A1061,""en"",""hy"")"),"ով է ԱՄՆ-ի ներկայիս գլխավոր դատավորը. գերագույն դատարան?")</f>
        <v>ով է ԱՄՆ-ի ներկայիս գլխավոր դատավորը. գերագույն դատարան?</v>
      </c>
      <c r="D1061" s="3" t="str">
        <f>IFERROR(__xludf.DUMMYFUNCTION("GOOGLETRANSLATE(B1061,""en"",""hy"")"),"ԱՄՆ Գերագույն դատարանի ներկայիս գլխավոր դատավորը Ջոն Ռոբերթս կրտսերն է:")</f>
        <v>ԱՄՆ Գերագույն դատարանի ներկայիս գլխավոր դատավորը Ջոն Ռոբերթս կրտսերն է:</v>
      </c>
    </row>
    <row r="1062">
      <c r="A1062" s="1" t="s">
        <v>2121</v>
      </c>
      <c r="B1062" s="2" t="s">
        <v>2122</v>
      </c>
      <c r="C1062" s="3" t="str">
        <f>IFERROR(__xludf.DUMMYFUNCTION("GOOGLETRANSLATE(A1062,""en"",""hy"")"),"ով է Սյուզան Սենտ Ջեյմսը")</f>
        <v>ով է Սյուզան Սենտ Ջեյմսը</v>
      </c>
      <c r="D1062" s="3" t="str">
        <f>IFERROR(__xludf.DUMMYFUNCTION("GOOGLETRANSLATE(B1062,""en"",""hy"")"),"Սյուզան Սենտ Ջեյմսը ամերիկացի դերասանուհի է։")</f>
        <v>Սյուզան Սենտ Ջեյմսը ամերիկացի դերասանուհի է։</v>
      </c>
    </row>
    <row r="1063">
      <c r="A1063" s="1" t="s">
        <v>2123</v>
      </c>
      <c r="B1063" s="2" t="s">
        <v>2124</v>
      </c>
      <c r="C1063" s="3" t="str">
        <f>IFERROR(__xludf.DUMMYFUNCTION("GOOGLETRANSLATE(A1063,""en"",""hy"")"),"ինչ է Քրիս Փոլի որդու անունը:")</f>
        <v>ինչ է Քրիս Փոլի որդու անունը:</v>
      </c>
      <c r="D1063" s="3" t="str">
        <f>IFERROR(__xludf.DUMMYFUNCTION("GOOGLETRANSLATE(B1063,""en"",""hy"")"),"Քրիս Փոլի որդու անունը Քրիստոֆեր Էմանուել Պողոս II է։")</f>
        <v>Քրիս Փոլի որդու անունը Քրիստոֆեր Էմանուել Պողոս II է։</v>
      </c>
    </row>
    <row r="1064">
      <c r="A1064" s="1" t="s">
        <v>2125</v>
      </c>
      <c r="B1064" s="2" t="s">
        <v>2126</v>
      </c>
      <c r="C1064" s="3" t="str">
        <f>IFERROR(__xludf.DUMMYFUNCTION("GOOGLETRANSLATE(A1064,""en"",""hy"")"),"ինչ է հորինել Էյնշտեյնը.")</f>
        <v>ինչ է հորինել Էյնշտեյնը.</v>
      </c>
      <c r="D1064" s="3" t="str">
        <f>IFERROR(__xludf.DUMMYFUNCTION("GOOGLETRANSLATE(B1064,""en"",""hy"")"),"Ալբերտ Էյնշտեյնին է վերագրվում հարաբերականության տեսության հայտնագործումը, որը հեղափոխեց տարածության, ժամանակի և գրավիտացիայի մեր պատկերացումները:")</f>
        <v>Ալբերտ Էյնշտեյնին է վերագրվում հարաբերականության տեսության հայտնագործումը, որը հեղափոխեց տարածության, ժամանակի և գրավիտացիայի մեր պատկերացումները:</v>
      </c>
    </row>
    <row r="1065">
      <c r="A1065" s="1" t="s">
        <v>2127</v>
      </c>
      <c r="B1065" s="2" t="s">
        <v>2128</v>
      </c>
      <c r="C1065" s="3" t="str">
        <f>IFERROR(__xludf.DUMMYFUNCTION("GOOGLETRANSLATE(A1065,""en"",""hy"")"),"ով է Ջոշ Հաթչերսոնը խաղում քաղցի խաղերում:")</f>
        <v>ով է Ջոշ Հաթչերսոնը խաղում քաղցի խաղերում:</v>
      </c>
      <c r="D1065" s="3" t="str">
        <f>IFERROR(__xludf.DUMMYFUNCTION("GOOGLETRANSLATE(B1065,""en"",""hy"")"),"Ջոշ Հաթչերսոնը «Քաղցած խաղերում» մարմնավորում է Փիտա Մելարկին։")</f>
        <v>Ջոշ Հաթչերսոնը «Քաղցած խաղերում» մարմնավորում է Փիտա Մելարկին։</v>
      </c>
    </row>
    <row r="1066">
      <c r="A1066" s="1" t="s">
        <v>2129</v>
      </c>
      <c r="B1066" s="2" t="s">
        <v>2130</v>
      </c>
      <c r="C1066" s="3" t="str">
        <f>IFERROR(__xludf.DUMMYFUNCTION("GOOGLETRANSLATE(A1066,""en"",""hy"")"),"որտեղ ուտել Մայամի Ֆլորիդայում:")</f>
        <v>որտեղ ուտել Մայամի Ֆլորիդայում:</v>
      </c>
      <c r="D1066" s="3" t="str">
        <f>IFERROR(__xludf.DUMMYFUNCTION("GOOGLETRANSLATE(B1066,""en"",""hy"")"),"Ֆլորիդայի Մայամիում կան շատ հիանալի ռեստորաններ: Որոշ հայտնի տարբերակները ներառում են Joe's Stone Crab-ը, Versailles Cuban Restaurant-ը և Coyo Taco-ն:")</f>
        <v>Ֆլորիդայի Մայամիում կան շատ հիանալի ռեստորաններ: Որոշ հայտնի տարբերակները ներառում են Joe's Stone Crab-ը, Versailles Cuban Restaurant-ը և Coyo Taco-ն:</v>
      </c>
    </row>
    <row r="1067">
      <c r="A1067" s="1" t="s">
        <v>2131</v>
      </c>
      <c r="B1067" s="2" t="s">
        <v>2132</v>
      </c>
      <c r="C1067" s="3" t="str">
        <f>IFERROR(__xludf.DUMMYFUNCTION("GOOGLETRANSLATE(A1067,""en"",""hy"")"),"ինչպես է կոչվում Կոլորադոյի պետական ​​դրոշը:")</f>
        <v>ինչպես է կոչվում Կոլորադոյի պետական ​​դրոշը:</v>
      </c>
      <c r="D1067" s="3" t="str">
        <f>IFERROR(__xludf.DUMMYFUNCTION("GOOGLETRANSLATE(B1067,""en"",""hy"")"),"Կոլորադոյի պետական ​​դրոշը կոչվում է Կոլորադոյի նահանգի դրոշ:")</f>
        <v>Կոլորադոյի պետական ​​դրոշը կոչվում է Կոլորադոյի նահանգի դրոշ:</v>
      </c>
    </row>
    <row r="1068">
      <c r="A1068" s="1" t="s">
        <v>2133</v>
      </c>
      <c r="B1068" s="2" t="s">
        <v>2134</v>
      </c>
      <c r="C1068" s="3" t="str">
        <f>IFERROR(__xludf.DUMMYFUNCTION("GOOGLETRANSLATE(A1068,""en"",""hy"")"),"ով է խաղում Քլեր պարտվածում:")</f>
        <v>ով է խաղում Քլեր պարտվածում:</v>
      </c>
      <c r="D1068" s="3" t="str">
        <f>IFERROR(__xludf.DUMMYFUNCTION("GOOGLETRANSLATE(B1068,""en"",""hy"")"),"Էմիլի դե Ռավինը խաղում է Կլերին Lost-ում:")</f>
        <v>Էմիլի դե Ռավինը խաղում է Կլերին Lost-ում:</v>
      </c>
    </row>
    <row r="1069">
      <c r="A1069" s="1" t="s">
        <v>2135</v>
      </c>
      <c r="B1069" s="2" t="s">
        <v>2136</v>
      </c>
      <c r="C1069" s="3" t="str">
        <f>IFERROR(__xludf.DUMMYFUNCTION("GOOGLETRANSLATE(A1069,""en"",""hy"")"),"ովքեր են Նյու Ջերսիի սենատորները")</f>
        <v>ովքեր են Նյու Ջերսիի սենատորները</v>
      </c>
      <c r="D1069" s="3" t="str">
        <f>IFERROR(__xludf.DUMMYFUNCTION("GOOGLETRANSLATE(B1069,""en"",""hy"")"),"Քորի Բուկերը և Ռոբերտ Մենենդեսը Նյու Ջերսիի սենատորներն են։")</f>
        <v>Քորի Բուկերը և Ռոբերտ Մենենդեսը Նյու Ջերսիի սենատորներն են։</v>
      </c>
    </row>
    <row r="1070">
      <c r="A1070" s="1" t="s">
        <v>2137</v>
      </c>
      <c r="B1070" s="2" t="s">
        <v>2138</v>
      </c>
      <c r="C1070" s="3" t="str">
        <f>IFERROR(__xludf.DUMMYFUNCTION("GOOGLETRANSLATE(A1070,""en"",""hy"")"),"ո՞վ է խաղում Ջեյմի Քեմփբել Բաուերը լուսաբացին:")</f>
        <v>ո՞վ է խաղում Ջեյմի Քեմփբել Բաուերը լուսաբացին:</v>
      </c>
      <c r="D1070" s="3" t="str">
        <f>IFERROR(__xludf.DUMMYFUNCTION("GOOGLETRANSLATE(B1070,""en"",""hy"")"),"Ջեյմի Քեմփբել Բաուերը «Breaking Dawn»-ում մարմնավորում է Կայուսի կերպարը:")</f>
        <v>Ջեյմի Քեմփբել Բաուերը «Breaking Dawn»-ում մարմնավորում է Կայուսի կերպարը:</v>
      </c>
    </row>
    <row r="1071">
      <c r="A1071" s="1" t="s">
        <v>2139</v>
      </c>
      <c r="B1071" s="2" t="s">
        <v>1269</v>
      </c>
      <c r="C1071" s="3" t="str">
        <f>IFERROR(__xludf.DUMMYFUNCTION("GOOGLETRANSLATE(A1071,""en"",""hy"")"),"ինչ լեզվով են դանիացիները")</f>
        <v>ինչ լեզվով են դանիացիները</v>
      </c>
      <c r="D1071" s="3" t="str">
        <f>IFERROR(__xludf.DUMMYFUNCTION("GOOGLETRANSLATE(B1071,""en"",""hy"")"),"Դանիայի պաշտոնական լեզուն դանիերենն է։")</f>
        <v>Դանիայի պաշտոնական լեզուն դանիերենն է։</v>
      </c>
    </row>
    <row r="1072">
      <c r="A1072" s="1" t="s">
        <v>2140</v>
      </c>
      <c r="B1072" s="2" t="s">
        <v>2141</v>
      </c>
      <c r="C1072" s="3" t="str">
        <f>IFERROR(__xludf.DUMMYFUNCTION("GOOGLETRANSLATE(A1072,""en"",""hy"")"),"որտեղից է գալիս Մարի Կյուրին:")</f>
        <v>որտեղից է գալիս Մարի Կյուրին:</v>
      </c>
      <c r="D1072" s="3" t="str">
        <f>IFERROR(__xludf.DUMMYFUNCTION("GOOGLETRANSLATE(B1072,""en"",""hy"")"),"Մարի Կյուրին եկել է Լեհաստանից։")</f>
        <v>Մարի Կյուրին եկել է Լեհաստանից։</v>
      </c>
    </row>
    <row r="1073">
      <c r="A1073" s="1" t="s">
        <v>2142</v>
      </c>
      <c r="B1073" s="2" t="s">
        <v>2143</v>
      </c>
      <c r="C1073" s="3" t="str">
        <f>IFERROR(__xludf.DUMMYFUNCTION("GOOGLETRANSLATE(A1073,""en"",""hy"")"),"ով է Facebook-ի հիմնադիրը")</f>
        <v>ով է Facebook-ի հիմնադիրը</v>
      </c>
      <c r="D1073" s="3" t="str">
        <f>IFERROR(__xludf.DUMMYFUNCTION("GOOGLETRANSLATE(B1073,""en"",""hy"")"),"Մարկ Ցուկերբերգը.")</f>
        <v>Մարկ Ցուկերբերգը.</v>
      </c>
    </row>
    <row r="1074">
      <c r="A1074" s="1" t="s">
        <v>2144</v>
      </c>
      <c r="B1074" s="2" t="s">
        <v>2145</v>
      </c>
      <c r="C1074" s="3" t="str">
        <f>IFERROR(__xludf.DUMMYFUNCTION("GOOGLETRANSLATE(A1074,""en"",""hy"")"),"ինչ փող եք օգտագործում Արուբայում:")</f>
        <v>ինչ փող եք օգտագործում Արուբայում:</v>
      </c>
      <c r="D1074" s="3" t="str">
        <f>IFERROR(__xludf.DUMMYFUNCTION("GOOGLETRANSLATE(B1074,""en"",""hy"")"),"Արուբան որպես արժույթ օգտագործում է Արուբանի ֆլորինը։")</f>
        <v>Արուբան որպես արժույթ օգտագործում է Արուբանի ֆլորինը։</v>
      </c>
    </row>
    <row r="1075">
      <c r="A1075" s="1" t="s">
        <v>2146</v>
      </c>
      <c r="B1075" s="2" t="s">
        <v>2147</v>
      </c>
      <c r="C1075" s="3" t="str">
        <f>IFERROR(__xludf.DUMMYFUNCTION("GOOGLETRANSLATE(A1075,""en"",""hy"")"),"ինչ լեզվով են խոսում Կոստա Ռիկայում:")</f>
        <v>ինչ լեզվով են խոսում Կոստա Ռիկայում:</v>
      </c>
      <c r="D1075" s="3" t="str">
        <f>IFERROR(__xludf.DUMMYFUNCTION("GOOGLETRANSLATE(B1075,""en"",""hy"")"),"Կոստա Ռիկայում խոսվող պաշտոնական լեզուն իսպաներենն է։")</f>
        <v>Կոստա Ռիկայում խոսվող պաշտոնական լեզուն իսպաներենն է։</v>
      </c>
    </row>
    <row r="1076">
      <c r="A1076" s="1" t="s">
        <v>2148</v>
      </c>
      <c r="B1076" s="2" t="s">
        <v>2149</v>
      </c>
      <c r="C1076" s="3" t="str">
        <f>IFERROR(__xludf.DUMMYFUNCTION("GOOGLETRANSLATE(A1076,""en"",""hy"")"),"ինչ երաժշտություն է նվագում Ջոն Մայերը")</f>
        <v>ինչ երաժշտություն է նվագում Ջոն Մայերը</v>
      </c>
      <c r="D1076" s="3" t="str">
        <f>IFERROR(__xludf.DUMMYFUNCTION("GOOGLETRANSLATE(B1076,""en"",""hy"")"),"Ջոն Մայերը նվագում է փոփ, ռոք, բլյուզ և ֆոլկ երաժշտության միքս:")</f>
        <v>Ջոն Մայերը նվագում է փոփ, ռոք, բլյուզ և ֆոլկ երաժշտության միքս:</v>
      </c>
    </row>
    <row r="1077">
      <c r="A1077" s="1" t="s">
        <v>2150</v>
      </c>
      <c r="B1077" s="2" t="s">
        <v>2151</v>
      </c>
      <c r="C1077" s="3" t="str">
        <f>IFERROR(__xludf.DUMMYFUNCTION("GOOGLETRANSLATE(A1077,""en"",""hy"")"),"ինչ է Լիլ Ուեյնի իրական անունը:")</f>
        <v>ինչ է Լիլ Ուեյնի իրական անունը:</v>
      </c>
      <c r="D1077" s="3" t="str">
        <f>IFERROR(__xludf.DUMMYFUNCTION("GOOGLETRANSLATE(B1077,""en"",""hy"")"),"Լիլ Ուեյնի իսկական անունը Դուեյն Մայքլ Քարթեր կրտսեր է։")</f>
        <v>Լիլ Ուեյնի իսկական անունը Դուեյն Մայքլ Քարթեր կրտսեր է։</v>
      </c>
    </row>
    <row r="1078">
      <c r="A1078" s="1" t="s">
        <v>2152</v>
      </c>
      <c r="B1078" s="2" t="s">
        <v>2153</v>
      </c>
      <c r="C1078" s="3" t="str">
        <f>IFERROR(__xludf.DUMMYFUNCTION("GOOGLETRANSLATE(A1078,""en"",""hy"")"),"ինչպիսի՞ն է մեր քաղաքական համակարգը.")</f>
        <v>ինչպիսի՞ն է մեր քաղաքական համակարգը.</v>
      </c>
      <c r="D1078" s="3" t="str">
        <f>IFERROR(__xludf.DUMMYFUNCTION("GOOGLETRANSLATE(B1078,""en"",""hy"")"),"ԱՄՆ-ի քաղաքական համակարգը դաշնային նախագահական սահմանադրական հանրապետություն է։")</f>
        <v>ԱՄՆ-ի քաղաքական համակարգը դաշնային նախագահական սահմանադրական հանրապետություն է։</v>
      </c>
    </row>
    <row r="1079">
      <c r="A1079" s="1" t="s">
        <v>2154</v>
      </c>
      <c r="B1079" s="2" t="s">
        <v>2155</v>
      </c>
      <c r="C1079" s="3" t="str">
        <f>IFERROR(__xludf.DUMMYFUNCTION("GOOGLETRANSLATE(A1079,""en"",""hy"")"),"ինչ կրոններ են դավանում Աֆղանստանում:")</f>
        <v>ինչ կրոններ են դավանում Աֆղանստանում:</v>
      </c>
      <c r="D1079" s="3" t="str">
        <f>IFERROR(__xludf.DUMMYFUNCTION("GOOGLETRANSLATE(B1079,""en"",""hy"")"),"Աֆղանստանում կիրառվող հիմնական կրոնը իսլամն է։")</f>
        <v>Աֆղանստանում կիրառվող հիմնական կրոնը իսլամն է։</v>
      </c>
    </row>
    <row r="1080">
      <c r="A1080" s="1" t="s">
        <v>2156</v>
      </c>
      <c r="B1080" s="2" t="s">
        <v>2157</v>
      </c>
      <c r="C1080" s="3" t="str">
        <f>IFERROR(__xludf.DUMMYFUNCTION("GOOGLETRANSLATE(A1080,""en"",""hy"")"),"որտեղ է ցուցադրվում 2012 համաշխարհային սերիալը.")</f>
        <v>որտեղ է ցուցադրվում 2012 համաշխարհային սերիալը.</v>
      </c>
      <c r="D1080" s="3" t="str">
        <f>IFERROR(__xludf.DUMMYFUNCTION("GOOGLETRANSLATE(B1080,""en"",""hy"")"),"World Series 2012-ը անցկացվել է Կոմերիկա Պարկում Դեթրոյթում, Միչիգան ​​և AT&amp;T Park Սան Ֆրանցիսկոյում, Կալիֆորնիա:")</f>
        <v>World Series 2012-ը անցկացվել է Կոմերիկա Պարկում Դեթրոյթում, Միչիգան ​​և AT&amp;T Park Սան Ֆրանցիսկոյում, Կալիֆորնիա:</v>
      </c>
    </row>
    <row r="1081">
      <c r="A1081" s="1" t="s">
        <v>2158</v>
      </c>
      <c r="B1081" s="2" t="s">
        <v>2159</v>
      </c>
      <c r="C1081" s="3" t="str">
        <f>IFERROR(__xludf.DUMMYFUNCTION("GOOGLETRANSLATE(A1081,""en"",""hy"")"),"ինչ լեզվով են խոսում իռլանդերենը")</f>
        <v>ինչ լեզվով են խոսում իռլանդերենը</v>
      </c>
      <c r="D1081" s="3" t="str">
        <f>IFERROR(__xludf.DUMMYFUNCTION("GOOGLETRANSLATE(B1081,""en"",""hy"")"),"Իռլանդացիները խոսում են իռլանդական լեզվով, որը նաև հայտնի է որպես գելերեն։")</f>
        <v>Իռլանդացիները խոսում են իռլանդական լեզվով, որը նաև հայտնի է որպես գելերեն։</v>
      </c>
    </row>
    <row r="1082">
      <c r="A1082" s="1" t="s">
        <v>2160</v>
      </c>
      <c r="B1082" s="2" t="s">
        <v>2161</v>
      </c>
      <c r="C1082" s="3" t="str">
        <f>IFERROR(__xludf.DUMMYFUNCTION("GOOGLETRANSLATE(A1082,""en"",""hy"")"),"Ինչ քաղցկեղից է մահացել Օդրի Հեփբերնը:")</f>
        <v>Ինչ քաղցկեղից է մահացել Օդրի Հեփբերնը:</v>
      </c>
      <c r="D1082" s="3" t="str">
        <f>IFERROR(__xludf.DUMMYFUNCTION("GOOGLETRANSLATE(B1082,""en"",""hy"")"),"Օդրի Հեփբերնը մահացել է կույր աղիքի քաղցկեղից")</f>
        <v>Օդրի Հեփբերնը մահացել է կույր աղիքի քաղցկեղից</v>
      </c>
    </row>
    <row r="1083">
      <c r="A1083" s="1" t="s">
        <v>2162</v>
      </c>
      <c r="B1083" s="2" t="s">
        <v>2163</v>
      </c>
      <c r="C1083" s="3" t="str">
        <f>IFERROR(__xludf.DUMMYFUNCTION("GOOGLETRANSLATE(A1083,""en"",""hy"")"),"որտեղ է այժմ ապրում Ալեն Այվերսոնը")</f>
        <v>որտեղ է այժմ ապրում Ալեն Այվերսոնը</v>
      </c>
      <c r="D1083" s="3" t="str">
        <f>IFERROR(__xludf.DUMMYFUNCTION("GOOGLETRANSLATE(B1083,""en"",""hy"")"),"Ներողություն եմ խնդրում, ես չունեմ անհատների մասին անձնական տեղեկություններ, քանի դեռ դրանք չեն կիսվել ինձ հետ մեր զրույցի ընթացքում:")</f>
        <v>Ներողություն եմ խնդրում, ես չունեմ անհատների մասին անձնական տեղեկություններ, քանի դեռ դրանք չեն կիսվել ինձ հետ մեր զրույցի ընթացքում:</v>
      </c>
    </row>
    <row r="1084">
      <c r="A1084" s="1" t="s">
        <v>2164</v>
      </c>
      <c r="B1084" s="2" t="s">
        <v>2165</v>
      </c>
      <c r="C1084" s="3" t="str">
        <f>IFERROR(__xludf.DUMMYFUNCTION("GOOGLETRANSLATE(A1084,""en"",""hy"")"),"որտեղ է ծնվել Դուայթ Հովարդը")</f>
        <v>որտեղ է ծնվել Դուայթ Հովարդը</v>
      </c>
      <c r="D1084" s="3" t="str">
        <f>IFERROR(__xludf.DUMMYFUNCTION("GOOGLETRANSLATE(B1084,""en"",""hy"")"),"Դուայթ Հովարդը ծնվել է Ատլանտայում, Ջորջիա, ԱՄՆ։")</f>
        <v>Դուայթ Հովարդը ծնվել է Ատլանտայում, Ջորջիա, ԱՄՆ։</v>
      </c>
    </row>
    <row r="1085">
      <c r="A1085" s="1" t="s">
        <v>2166</v>
      </c>
      <c r="B1085" s="2" t="s">
        <v>2167</v>
      </c>
      <c r="C1085" s="3" t="str">
        <f>IFERROR(__xludf.DUMMYFUNCTION("GOOGLETRANSLATE(A1085,""en"",""hy"")"),"որտեղ են ապրում գայանցիները")</f>
        <v>որտեղ են ապրում գայանցիները</v>
      </c>
      <c r="D1085" s="3" t="str">
        <f>IFERROR(__xludf.DUMMYFUNCTION("GOOGLETRANSLATE(B1085,""en"",""hy"")"),"Գայանցիները հիմնականում ապրում են Գայանա քաղաքում, որը գտնվում է Հարավային Ամերիկայի հյուսիսարևելյան ափին։")</f>
        <v>Գայանցիները հիմնականում ապրում են Գայանա քաղաքում, որը գտնվում է Հարավային Ամերիկայի հյուսիսարևելյան ափին։</v>
      </c>
    </row>
    <row r="1086">
      <c r="A1086" s="1" t="s">
        <v>2168</v>
      </c>
      <c r="B1086" s="2" t="s">
        <v>2169</v>
      </c>
      <c r="C1086" s="3" t="str">
        <f>IFERROR(__xludf.DUMMYFUNCTION("GOOGLETRANSLATE(A1086,""en"",""hy"")"),"Ո՞ր ժամային գոտում է գտնվում Տեխաս Սան Անտոնիոն:")</f>
        <v>Ո՞ր ժամային գոտում է գտնվում Տեխաս Սան Անտոնիոն:</v>
      </c>
      <c r="D1086" s="3" t="str">
        <f>IFERROR(__xludf.DUMMYFUNCTION("GOOGLETRANSLATE(B1086,""en"",""hy"")"),"Տեխաս, Սան Անտոնիո գտնվում է Կենտրոնական ժամային գոտում (CT):")</f>
        <v>Տեխաս, Սան Անտոնիո գտնվում է Կենտրոնական ժամային գոտում (CT):</v>
      </c>
    </row>
    <row r="1087">
      <c r="A1087" s="1" t="s">
        <v>2170</v>
      </c>
      <c r="B1087" s="2" t="s">
        <v>2171</v>
      </c>
      <c r="C1087" s="3" t="str">
        <f>IFERROR(__xludf.DUMMYFUNCTION("GOOGLETRANSLATE(A1087,""en"",""hy"")"),"որտեղ է գտնվում Ալեքսանդրիան")</f>
        <v>որտեղ է գտնվում Ալեքսանդրիան</v>
      </c>
      <c r="D1087" s="3" t="str">
        <f>IFERROR(__xludf.DUMMYFUNCTION("GOOGLETRANSLATE(B1087,""en"",""hy"")"),"Ալեքսանդրիան գտնվում է Եգիպտոսում։")</f>
        <v>Ալեքսանդրիան գտնվում է Եգիպտոսում։</v>
      </c>
    </row>
    <row r="1088">
      <c r="A1088" s="1" t="s">
        <v>2172</v>
      </c>
      <c r="B1088" s="2" t="s">
        <v>2173</v>
      </c>
      <c r="C1088" s="3" t="str">
        <f>IFERROR(__xludf.DUMMYFUNCTION("GOOGLETRANSLATE(A1088,""en"",""hy"")"),"ով էր Գերմանիայի ֆաշիստ դիկտատորը.")</f>
        <v>ով էր Գերմանիայի ֆաշիստ դիկտատորը.</v>
      </c>
      <c r="D1088" s="3" t="str">
        <f>IFERROR(__xludf.DUMMYFUNCTION("GOOGLETRANSLATE(B1088,""en"",""hy"")"),"Ադոլֆ Հիտլեր.")</f>
        <v>Ադոլֆ Հիտլեր.</v>
      </c>
    </row>
    <row r="1089">
      <c r="A1089" s="1" t="s">
        <v>2174</v>
      </c>
      <c r="B1089" s="2" t="s">
        <v>2175</v>
      </c>
      <c r="C1089" s="3" t="str">
        <f>IFERROR(__xludf.DUMMYFUNCTION("GOOGLETRANSLATE(A1089,""en"",""hy"")"),"ինչ է ավստրալիական արժույթը:")</f>
        <v>ինչ է ավստրալիական արժույթը:</v>
      </c>
      <c r="D1089" s="3" t="str">
        <f>IFERROR(__xludf.DUMMYFUNCTION("GOOGLETRANSLATE(B1089,""en"",""hy"")"),"Ավստրալիայի արժույթը Ավստրալիական դոլարն է (AUD):")</f>
        <v>Ավստրալիայի արժույթը Ավստրալիական դոլարն է (AUD):</v>
      </c>
    </row>
    <row r="1090">
      <c r="A1090" s="1" t="s">
        <v>2176</v>
      </c>
      <c r="B1090" s="2" t="s">
        <v>2177</v>
      </c>
      <c r="C1090" s="3" t="str">
        <f>IFERROR(__xludf.DUMMYFUNCTION("GOOGLETRANSLATE(A1090,""en"",""hy"")"),"ինչ արեց Միշել Օբաման")</f>
        <v>ինչ արեց Միշել Օբաման</v>
      </c>
      <c r="D1090" s="3" t="str">
        <f>IFERROR(__xludf.DUMMYFUNCTION("GOOGLETRANSLATE(B1090,""en"",""hy"")"),"Միշել Օբաման ամերիկացի իրավաբան է, հեղինակ և Միացյալ Նահանգների նախկին առաջին տիկին:")</f>
        <v>Միշել Օբաման ամերիկացի իրավաբան է, հեղինակ և Միացյալ Նահանգների նախկին առաջին տիկին:</v>
      </c>
    </row>
    <row r="1091">
      <c r="A1091" s="1" t="s">
        <v>2178</v>
      </c>
      <c r="B1091" s="2" t="s">
        <v>2179</v>
      </c>
      <c r="C1091" s="3" t="str">
        <f>IFERROR(__xludf.DUMMYFUNCTION("GOOGLETRANSLATE(A1091,""en"",""hy"")"),"Ո՞ր թիմում է խաղում Քրիս Համֆրին:")</f>
        <v>Ո՞ր թիմում է խաղում Քրիս Համֆրին:</v>
      </c>
      <c r="D1091" s="3" t="str">
        <f>IFERROR(__xludf.DUMMYFUNCTION("GOOGLETRANSLATE(B1091,""en"",""hy"")"),"Քրիս Համֆրին ներկայումս չի խաղում ոչ մի թիմում։")</f>
        <v>Քրիս Համֆրին ներկայումս չի խաղում ոչ մի թիմում։</v>
      </c>
    </row>
    <row r="1092">
      <c r="A1092" s="1" t="s">
        <v>2180</v>
      </c>
      <c r="B1092" s="2" t="s">
        <v>2181</v>
      </c>
      <c r="C1092" s="3" t="str">
        <f>IFERROR(__xludf.DUMMYFUNCTION("GOOGLETRANSLATE(A1092,""en"",""hy"")"),"որտեղ են ապրում չինացիների մեծ մասը:")</f>
        <v>որտեղ են ապրում չինացիների մեծ մասը:</v>
      </c>
      <c r="D1092" s="3" t="str">
        <f>IFERROR(__xludf.DUMMYFUNCTION("GOOGLETRANSLATE(B1092,""en"",""hy"")"),"Չինացիների մեծ մասն ապրում է Չինաստանում:")</f>
        <v>Չինացիների մեծ մասն ապրում է Չինաստանում:</v>
      </c>
    </row>
    <row r="1093">
      <c r="A1093" s="1" t="s">
        <v>2182</v>
      </c>
      <c r="B1093" s="2" t="s">
        <v>2183</v>
      </c>
      <c r="C1093" s="3" t="str">
        <f>IFERROR(__xludf.DUMMYFUNCTION("GOOGLETRANSLATE(A1093,""en"",""hy"")"),"Ե՞րբ են ռեյդերները հաղթել սուպերգավաթը:")</f>
        <v>Ե՞րբ են ռեյդերները հաղթել սուպերգավաթը:</v>
      </c>
      <c r="D1093" s="3" t="str">
        <f>IFERROR(__xludf.DUMMYFUNCTION("GOOGLETRANSLATE(B1093,""en"",""hy"")"),"The Raiders-ը հաղթել է Super Bowl-ը 1981, 1977 և 1976 թվականներին:")</f>
        <v>The Raiders-ը հաղթել է Super Bowl-ը 1981, 1977 և 1976 թվականներին:</v>
      </c>
    </row>
    <row r="1094">
      <c r="A1094" s="1" t="s">
        <v>2184</v>
      </c>
      <c r="B1094" s="2" t="s">
        <v>2185</v>
      </c>
      <c r="C1094" s="3" t="str">
        <f>IFERROR(__xludf.DUMMYFUNCTION("GOOGLETRANSLATE(A1094,""en"",""hy"")"),"որտեղ է օգտագործվում եվրոն")</f>
        <v>որտեղ է օգտագործվում եվրոն</v>
      </c>
      <c r="D1094" s="3" t="str">
        <f>IFERROR(__xludf.DUMMYFUNCTION("GOOGLETRANSLATE(B1094,""en"",""hy"")"),"Եվրոն օգտագործվում է Եվրամիության 19 երկրներում։")</f>
        <v>Եվրոն օգտագործվում է Եվրամիության 19 երկրներում։</v>
      </c>
    </row>
    <row r="1095">
      <c r="A1095" s="1" t="s">
        <v>2186</v>
      </c>
      <c r="B1095" s="2" t="s">
        <v>2187</v>
      </c>
      <c r="C1095" s="3" t="str">
        <f>IFERROR(__xludf.DUMMYFUNCTION("GOOGLETRANSLATE(A1095,""en"",""hy"")"),"որքան հարուստ է Հռոմի կաթոլիկ եկեղեցին:")</f>
        <v>որքան հարուստ է Հռոմի կաթոլիկ եկեղեցին:</v>
      </c>
      <c r="D1095" s="3" t="str">
        <f>IFERROR(__xludf.DUMMYFUNCTION("GOOGLETRANSLATE(B1095,""en"",""hy"")"),"Հռոմեական կաթոլիկ եկեղեցու ճշգրիտ հարստությունը հայտնի չէ, քանի որ դժվար է որոշել նրա զուտ արժեքը:")</f>
        <v>Հռոմեական կաթոլիկ եկեղեցու ճշգրիտ հարստությունը հայտնի չէ, քանի որ դժվար է որոշել նրա զուտ արժեքը:</v>
      </c>
    </row>
    <row r="1096">
      <c r="A1096" s="1" t="s">
        <v>2188</v>
      </c>
      <c r="B1096" s="2" t="s">
        <v>2189</v>
      </c>
      <c r="C1096" s="3" t="str">
        <f>IFERROR(__xludf.DUMMYFUNCTION("GOOGLETRANSLATE(A1096,""en"",""hy"")"),"Ո՞ր տարին է լինելու հրեական օրացույցում:")</f>
        <v>Ո՞ր տարին է լինելու հրեական օրացույցում:</v>
      </c>
      <c r="D1096" s="3" t="str">
        <f>IFERROR(__xludf.DUMMYFUNCTION("GOOGLETRANSLATE(B1096,""en"",""hy"")"),"Ներկայիս հրեական տարին 5781 է։")</f>
        <v>Ներկայիս հրեական տարին 5781 է։</v>
      </c>
    </row>
    <row r="1097">
      <c r="A1097" s="1" t="s">
        <v>2190</v>
      </c>
      <c r="B1097" s="2" t="s">
        <v>2191</v>
      </c>
      <c r="C1097" s="3" t="str">
        <f>IFERROR(__xludf.DUMMYFUNCTION("GOOGLETRANSLATE(A1097,""en"",""hy"")"),"որտեղ էր Փիքսի Լոտը դպրոց հաճախում:")</f>
        <v>որտեղ էր Փիքսի Լոտը դպրոց հաճախում:</v>
      </c>
      <c r="D1097" s="3" t="str">
        <f>IFERROR(__xludf.DUMMYFUNCTION("GOOGLETRANSLATE(B1097,""en"",""hy"")"),"Պիքսի Լոտը հաճախել է Իտալիայի Կոնտիի թատերական արվեստի ակադեմիա:")</f>
        <v>Պիքսի Լոտը հաճախել է Իտալիայի Կոնտիի թատերական արվեստի ակադեմիա:</v>
      </c>
    </row>
    <row r="1098">
      <c r="A1098" s="1" t="s">
        <v>2192</v>
      </c>
      <c r="B1098" s="2" t="s">
        <v>2193</v>
      </c>
      <c r="C1098" s="3" t="str">
        <f>IFERROR(__xludf.DUMMYFUNCTION("GOOGLETRANSLATE(A1098,""en"",""hy"")"),"ո՞ր ամսաթվին մենք ներխուժեցինք Իրաք")</f>
        <v>ո՞ր ամսաթվին մենք ներխուժեցինք Իրաք</v>
      </c>
      <c r="D1098" s="3" t="str">
        <f>IFERROR(__xludf.DUMMYFUNCTION("GOOGLETRANSLATE(B1098,""en"",""hy"")"),"Իրաքի ներխուժումը սկսվել է 2003 թվականի մարտի 20-ին։")</f>
        <v>Իրաքի ներխուժումը սկսվել է 2003 թվականի մարտի 20-ին։</v>
      </c>
    </row>
    <row r="1099">
      <c r="A1099" s="1" t="s">
        <v>2194</v>
      </c>
      <c r="B1099" s="2" t="s">
        <v>2195</v>
      </c>
      <c r="C1099" s="3" t="str">
        <f>IFERROR(__xludf.DUMMYFUNCTION("GOOGLETRANSLATE(A1099,""en"",""hy"")"),"ինչ է New Orleans Hornets նոր անունը:")</f>
        <v>ինչ է New Orleans Hornets նոր անունը:</v>
      </c>
      <c r="D1099" s="3" t="str">
        <f>IFERROR(__xludf.DUMMYFUNCTION("GOOGLETRANSLATE(B1099,""en"",""hy"")"),"New Orleans Hornets-ը փոխել է իրենց անունը՝ դառնալով New Orleans Pelicans:")</f>
        <v>New Orleans Hornets-ը փոխել է իրենց անունը՝ դառնալով New Orleans Pelicans:</v>
      </c>
    </row>
    <row r="1100">
      <c r="A1100" s="1" t="s">
        <v>2196</v>
      </c>
      <c r="B1100" s="2" t="s">
        <v>2197</v>
      </c>
      <c r="C1100" s="3" t="str">
        <f>IFERROR(__xludf.DUMMYFUNCTION("GOOGLETRANSLATE(A1100,""en"",""hy"")"),"ինչ տեսք ուներ Դարին")</f>
        <v>ինչ տեսք ուներ Դարին</v>
      </c>
      <c r="D1100" s="3" t="str">
        <f>IFERROR(__xludf.DUMMYFUNCTION("GOOGLETRANSLATE(B1100,""en"",""hy"")"),"Դարրին բարձրահասակ էր, մկանուտ և ուներ մուգ մազեր։")</f>
        <v>Դարրին բարձրահասակ էր, մկանուտ և ուներ մուգ մազեր։</v>
      </c>
    </row>
    <row r="1101">
      <c r="A1101" s="1" t="s">
        <v>2198</v>
      </c>
      <c r="B1101" s="2" t="s">
        <v>2199</v>
      </c>
      <c r="C1101" s="3" t="str">
        <f>IFERROR(__xludf.DUMMYFUNCTION("GOOGLETRANSLATE(A1101,""en"",""hy"")"),"ով է Հյու Հեֆները հանդիպում այժմ 2012 թվականին:")</f>
        <v>ով է Հյու Հեֆները հանդիպում այժմ 2012 թվականին:</v>
      </c>
      <c r="D1101" s="3" t="str">
        <f>IFERROR(__xludf.DUMMYFUNCTION("GOOGLETRANSLATE(B1101,""en"",""hy"")"),"2012 թվականին Հյու Հեֆները հանդիպում էր Քրիսթալ Հարիսի հետ։")</f>
        <v>2012 թվականին Հյու Հեֆները հանդիպում էր Քրիսթալ Հարիսի հետ։</v>
      </c>
    </row>
    <row r="1102">
      <c r="A1102" s="1" t="s">
        <v>2200</v>
      </c>
      <c r="B1102" s="2" t="s">
        <v>2201</v>
      </c>
      <c r="C1102" s="3" t="str">
        <f>IFERROR(__xludf.DUMMYFUNCTION("GOOGLETRANSLATE(A1102,""en"",""hy"")"),"ինչին է հավատում Բուդդան")</f>
        <v>ինչին է հավատում Բուդդան</v>
      </c>
      <c r="D1102" s="3" t="str">
        <f>IFERROR(__xludf.DUMMYFUNCTION("GOOGLETRANSLATE(B1102,""en"",""hy"")"),"Բուդդան հավատում էր Չորս ազնիվ ճշմարտություններին և ութապատիկ ուղուն:")</f>
        <v>Բուդդան հավատում էր Չորս ազնիվ ճշմարտություններին և ութապատիկ ուղուն:</v>
      </c>
    </row>
    <row r="1103">
      <c r="A1103" s="1" t="s">
        <v>2202</v>
      </c>
      <c r="B1103" s="2" t="s">
        <v>2203</v>
      </c>
      <c r="C1103" s="3" t="str">
        <f>IFERROR(__xludf.DUMMYFUNCTION("GOOGLETRANSLATE(A1103,""en"",""hy"")"),"Ե՞րբ են քաջերը հաղթել համաշխարհային շարքում:")</f>
        <v>Ե՞րբ են քաջերը հաղթել համաշխարհային շարքում:</v>
      </c>
      <c r="D1103" s="3" t="str">
        <f>IFERROR(__xludf.DUMMYFUNCTION("GOOGLETRANSLATE(B1103,""en"",""hy"")"),"Ատլանտա Բրեյվսը 1995 թվականին հաղթել է աշխարհի առաջնությունում:")</f>
        <v>Ատլանտա Բրեյվսը 1995 թվականին հաղթել է աշխարհի առաջնությունում:</v>
      </c>
    </row>
    <row r="1104">
      <c r="A1104" s="1" t="s">
        <v>2204</v>
      </c>
      <c r="B1104" s="2" t="s">
        <v>2205</v>
      </c>
      <c r="C1104" s="3" t="str">
        <f>IFERROR(__xludf.DUMMYFUNCTION("GOOGLETRANSLATE(A1104,""en"",""hy"")"),"ինչ է Ուոլթ Դիսնեյի որդու անունը:")</f>
        <v>ինչ է Ուոլթ Դիսնեյի որդու անունը:</v>
      </c>
      <c r="D1104" s="3" t="str">
        <f>IFERROR(__xludf.DUMMYFUNCTION("GOOGLETRANSLATE(B1104,""en"",""hy"")"),"Ուոլթ Դիսնեյի որդու անունը Ռոյ Է. Դիսնեյ է:")</f>
        <v>Ուոլթ Դիսնեյի որդու անունը Ռոյ Է. Դիսնեյ է:</v>
      </c>
    </row>
    <row r="1105">
      <c r="A1105" s="1" t="s">
        <v>2206</v>
      </c>
      <c r="B1105" s="2" t="s">
        <v>2207</v>
      </c>
      <c r="C1105" s="3" t="str">
        <f>IFERROR(__xludf.DUMMYFUNCTION("GOOGLETRANSLATE(A1105,""en"",""hy"")"),"ինչ տեսարժան վայրեր կարելի է տեսնել Հռոմում:")</f>
        <v>ինչ տեսարժան վայրեր կարելի է տեսնել Հռոմում:</v>
      </c>
      <c r="D1105" s="3" t="str">
        <f>IFERROR(__xludf.DUMMYFUNCTION("GOOGLETRANSLATE(B1105,""en"",""hy"")"),"Կոլիզեյը, Վատիկանը, Տրևի շատրվանը և Պանթեոնը Հռոմի հայտնի տեսարժան վայրերից են:")</f>
        <v>Կոլիզեյը, Վատիկանը, Տրևի շատրվանը և Պանթեոնը Հռոմի հայտնի տեսարժան վայրերից են:</v>
      </c>
    </row>
    <row r="1106">
      <c r="A1106" s="1" t="s">
        <v>2208</v>
      </c>
      <c r="B1106" s="2" t="s">
        <v>2209</v>
      </c>
      <c r="C1106" s="3" t="str">
        <f>IFERROR(__xludf.DUMMYFUNCTION("GOOGLETRANSLATE(A1106,""en"",""hy"")"),"որտեղ է պատրաստվում Ջեք Դանիելս Թենեսի վիսկին:")</f>
        <v>որտեղ է պատրաստվում Ջեք Դանիելս Թենեսի վիսկին:</v>
      </c>
      <c r="D1106" s="3" t="str">
        <f>IFERROR(__xludf.DUMMYFUNCTION("GOOGLETRANSLATE(B1106,""en"",""hy"")"),"Jack Daniel's Tennessee վիսկին պատրաստվում է Թենեսի նահանգի Լինչբուրգ քաղաքում:")</f>
        <v>Jack Daniel's Tennessee վիսկին պատրաստվում է Թենեսի նահանգի Լինչբուրգ քաղաքում:</v>
      </c>
    </row>
    <row r="1107">
      <c r="A1107" s="1" t="s">
        <v>2210</v>
      </c>
      <c r="B1107" s="2" t="s">
        <v>2211</v>
      </c>
      <c r="C1107" s="3" t="str">
        <f>IFERROR(__xludf.DUMMYFUNCTION("GOOGLETRANSLATE(A1107,""en"",""hy"")"),"ինչ է հակաէթամի ճակատամարտը:")</f>
        <v>ինչ է հակաէթամի ճակատամարտը:</v>
      </c>
      <c r="D1107" s="3" t="str">
        <f>IFERROR(__xludf.DUMMYFUNCTION("GOOGLETRANSLATE(B1107,""en"",""hy"")"),"Անտիետամի ճակատամարտը նշանակալից ճակատամարտ էր Ամերիկայի քաղաքացիական պատերազմում, որը տեղի ունեցավ 1862 թվականի սեպտեմբերի 17-ին, Մերիլենդ նահանգի Շարփսբուրգի մոտ։")</f>
        <v>Անտիետամի ճակատամարտը նշանակալից ճակատամարտ էր Ամերիկայի քաղաքացիական պատերազմում, որը տեղի ունեցավ 1862 թվականի սեպտեմբերի 17-ին, Մերիլենդ նահանգի Շարփսբուրգի մոտ։</v>
      </c>
    </row>
    <row r="1108">
      <c r="A1108" s="1" t="s">
        <v>2212</v>
      </c>
      <c r="B1108" s="2" t="s">
        <v>2213</v>
      </c>
      <c r="C1108" s="3" t="str">
        <f>IFERROR(__xludf.DUMMYFUNCTION("GOOGLETRANSLATE(A1108,""en"",""hy"")"),"որ ժամային գոտին է Լոնդոն Անգլիայում:")</f>
        <v>որ ժամային գոտին է Լոնդոն Անգլիայում:</v>
      </c>
      <c r="D1108" s="3" t="str">
        <f>IFERROR(__xludf.DUMMYFUNCTION("GOOGLETRANSLATE(B1108,""en"",""hy"")"),"Անգլիայի Լոնդոնի ժամային գոտին Գրինվիչի միջին ժամանակով (GMT) կամ բրիտանական ամառային ժամանակով (BST) է ամառային ժամանակին:")</f>
        <v>Անգլիայի Լոնդոնի ժամային գոտին Գրինվիչի միջին ժամանակով (GMT) կամ բրիտանական ամառային ժամանակով (BST) է ամառային ժամանակին:</v>
      </c>
    </row>
    <row r="1109">
      <c r="A1109" s="1" t="s">
        <v>2214</v>
      </c>
      <c r="B1109" s="2" t="s">
        <v>2215</v>
      </c>
      <c r="C1109" s="3" t="str">
        <f>IFERROR(__xludf.DUMMYFUNCTION("GOOGLETRANSLATE(A1109,""en"",""hy"")"),"ով էր Տեխասի նահանգապետը 2003թ.")</f>
        <v>ով էր Տեխասի նահանգապետը 2003թ.</v>
      </c>
      <c r="D1109" s="3" t="str">
        <f>IFERROR(__xludf.DUMMYFUNCTION("GOOGLETRANSLATE(B1109,""en"",""hy"")"),"Ռիք Փերին Տեխասի նահանգապետն էր 2003 թվականին։")</f>
        <v>Ռիք Փերին Տեխասի նահանգապետն էր 2003 թվականին։</v>
      </c>
    </row>
    <row r="1110">
      <c r="A1110" s="1" t="s">
        <v>2216</v>
      </c>
      <c r="B1110" s="2" t="s">
        <v>2217</v>
      </c>
      <c r="C1110" s="3" t="str">
        <f>IFERROR(__xludf.DUMMYFUNCTION("GOOGLETRANSLATE(A1110,""en"",""hy"")"),"ինչ է Յեյլի համալսարանի թալիսմանը:")</f>
        <v>ինչ է Յեյլի համալսարանի թալիսմանը:</v>
      </c>
      <c r="D1110" s="3" t="str">
        <f>IFERROR(__xludf.DUMMYFUNCTION("GOOGLETRANSLATE(B1110,""en"",""hy"")"),"Յեյլի համալսարանի թալիսմանը «Յեյլի բուլդոգն» է։")</f>
        <v>Յեյլի համալսարանի թալիսմանը «Յեյլի բուլդոգն» է։</v>
      </c>
    </row>
    <row r="1111">
      <c r="A1111" s="1" t="s">
        <v>2218</v>
      </c>
      <c r="B1111" s="2" t="s">
        <v>2219</v>
      </c>
      <c r="C1111" s="3" t="str">
        <f>IFERROR(__xludf.DUMMYFUNCTION("GOOGLETRANSLATE(A1111,""en"",""hy"")"),"ինչ արժույթ է օգտագործվում Թունիսում:")</f>
        <v>ինչ արժույթ է օգտագործվում Թունիսում:</v>
      </c>
      <c r="D1111" s="3" t="str">
        <f>IFERROR(__xludf.DUMMYFUNCTION("GOOGLETRANSLATE(B1111,""en"",""hy"")"),"Թունիսում օգտագործվող արժույթը թունիսյան դինարն է։")</f>
        <v>Թունիսում օգտագործվող արժույթը թունիսյան դինարն է։</v>
      </c>
    </row>
    <row r="1112">
      <c r="A1112" s="1" t="s">
        <v>2220</v>
      </c>
      <c r="B1112" s="2" t="s">
        <v>2221</v>
      </c>
      <c r="C1112" s="3" t="str">
        <f>IFERROR(__xludf.DUMMYFUNCTION("GOOGLETRANSLATE(A1112,""en"",""hy"")"),"Ո՞ր լեզվական խմբին է պատկանում լեհերենը:")</f>
        <v>Ո՞ր լեզվական խմբին է պատկանում լեհերենը:</v>
      </c>
      <c r="D1112" s="3" t="str">
        <f>IFERROR(__xludf.DUMMYFUNCTION("GOOGLETRANSLATE(B1112,""en"",""hy"")"),"Լեհերենը պատկանում է արևմտյան սլավոնական լեզվախմբին։")</f>
        <v>Լեհերենը պատկանում է արևմտյան սլավոնական լեզվախմբին։</v>
      </c>
    </row>
    <row r="1113">
      <c r="A1113" s="1" t="s">
        <v>2222</v>
      </c>
      <c r="B1113" s="2" t="s">
        <v>2223</v>
      </c>
      <c r="C1113" s="3" t="str">
        <f>IFERROR(__xludf.DUMMYFUNCTION("GOOGLETRANSLATE(A1113,""en"",""hy"")"),"ինչպես է կոչվում New Orleans Saints ֆուտբոլային մարզադաշտը:")</f>
        <v>ինչպես է կոչվում New Orleans Saints ֆուտբոլային մարզադաշտը:</v>
      </c>
      <c r="D1113" s="3" t="str">
        <f>IFERROR(__xludf.DUMMYFUNCTION("GOOGLETRANSLATE(B1113,""en"",""hy"")"),"New Orleans Saints ֆուտբոլային մարզադաշտի անունը Mercedes-Benz Superdome է։")</f>
        <v>New Orleans Saints ֆուտբոլային մարզադաշտի անունը Mercedes-Benz Superdome է։</v>
      </c>
    </row>
    <row r="1114">
      <c r="A1114" s="1" t="s">
        <v>2224</v>
      </c>
      <c r="B1114" s="2" t="s">
        <v>2225</v>
      </c>
      <c r="C1114" s="3" t="str">
        <f>IFERROR(__xludf.DUMMYFUNCTION("GOOGLETRANSLATE(A1114,""en"",""hy"")"),"որո՞նք են Ֆրանսիային սահմանակից հինգ երկրները:")</f>
        <v>որո՞նք են Ֆրանսիային սահմանակից հինգ երկրները:</v>
      </c>
      <c r="D1114" s="3" t="str">
        <f>IFERROR(__xludf.DUMMYFUNCTION("GOOGLETRANSLATE(B1114,""en"",""hy"")"),"Իսպանիա, Բելգիա, Գերմանիա, Իտալիա, Շվեյցարիա:")</f>
        <v>Իսպանիա, Բելգիա, Գերմանիա, Իտալիա, Շվեյցարիա:</v>
      </c>
    </row>
    <row r="1115">
      <c r="A1115" s="1" t="s">
        <v>2226</v>
      </c>
      <c r="B1115" s="2" t="s">
        <v>2227</v>
      </c>
      <c r="C1115" s="3" t="str">
        <f>IFERROR(__xludf.DUMMYFUNCTION("GOOGLETRANSLATE(A1115,""en"",""hy"")"),"որտեղ է անցկացվել հոկեյի աշխարհի գավաթի 2010 թ.")</f>
        <v>որտեղ է անցկացվել հոկեյի աշխարհի գավաթի 2010 թ.</v>
      </c>
      <c r="D1115" s="3" t="str">
        <f>IFERROR(__xludf.DUMMYFUNCTION("GOOGLETRANSLATE(B1115,""en"",""hy"")"),"Հնդկաստանի Նյու Դելի քաղաքում անցկացվել է հոկեյի աշխարհի գավաթի 2010 թ.")</f>
        <v>Հնդկաստանի Նյու Դելի քաղաքում անցկացվել է հոկեյի աշխարհի գավաթի 2010 թ.</v>
      </c>
    </row>
    <row r="1116">
      <c r="A1116" s="1" t="s">
        <v>2228</v>
      </c>
      <c r="B1116" s="2" t="s">
        <v>2229</v>
      </c>
      <c r="C1116" s="3" t="str">
        <f>IFERROR(__xludf.DUMMYFUNCTION("GOOGLETRANSLATE(A1116,""en"",""hy"")"),"ո՞ւր փախավ կայզեր Վիլհելմը։")</f>
        <v>ո՞ւր փախավ կայզեր Վիլհելմը։</v>
      </c>
      <c r="D1116" s="3" t="str">
        <f>IFERROR(__xludf.DUMMYFUNCTION("GOOGLETRANSLATE(B1116,""en"",""hy"")"),"Կայզեր Վիլհելմը փախել է Նիդեռլանդներ։")</f>
        <v>Կայզեր Վիլհելմը փախել է Նիդեռլանդներ։</v>
      </c>
    </row>
    <row r="1117">
      <c r="A1117" s="1" t="s">
        <v>2230</v>
      </c>
      <c r="B1117" s="2" t="s">
        <v>2231</v>
      </c>
      <c r="C1117" s="3" t="str">
        <f>IFERROR(__xludf.DUMMYFUNCTION("GOOGLETRANSLATE(A1117,""en"",""hy"")"),"Ե՞րբ է Յուվրաջը հանդես եկել իր դեբյուտով:")</f>
        <v>Ե՞րբ է Յուվրաջը հանդես եկել իր դեբյուտով:</v>
      </c>
      <c r="D1117" s="3" t="str">
        <f>IFERROR(__xludf.DUMMYFUNCTION("GOOGLETRANSLATE(B1117,""en"",""hy"")"),"Յուվրաջ Սինգհը կատարել է իր դեբյուտը ODI-ում 2000 թվականի հոկտեմբերի 3-ին։")</f>
        <v>Յուվրաջ Սինգհը կատարել է իր դեբյուտը ODI-ում 2000 թվականի հոկտեմբերի 3-ին։</v>
      </c>
    </row>
    <row r="1118">
      <c r="A1118" s="1" t="s">
        <v>2232</v>
      </c>
      <c r="B1118" s="2" t="s">
        <v>2233</v>
      </c>
      <c r="C1118" s="3" t="str">
        <f>IFERROR(__xludf.DUMMYFUNCTION("GOOGLETRANSLATE(A1118,""en"",""hy"")"),"Ո՞ր երաժշտության համար է նշանավորվել Սքոթ Ջոպլինը:")</f>
        <v>Ո՞ր երաժշտության համար է նշանավորվել Սքոթ Ջոպլինը:</v>
      </c>
      <c r="D1118" s="3" t="str">
        <f>IFERROR(__xludf.DUMMYFUNCTION("GOOGLETRANSLATE(B1118,""en"",""hy"")"),"Սքոթ Ջոփլինը հայտնի էր իր ռեգթայմ երաժշտությամբ։")</f>
        <v>Սքոթ Ջոփլինը հայտնի էր իր ռեգթայմ երաժշտությամբ։</v>
      </c>
    </row>
    <row r="1119">
      <c r="A1119" s="1" t="s">
        <v>2234</v>
      </c>
      <c r="B1119" s="2" t="s">
        <v>2235</v>
      </c>
      <c r="C1119" s="3" t="str">
        <f>IFERROR(__xludf.DUMMYFUNCTION("GOOGLETRANSLATE(A1119,""en"",""hy"")"),"որտեղ է Սերխիո Ռոմոն գնաց քոլեջ:")</f>
        <v>որտեղ է Սերխիո Ռոմոն գնաց քոլեջ:</v>
      </c>
      <c r="D1119" s="3" t="str">
        <f>IFERROR(__xludf.DUMMYFUNCTION("GOOGLETRANSLATE(B1119,""en"",""hy"")"),"Սերխիո Ռոմոն հաճախել է Արիզոնայի արևմտյան քոլեջ:")</f>
        <v>Սերխիո Ռոմոն հաճախել է Արիզոնայի արևմտյան քոլեջ:</v>
      </c>
    </row>
    <row r="1120">
      <c r="A1120" s="1" t="s">
        <v>2236</v>
      </c>
      <c r="B1120" s="2" t="s">
        <v>2237</v>
      </c>
      <c r="C1120" s="3" t="str">
        <f>IFERROR(__xludf.DUMMYFUNCTION("GOOGLETRANSLATE(A1120,""en"",""hy"")"),"ինչ է պատահել Փիթեր Փարքերի հորեղբոր հետ.")</f>
        <v>ինչ է պատահել Փիթեր Փարքերի հորեղբոր հետ.</v>
      </c>
      <c r="D1120" s="3" t="str">
        <f>IFERROR(__xludf.DUMMYFUNCTION("GOOGLETRANSLATE(B1120,""en"",""hy"")"),"Փիթեր Փարքերի հորեղբայրը սպանվել է հանցագործի կողմից, որին նա հանդիպել է նրան ձերբակալելիս։")</f>
        <v>Փիթեր Փարքերի հորեղբայրը սպանվել է հանցագործի կողմից, որին նա հանդիպել է նրան ձերբակալելիս։</v>
      </c>
    </row>
    <row r="1121">
      <c r="A1121" s="1" t="s">
        <v>2238</v>
      </c>
      <c r="B1121" s="2" t="s">
        <v>2239</v>
      </c>
      <c r="C1121" s="3" t="str">
        <f>IFERROR(__xludf.DUMMYFUNCTION("GOOGLETRANSLATE(A1121,""en"",""hy"")"),"որտեղից է Ադամ Սմիթը")</f>
        <v>որտեղից է Ադամ Սմիթը</v>
      </c>
      <c r="D1121" s="3" t="str">
        <f>IFERROR(__xludf.DUMMYFUNCTION("GOOGLETRANSLATE(B1121,""en"",""hy"")"),"Ադամ Սմիթը Շոտլանդիայից է։")</f>
        <v>Ադամ Սմիթը Շոտլանդիայից է։</v>
      </c>
    </row>
    <row r="1122">
      <c r="A1122" s="1" t="s">
        <v>2240</v>
      </c>
      <c r="B1122" s="2" t="s">
        <v>2241</v>
      </c>
      <c r="C1122" s="3" t="str">
        <f>IFERROR(__xludf.DUMMYFUNCTION("GOOGLETRANSLATE(A1122,""en"",""hy"")"),"ով դարձավ նախագահ Հարդինգի մահից հետո:")</f>
        <v>ով դարձավ նախագահ Հարդինգի մահից հետո:</v>
      </c>
      <c r="D1122" s="3" t="str">
        <f>IFERROR(__xludf.DUMMYFUNCTION("GOOGLETRANSLATE(B1122,""en"",""hy"")"),"Քելվին Քուլիջ.")</f>
        <v>Քելվին Քուլիջ.</v>
      </c>
    </row>
    <row r="1123">
      <c r="A1123" s="1" t="s">
        <v>2242</v>
      </c>
      <c r="B1123" s="2" t="s">
        <v>2243</v>
      </c>
      <c r="C1123" s="3" t="str">
        <f>IFERROR(__xludf.DUMMYFUNCTION("GOOGLETRANSLATE(A1123,""en"",""hy"")"),"ո՞ր քաղաքում է ապրել Մաքիավելին.")</f>
        <v>ո՞ր քաղաքում է ապրել Մաքիավելին.</v>
      </c>
      <c r="D1123" s="3" t="str">
        <f>IFERROR(__xludf.DUMMYFUNCTION("GOOGLETRANSLATE(B1123,""en"",""hy"")"),"Ֆլորենցիա.")</f>
        <v>Ֆլորենցիա.</v>
      </c>
    </row>
    <row r="1124">
      <c r="A1124" s="1" t="s">
        <v>2244</v>
      </c>
      <c r="B1124" s="2" t="s">
        <v>2245</v>
      </c>
      <c r="C1124" s="3" t="str">
        <f>IFERROR(__xludf.DUMMYFUNCTION("GOOGLETRANSLATE(A1124,""en"",""hy"")"),"ինչ հիվանդություններ ուներ Ջորջ Վաշինգթոնը.")</f>
        <v>ինչ հիվանդություններ ուներ Ջորջ Վաշինգթոնը.</v>
      </c>
      <c r="D1124" s="3" t="str">
        <f>IFERROR(__xludf.DUMMYFUNCTION("GOOGLETRANSLATE(B1124,""en"",""hy"")"),"Ջորջ Վաշինգտոնն իր կյանքի ընթացքում տարբեր հիվանդություններ ուներ՝ մալարիա, թոքաբորբ և պլերիտ:")</f>
        <v>Ջորջ Վաշինգտոնն իր կյանքի ընթացքում տարբեր հիվանդություններ ուներ՝ մալարիա, թոքաբորբ և պլերիտ:</v>
      </c>
    </row>
    <row r="1125">
      <c r="A1125" s="1" t="s">
        <v>2246</v>
      </c>
      <c r="B1125" s="2" t="s">
        <v>2247</v>
      </c>
      <c r="C1125" s="3" t="str">
        <f>IFERROR(__xludf.DUMMYFUNCTION("GOOGLETRANSLATE(A1125,""en"",""hy"")"),"որտեղ է գտնվում Հյուսիսային Պորտ Ֆլորիդան:")</f>
        <v>որտեղ է գտնվում Հյուսիսային Պորտ Ֆլորիդան:</v>
      </c>
      <c r="D1125" s="3" t="str">
        <f>IFERROR(__xludf.DUMMYFUNCTION("GOOGLETRANSLATE(B1125,""en"",""hy"")"),"Հյուսիսային Պորտ, Ֆլորիդա, գտնվում է Սարասոտա կոմսությունում, նահանգի հարավ-արևմտյան ափին:")</f>
        <v>Հյուսիսային Պորտ, Ֆլորիդա, գտնվում է Սարասոտա կոմսությունում, նահանգի հարավ-արևմտյան ափին:</v>
      </c>
    </row>
    <row r="1126">
      <c r="A1126" s="1" t="s">
        <v>2248</v>
      </c>
      <c r="B1126" s="2" t="s">
        <v>2249</v>
      </c>
      <c r="C1126" s="3" t="str">
        <f>IFERROR(__xludf.DUMMYFUNCTION("GOOGLETRANSLATE(A1126,""en"",""hy"")"),"ով է Ջենիֆեր Լոուրենսի ընկերը 2012 թ.")</f>
        <v>ով է Ջենիֆեր Լոուրենսի ընկերը 2012 թ.</v>
      </c>
      <c r="D1126" s="3" t="str">
        <f>IFERROR(__xludf.DUMMYFUNCTION("GOOGLETRANSLATE(B1126,""en"",""hy"")"),"Տեղեկություններ չկան:")</f>
        <v>Տեղեկություններ չկան:</v>
      </c>
    </row>
    <row r="1127">
      <c r="A1127" s="1" t="s">
        <v>2250</v>
      </c>
      <c r="B1127" s="2" t="s">
        <v>2251</v>
      </c>
      <c r="C1127" s="3" t="str">
        <f>IFERROR(__xludf.DUMMYFUNCTION("GOOGLETRANSLATE(A1127,""en"",""hy"")"),"ով էր Կիտտի ձայնը")</f>
        <v>ով էր Կիտտի ձայնը</v>
      </c>
      <c r="D1127" s="3" t="str">
        <f>IFERROR(__xludf.DUMMYFUNCTION("GOOGLETRANSLATE(B1127,""en"",""hy"")"),"Ուիլյամ Դենիելս.")</f>
        <v>Ուիլյամ Դենիելս.</v>
      </c>
    </row>
    <row r="1128">
      <c r="A1128" s="1" t="s">
        <v>2252</v>
      </c>
      <c r="B1128" s="2" t="s">
        <v>2253</v>
      </c>
      <c r="C1128" s="3" t="str">
        <f>IFERROR(__xludf.DUMMYFUNCTION("GOOGLETRANSLATE(A1128,""en"",""hy"")"),"ով է ներկա պահին Ներկայացուցիչների պալատի խոսնակը.")</f>
        <v>ով է ներկա պահին Ներկայացուցիչների պալատի խոսնակը.</v>
      </c>
      <c r="D1128" s="3" t="str">
        <f>IFERROR(__xludf.DUMMYFUNCTION("GOOGLETRANSLATE(B1128,""en"",""hy"")"),"Նենսի Փելոսի.")</f>
        <v>Նենսի Փելոսի.</v>
      </c>
    </row>
    <row r="1129">
      <c r="A1129" s="1" t="s">
        <v>2254</v>
      </c>
      <c r="B1129" s="2" t="s">
        <v>2255</v>
      </c>
      <c r="C1129" s="3" t="str">
        <f>IFERROR(__xludf.DUMMYFUNCTION("GOOGLETRANSLATE(A1129,""en"",""hy"")"),"Ե՞րբ է Շոն Մյուրեյն առաջին անգամ հայտնվել ncis-ում:")</f>
        <v>Ե՞րբ է Շոն Մյուրեյն առաջին անգամ հայտնվել ncis-ում:</v>
      </c>
      <c r="D1129" s="3" t="str">
        <f>IFERROR(__xludf.DUMMYFUNCTION("GOOGLETRANSLATE(B1129,""en"",""hy"")"),"Շոն Մյուրեյն առաջին անգամ հայտնվեց NCIS շոուի առաջին սեզոնում 2003 թվականին։")</f>
        <v>Շոն Մյուրեյն առաջին անգամ հայտնվեց NCIS շոուի առաջին սեզոնում 2003 թվականին։</v>
      </c>
    </row>
    <row r="1130">
      <c r="A1130" s="1" t="s">
        <v>2256</v>
      </c>
      <c r="B1130" s="2" t="s">
        <v>2257</v>
      </c>
      <c r="C1130" s="3" t="str">
        <f>IFERROR(__xludf.DUMMYFUNCTION("GOOGLETRANSLATE(A1130,""en"",""hy"")"),"ով է Աբրահամ Մասլոուն")</f>
        <v>ով է Աբրահամ Մասլոուն</v>
      </c>
      <c r="D1130" s="3" t="str">
        <f>IFERROR(__xludf.DUMMYFUNCTION("GOOGLETRANSLATE(B1130,""en"",""hy"")"),"Աբրահամ Մասլոուն ամերիկացի հոգեբան էր, որը հայտնի էր կարիքների հիերարխիայի իր տեսությամբ և հումանիստական ​​հոգեբանության ոլորտում ունեցած ներդրումով:")</f>
        <v>Աբրահամ Մասլոուն ամերիկացի հոգեբան էր, որը հայտնի էր կարիքների հիերարխիայի իր տեսությամբ և հումանիստական ​​հոգեբանության ոլորտում ունեցած ներդրումով:</v>
      </c>
    </row>
    <row r="1131">
      <c r="A1131" s="1" t="s">
        <v>2258</v>
      </c>
      <c r="B1131" s="2" t="s">
        <v>2259</v>
      </c>
      <c r="C1131" s="3" t="str">
        <f>IFERROR(__xludf.DUMMYFUNCTION("GOOGLETRANSLATE(A1131,""en"",""hy"")"),"որտեղ է տեղի ունեցել Կուբայի հրթիռային ճգնաժամը:")</f>
        <v>որտեղ է տեղի ունեցել Կուբայի հրթիռային ճգնաժամը:</v>
      </c>
      <c r="D1131" s="3" t="str">
        <f>IFERROR(__xludf.DUMMYFUNCTION("GOOGLETRANSLATE(B1131,""en"",""hy"")"),"Կուբայում տեղի է ունեցել Կուբայի հրթիռային ճգնաժամը.")</f>
        <v>Կուբայում տեղի է ունեցել Կուբայի հրթիռային ճգնաժամը.</v>
      </c>
    </row>
    <row r="1132">
      <c r="A1132" s="1" t="s">
        <v>2260</v>
      </c>
      <c r="B1132" s="2" t="s">
        <v>2261</v>
      </c>
      <c r="C1132" s="3" t="str">
        <f>IFERROR(__xludf.DUMMYFUNCTION("GOOGLETRANSLATE(A1132,""en"",""hy"")"),"ինչով է հայտնի Բենեդիկտ Առնոլդը.")</f>
        <v>ինչով է հայտնի Բենեդիկտ Առնոլդը.</v>
      </c>
      <c r="D1132" s="3" t="str">
        <f>IFERROR(__xludf.DUMMYFUNCTION("GOOGLETRANSLATE(B1132,""en"",""hy"")"),"Բենեդիկտ Առնոլդը հայտնի է որպես դավաճան ամերիկյան հեղափոխական պատերազմի ժամանակ։")</f>
        <v>Բենեդիկտ Առնոլդը հայտնի է որպես դավաճան ամերիկյան հեղափոխական պատերազմի ժամանակ։</v>
      </c>
    </row>
    <row r="1133">
      <c r="A1133" s="1" t="s">
        <v>2262</v>
      </c>
      <c r="B1133" s="2" t="s">
        <v>2263</v>
      </c>
      <c r="C1133" s="3" t="str">
        <f>IFERROR(__xludf.DUMMYFUNCTION("GOOGLETRANSLATE(A1133,""en"",""hy"")"),"որտեղ է բնօրինակ Մոնա Լիզան:")</f>
        <v>որտեղ է բնօրինակ Մոնա Լիզան:</v>
      </c>
      <c r="D1133" s="3" t="str">
        <f>IFERROR(__xludf.DUMMYFUNCTION("GOOGLETRANSLATE(B1133,""en"",""hy"")"),"Մոնա Լիզայի բնօրինակը ներկայումս գտնվում է Փարիզի Լուվրի թանգարանում, Ֆրանսիա:")</f>
        <v>Մոնա Լիզայի բնօրինակը ներկայումս գտնվում է Փարիզի Լուվրի թանգարանում, Ֆրանսիա:</v>
      </c>
    </row>
    <row r="1134">
      <c r="A1134" s="1" t="s">
        <v>2264</v>
      </c>
      <c r="B1134" s="2" t="s">
        <v>2265</v>
      </c>
      <c r="C1134" s="3" t="str">
        <f>IFERROR(__xludf.DUMMYFUNCTION("GOOGLETRANSLATE(A1134,""en"",""hy"")"),"ինչ է Ջիլ Վագները wipeout-ում:")</f>
        <v>ինչ է Ջիլ Վագները wipeout-ում:</v>
      </c>
      <c r="D1134" s="3" t="str">
        <f>IFERROR(__xludf.DUMMYFUNCTION("GOOGLETRANSLATE(B1134,""en"",""hy"")"),"Ջիլ Վագները Wipeout հեռուստաշոուի համահաղորդավարն է:")</f>
        <v>Ջիլ Վագները Wipeout հեռուստաշոուի համահաղորդավարն է:</v>
      </c>
    </row>
    <row r="1135">
      <c r="A1135" s="1" t="s">
        <v>2266</v>
      </c>
      <c r="B1135" s="2" t="s">
        <v>2267</v>
      </c>
      <c r="C1135" s="3" t="str">
        <f>IFERROR(__xludf.DUMMYFUNCTION("GOOGLETRANSLATE(A1135,""en"",""hy"")"),"ինչ լեզվով է խոսում Պերուն:")</f>
        <v>ինչ լեզվով է խոսում Պերուն:</v>
      </c>
      <c r="D1135" s="3" t="str">
        <f>IFERROR(__xludf.DUMMYFUNCTION("GOOGLETRANSLATE(B1135,""en"",""hy"")"),"իսպաներեն.")</f>
        <v>իսպաներեն.</v>
      </c>
    </row>
    <row r="1136">
      <c r="A1136" s="1" t="s">
        <v>2268</v>
      </c>
      <c r="B1136" s="2" t="s">
        <v>2269</v>
      </c>
      <c r="C1136" s="3" t="str">
        <f>IFERROR(__xludf.DUMMYFUNCTION("GOOGLETRANSLATE(A1136,""en"",""hy"")"),"որտեղ է port lavaca tx?")</f>
        <v>որտեղ է port lavaca tx?</v>
      </c>
      <c r="D1136" s="3" t="str">
        <f>IFERROR(__xludf.DUMMYFUNCTION("GOOGLETRANSLATE(B1136,""en"",""hy"")"),"Port Lavaca, TX գտնվում է Տեխասի ծոցի ափին, Կալհուն կոմսությունում:")</f>
        <v>Port Lavaca, TX գտնվում է Տեխասի ծոցի ափին, Կալհուն կոմսությունում:</v>
      </c>
    </row>
    <row r="1137">
      <c r="A1137" s="1" t="s">
        <v>2270</v>
      </c>
      <c r="B1137" s="2" t="s">
        <v>2271</v>
      </c>
      <c r="C1137" s="3" t="str">
        <f>IFERROR(__xludf.DUMMYFUNCTION("GOOGLETRANSLATE(A1137,""en"",""hy"")"),"Ո՞ր թիմում է խաղում Ռոնալդինյոն 2013թ.")</f>
        <v>Ո՞ր թիմում է խաղում Ռոնալդինյոն 2013թ.</v>
      </c>
      <c r="D1137" s="3" t="str">
        <f>IFERROR(__xludf.DUMMYFUNCTION("GOOGLETRANSLATE(B1137,""en"",""hy"")"),"2013 թվականին Ռոնալդինյոն հանդես է եկել բրազիլական «Ատլետիկո Մինեյրոյում»:")</f>
        <v>2013 թվականին Ռոնալդինյոն հանդես է եկել բրազիլական «Ատլետիկո Մինեյրոյում»:</v>
      </c>
    </row>
    <row r="1138">
      <c r="A1138" s="1" t="s">
        <v>2272</v>
      </c>
      <c r="B1138" s="2" t="s">
        <v>2273</v>
      </c>
      <c r="C1138" s="3" t="str">
        <f>IFERROR(__xludf.DUMMYFUNCTION("GOOGLETRANSLATE(A1138,""en"",""hy"")"),"ինչ գրքեր է գրել Նիկոլաս Սփարքսը:")</f>
        <v>ինչ գրքեր է գրել Նիկոլաս Սփարքսը:</v>
      </c>
      <c r="D1138" s="3" t="str">
        <f>IFERROR(__xludf.DUMMYFUNCTION("GOOGLETRANSLATE(B1138,""en"",""hy"")"),"Նիկոլաս Սփարկսը գրել է սիրավեպեր։")</f>
        <v>Նիկոլաս Սփարկսը գրել է սիրավեպեր։</v>
      </c>
    </row>
    <row r="1139">
      <c r="A1139" s="1" t="s">
        <v>2274</v>
      </c>
      <c r="B1139" s="2" t="s">
        <v>2275</v>
      </c>
      <c r="C1139" s="3" t="str">
        <f>IFERROR(__xludf.DUMMYFUNCTION("GOOGLETRANSLATE(A1139,""en"",""hy"")"),"ինչ պատահեց մարդկանց հետ Չեռնոբիլում.")</f>
        <v>ինչ պատահեց մարդկանց հետ Չեռնոբիլում.</v>
      </c>
      <c r="D1139" s="3" t="str">
        <f>IFERROR(__xludf.DUMMYFUNCTION("GOOGLETRANSLATE(B1139,""en"",""hy"")"),"Շատ մարդիկ ենթարկվել են ճառագայթման բարձր մակարդակի և տառապել են սուր ճառագայթային հիվանդությամբ: Ոմանք մահացել են դժբախտ պատահարից անմիջապես հետո, իսկ մյուսները ունեցել են երկարատև առողջական խնդիրներ, ինչպիսիք են քաղցկեղը և հարակից այլ հիվանդություններ:")</f>
        <v>Շատ մարդիկ ենթարկվել են ճառագայթման բարձր մակարդակի և տառապել են սուր ճառագայթային հիվանդությամբ: Ոմանք մահացել են դժբախտ պատահարից անմիջապես հետո, իսկ մյուսները ունեցել են երկարատև առողջական խնդիրներ, ինչպիսիք են քաղցկեղը և հարակից այլ հիվանդություններ:</v>
      </c>
    </row>
    <row r="1140">
      <c r="A1140" s="1" t="s">
        <v>2276</v>
      </c>
      <c r="B1140" s="2" t="s">
        <v>2277</v>
      </c>
      <c r="C1140" s="3" t="str">
        <f>IFERROR(__xludf.DUMMYFUNCTION("GOOGLETRANSLATE(A1140,""en"",""hy"")"),"Ո՞ր երկրներում է իսպաներենը որպես պաշտոնական լեզու:")</f>
        <v>Ո՞ր երկրներում է իսպաներենը որպես պաշտոնական լեզու:</v>
      </c>
      <c r="D1140" s="3" t="str">
        <f>IFERROR(__xludf.DUMMYFUNCTION("GOOGLETRANSLATE(B1140,""en"",""hy"")"),"Իսպանիան և Լատինական Ամերիկայի երկրների մեծ մասը ունեն իսպաներենը որպես իրենց պաշտոնական լեզու: Որոշ օրինակներ ներառում են Մեքսիկան, Կոլումբիան, Արգենտինան, Պերուն, Չիլին և Վենեսուելան:")</f>
        <v>Իսպանիան և Լատինական Ամերիկայի երկրների մեծ մասը ունեն իսպաներենը որպես իրենց պաշտոնական լեզու: Որոշ օրինակներ ներառում են Մեքսիկան, Կոլումբիան, Արգենտինան, Պերուն, Չիլին և Վենեսուելան:</v>
      </c>
    </row>
    <row r="1141">
      <c r="A1141" s="1" t="s">
        <v>2278</v>
      </c>
      <c r="B1141" s="2" t="s">
        <v>2279</v>
      </c>
      <c r="C1141" s="3" t="str">
        <f>IFERROR(__xludf.DUMMYFUNCTION("GOOGLETRANSLATE(A1141,""en"",""hy"")"),"ով էր Հյուսիսային Կորեայի կոմունիստ դիկտատորը.")</f>
        <v>ով էր Հյուսիսային Կորեայի կոմունիստ դիկտատորը.</v>
      </c>
      <c r="D1141" s="3" t="str">
        <f>IFERROR(__xludf.DUMMYFUNCTION("GOOGLETRANSLATE(B1141,""en"",""hy"")"),"Կիմ Իր Սուն")</f>
        <v>Կիմ Իր Սուն</v>
      </c>
    </row>
    <row r="1142">
      <c r="A1142" s="1" t="s">
        <v>2280</v>
      </c>
      <c r="B1142" s="2" t="s">
        <v>2173</v>
      </c>
      <c r="C1142" s="3" t="str">
        <f>IFERROR(__xludf.DUMMYFUNCTION("GOOGLETRANSLATE(A1142,""en"",""hy"")"),"ով էր Գերմանիայի առաջնորդը Wwii-ում:")</f>
        <v>ով էր Գերմանիայի առաջնորդը Wwii-ում:</v>
      </c>
      <c r="D1142" s="3" t="str">
        <f>IFERROR(__xludf.DUMMYFUNCTION("GOOGLETRANSLATE(B1142,""en"",""hy"")"),"Ադոլֆ Հիտլեր.")</f>
        <v>Ադոլֆ Հիտլեր.</v>
      </c>
    </row>
    <row r="1143">
      <c r="A1143" s="1" t="s">
        <v>2281</v>
      </c>
      <c r="B1143" s="2" t="s">
        <v>2282</v>
      </c>
      <c r="C1143" s="3" t="str">
        <f>IFERROR(__xludf.DUMMYFUNCTION("GOOGLETRANSLATE(A1143,""en"",""hy"")"),"ի՞նչ գործ է անում Ռաջ Կունդրան:")</f>
        <v>ի՞նչ գործ է անում Ռաջ Կունդրան:</v>
      </c>
      <c r="D1143" s="3" t="str">
        <f>IFERROR(__xludf.DUMMYFUNCTION("GOOGLETRANSLATE(B1143,""en"",""hy"")"),"Ռաջ Կունդրան ներգրավված է տարբեր բիզնեսներում, այդ թվում՝ անշարժ գույքի, մանրածախ առևտրի և զվարճանքի ոլորտներում:")</f>
        <v>Ռաջ Կունդրան ներգրավված է տարբեր բիզնեսներում, այդ թվում՝ անշարժ գույքի, մանրածախ առևտրի և զվարճանքի ոլորտներում:</v>
      </c>
    </row>
    <row r="1144">
      <c r="A1144" s="1" t="s">
        <v>2283</v>
      </c>
      <c r="B1144" s="2" t="s">
        <v>2284</v>
      </c>
      <c r="C1144" s="3" t="str">
        <f>IFERROR(__xludf.DUMMYFUNCTION("GOOGLETRANSLATE(A1144,""en"",""hy"")"),"ո՞ր ֆիլմերում է Մոլի Ռինգվոլդը")</f>
        <v>ո՞ր ֆիլմերում է Մոլի Ռինգվոլդը</v>
      </c>
      <c r="D1144" s="3" t="str">
        <f>IFERROR(__xludf.DUMMYFUNCTION("GOOGLETRANSLATE(B1144,""en"",""hy"")"),"Մոլլի Ռինգվալդը հայտնի է իր դերերով այնպիսի ֆիլմերում, ինչպիսիք են «Տասնվեց մոմեր», «Նախաճաշի ակումբ» և «Գեղեցիկ վարդագույնով»:")</f>
        <v>Մոլլի Ռինգվալդը հայտնի է իր դերերով այնպիսի ֆիլմերում, ինչպիսիք են «Տասնվեց մոմեր», «Նախաճաշի ակումբ» և «Գեղեցիկ վարդագույնով»:</v>
      </c>
    </row>
    <row r="1145">
      <c r="A1145" s="1" t="s">
        <v>2285</v>
      </c>
      <c r="B1145" s="2" t="s">
        <v>2286</v>
      </c>
      <c r="C1145" s="3" t="str">
        <f>IFERROR(__xludf.DUMMYFUNCTION("GOOGLETRANSLATE(A1145,""en"",""hy"")"),"ինչպես է կոչվում ժամային գոտին Կալիֆորնիայում:")</f>
        <v>ինչպես է կոչվում ժամային գոտին Կալիֆորնիայում:</v>
      </c>
      <c r="D1145" s="3" t="str">
        <f>IFERROR(__xludf.DUMMYFUNCTION("GOOGLETRANSLATE(B1145,""en"",""hy"")"),"Կալիֆոռնիայի ժամային գոտին կոչվում է Խաղաղօվկիանոսյան ստանդարտ ժամանակ (PST):")</f>
        <v>Կալիֆոռնիայի ժամային գոտին կոչվում է Խաղաղօվկիանոսյան ստանդարտ ժամանակ (PST):</v>
      </c>
    </row>
    <row r="1146">
      <c r="A1146" s="1" t="s">
        <v>2287</v>
      </c>
      <c r="B1146" s="2" t="s">
        <v>2288</v>
      </c>
      <c r="C1146" s="3" t="str">
        <f>IFERROR(__xludf.DUMMYFUNCTION("GOOGLETRANSLATE(A1146,""en"",""hy"")"),"Ո՞ր թիմում է խաղում Դրոգբան 2013թ.")</f>
        <v>Ո՞ր թիմում է խաղում Դրոգբան 2013թ.</v>
      </c>
      <c r="D1146" s="3" t="str">
        <f>IFERROR(__xludf.DUMMYFUNCTION("GOOGLETRANSLATE(B1146,""en"",""hy"")"),"Դրոգբան «Գալաթասարայում» հանդես է եկել 2013 թվականին։")</f>
        <v>Դրոգբան «Գալաթասարայում» հանդես է եկել 2013 թվականին։</v>
      </c>
    </row>
    <row r="1147">
      <c r="A1147" s="1" t="s">
        <v>2289</v>
      </c>
      <c r="B1147" s="2" t="s">
        <v>2290</v>
      </c>
      <c r="C1147" s="3" t="str">
        <f>IFERROR(__xludf.DUMMYFUNCTION("GOOGLETRANSLATE(A1147,""en"",""hy"")"),"ի՞նչ է արել Մայքլ Ֆարադեյը:")</f>
        <v>ի՞նչ է արել Մայքլ Ֆարադեյը:</v>
      </c>
      <c r="D1147" s="3" t="str">
        <f>IFERROR(__xludf.DUMMYFUNCTION("GOOGLETRANSLATE(B1147,""en"",""hy"")"),"Մայքլ Ֆարադեյը հայտնաբերեց էլեկտրամագնիսական ինդուկցիան և լայնածավալ հետազոտություններ կատարեց էլեկտրամագնիսականության վերաբերյալ՝ զգալի ներդրում ունենալով էլեկտրատեխնիկայի ոլորտում:")</f>
        <v>Մայքլ Ֆարադեյը հայտնաբերեց էլեկտրամագնիսական ինդուկցիան և լայնածավալ հետազոտություններ կատարեց էլեկտրամագնիսականության վերաբերյալ՝ զգալի ներդրում ունենալով էլեկտրատեխնիկայի ոլորտում:</v>
      </c>
    </row>
    <row r="1148">
      <c r="A1148" s="1" t="s">
        <v>2291</v>
      </c>
      <c r="B1148" s="2" t="s">
        <v>2292</v>
      </c>
      <c r="C1148" s="3" t="str">
        <f>IFERROR(__xludf.DUMMYFUNCTION("GOOGLETRANSLATE(A1148,""en"",""hy"")"),"ինչպես էր կոչվում այն ​​թերթը, որտեղ գրել էր Հեմինգուեյը:")</f>
        <v>ինչպես էր կոչվում այն ​​թերթը, որտեղ գրել էր Հեմինգուեյը:</v>
      </c>
      <c r="D1148" s="3" t="str">
        <f>IFERROR(__xludf.DUMMYFUNCTION("GOOGLETRANSLATE(B1148,""en"",""hy"")"),"Թերթի անունը, որտեղ գրել է Հեմինգուեյը, եղել է Kansas City Star-ը։")</f>
        <v>Թերթի անունը, որտեղ գրել է Հեմինգուեյը, եղել է Kansas City Star-ը։</v>
      </c>
    </row>
    <row r="1149">
      <c r="A1149" s="1" t="s">
        <v>2293</v>
      </c>
      <c r="B1149" s="2" t="s">
        <v>2294</v>
      </c>
      <c r="C1149" s="3" t="str">
        <f>IFERROR(__xludf.DUMMYFUNCTION("GOOGLETRANSLATE(A1149,""en"",""hy"")"),"ո՞ւմ համար է խաղալու Ալեքս Սմիթը 2011թ.")</f>
        <v>ո՞ւմ համար է խաղալու Ալեքս Սմիթը 2011թ.</v>
      </c>
      <c r="D1149" s="3" t="str">
        <f>IFERROR(__xludf.DUMMYFUNCTION("GOOGLETRANSLATE(B1149,""en"",""hy"")"),"Ալեքս Սմիթը 2011 թվականին հանդես կգա «Սան Ֆրանցիսկո 49երս»-ում:")</f>
        <v>Ալեքս Սմիթը 2011 թվականին հանդես կգա «Սան Ֆրանցիսկո 49երս»-ում:</v>
      </c>
    </row>
    <row r="1150">
      <c r="A1150" s="1" t="s">
        <v>2295</v>
      </c>
      <c r="B1150" s="2" t="s">
        <v>2296</v>
      </c>
      <c r="C1150" s="3" t="str">
        <f>IFERROR(__xludf.DUMMYFUNCTION("GOOGLETRANSLATE(A1150,""en"",""hy"")"),"ո՞րն է Միացյալ Նահանգների հյուսիս-արևելքը:")</f>
        <v>ո՞րն է Միացյալ Նահանգների հյուսիս-արևելքը:</v>
      </c>
      <c r="D1150" s="3" t="str">
        <f>IFERROR(__xludf.DUMMYFUNCTION("GOOGLETRANSLATE(B1150,""en"",""hy"")"),"Միացյալ Նահանգների հյուսիս-արևելքը վերաբերում է տարածաշրջանին, որն ընդգրկում է այնպիսի նահանգներ, ինչպիսիք են Նյու Յորքը, Նյու Ջերսին, Փենսիլվանիան, Մասաչուսեթսը և Կոնեկտիկուտը:")</f>
        <v>Միացյալ Նահանգների հյուսիս-արևելքը վերաբերում է տարածաշրջանին, որն ընդգրկում է այնպիսի նահանգներ, ինչպիսիք են Նյու Յորքը, Նյու Ջերսին, Փենսիլվանիան, Մասաչուսեթսը և Կոնեկտիկուտը:</v>
      </c>
    </row>
    <row r="1151">
      <c r="A1151" s="1" t="s">
        <v>2297</v>
      </c>
      <c r="B1151" s="2" t="s">
        <v>2298</v>
      </c>
      <c r="C1151" s="3" t="str">
        <f>IFERROR(__xludf.DUMMYFUNCTION("GOOGLETRANSLATE(A1151,""en"",""hy"")"),"ի՞նչ է նշանակում հոլանդերեն boer բառը:")</f>
        <v>ի՞նչ է նշանակում հոլանդերեն boer բառը:</v>
      </c>
      <c r="D1151" s="3" t="str">
        <f>IFERROR(__xludf.DUMMYFUNCTION("GOOGLETRANSLATE(B1151,""en"",""hy"")"),"Հոլանդերեն «boer» բառը անգլերեն նշանակում է «ֆերմեր»:")</f>
        <v>Հոլանդերեն «boer» բառը անգլերեն նշանակում է «ֆերմեր»:</v>
      </c>
    </row>
    <row r="1152">
      <c r="A1152" s="1" t="s">
        <v>2299</v>
      </c>
      <c r="B1152" s="2" t="s">
        <v>2300</v>
      </c>
      <c r="C1152" s="3" t="str">
        <f>IFERROR(__xludf.DUMMYFUNCTION("GOOGLETRANSLATE(A1152,""en"",""hy"")"),"ինչ արժույթ է օգտագործում Բրազիլիան")</f>
        <v>ինչ արժույթ է օգտագործում Բրազիլիան</v>
      </c>
      <c r="D1152" s="3" t="str">
        <f>IFERROR(__xludf.DUMMYFUNCTION("GOOGLETRANSLATE(B1152,""en"",""hy"")"),"Բրազիլիան որպես արժույթ օգտագործում է բրազիլական ռեալը։")</f>
        <v>Բրազիլիան որպես արժույթ օգտագործում է բրազիլական ռեալը։</v>
      </c>
    </row>
    <row r="1153">
      <c r="A1153" s="1" t="s">
        <v>2301</v>
      </c>
      <c r="B1153" s="2" t="s">
        <v>2302</v>
      </c>
      <c r="C1153" s="3" t="str">
        <f>IFERROR(__xludf.DUMMYFUNCTION("GOOGLETRANSLATE(A1153,""en"",""hy"")"),"ինչ ժամային գոտի ունի Շվեդիան:")</f>
        <v>ինչ ժամային գոտի ունի Շվեդիան:</v>
      </c>
      <c r="D1153" s="3" t="str">
        <f>IFERROR(__xludf.DUMMYFUNCTION("GOOGLETRANSLATE(B1153,""en"",""hy"")"),"Շվեդիան գտնվում է Կենտրոնական Եվրոպայի ժամային գոտում (CET):")</f>
        <v>Շվեդիան գտնվում է Կենտրոնական Եվրոպայի ժամային գոտում (CET):</v>
      </c>
    </row>
    <row r="1154">
      <c r="A1154" s="1" t="s">
        <v>2303</v>
      </c>
      <c r="B1154" s="2" t="s">
        <v>2304</v>
      </c>
      <c r="C1154" s="3" t="str">
        <f>IFERROR(__xludf.DUMMYFUNCTION("GOOGLETRANSLATE(A1154,""en"",""hy"")"),"ով խաղաց Լոյս Էն Սուպերմեն")</f>
        <v>ով խաղաց Լոյս Էն Սուպերմեն</v>
      </c>
      <c r="D1154" s="3" t="str">
        <f>IFERROR(__xludf.DUMMYFUNCTION("GOOGLETRANSLATE(B1154,""en"",""hy"")"),"Սուպերմենի ֆիլմերում Լոիս Լեյնին մարմնավորել է դերասանուհի Մարգո Քիդերը։")</f>
        <v>Սուպերմենի ֆիլմերում Լոիս Լեյնին մարմնավորել է դերասանուհի Մարգո Քիդերը։</v>
      </c>
    </row>
    <row r="1155">
      <c r="A1155" s="1" t="s">
        <v>2305</v>
      </c>
      <c r="B1155" s="2" t="s">
        <v>2306</v>
      </c>
      <c r="C1155" s="3" t="str">
        <f>IFERROR(__xludf.DUMMYFUNCTION("GOOGLETRANSLATE(A1155,""en"",""hy"")"),"որտեղ է ավարտվում Զամբեզի գետը:")</f>
        <v>որտեղ է ավարտվում Զամբեզի գետը:</v>
      </c>
      <c r="D1155" s="3" t="str">
        <f>IFERROR(__xludf.DUMMYFUNCTION("GOOGLETRANSLATE(B1155,""en"",""hy"")"),"Զամբեզի գետն ավարտվում է Հնդկական օվկիանոսում։")</f>
        <v>Զամբեզի գետն ավարտվում է Հնդկական օվկիանոսում։</v>
      </c>
    </row>
    <row r="1156">
      <c r="A1156" s="1" t="s">
        <v>2307</v>
      </c>
      <c r="B1156" s="2" t="s">
        <v>2308</v>
      </c>
      <c r="C1156" s="3" t="str">
        <f>IFERROR(__xludf.DUMMYFUNCTION("GOOGLETRANSLATE(A1156,""en"",""hy"")"),"ի՞նչ էր անում պարոն Ռոջերսը հեռուստացույցից առաջ:")</f>
        <v>ի՞նչ էր անում պարոն Ռոջերսը հեռուստացույցից առաջ:</v>
      </c>
      <c r="D1156" s="3" t="str">
        <f>IFERROR(__xludf.DUMMYFUNCTION("GOOGLETRANSLATE(B1156,""en"",""hy"")"),"Մինչ հեռուստատեսությունը, պարոն Ռոջերսը տարբեր դերերում է աշխատել մանկական ծրագրերի ոլորտում, այդ թվում՝ ուսումնասիրելով երեխաների զարգացումը և աշխատել որպես պրոդյուսեր և տիկնիկավար:")</f>
        <v>Մինչ հեռուստատեսությունը, պարոն Ռոջերսը տարբեր դերերում է աշխատել մանկական ծրագրերի ոլորտում, այդ թվում՝ ուսումնասիրելով երեխաների զարգացումը և աշխատել որպես պրոդյուսեր և տիկնիկավար:</v>
      </c>
    </row>
    <row r="1157">
      <c r="A1157" s="1" t="s">
        <v>2309</v>
      </c>
      <c r="B1157" s="2" t="s">
        <v>2310</v>
      </c>
      <c r="C1157" s="3" t="str">
        <f>IFERROR(__xludf.DUMMYFUNCTION("GOOGLETRANSLATE(A1157,""en"",""hy"")"),"ո՞րն է փողի արժույթը Շվեյցարիայում:")</f>
        <v>ո՞րն է փողի արժույթը Շվեյցարիայում:</v>
      </c>
      <c r="D1157" s="3" t="str">
        <f>IFERROR(__xludf.DUMMYFUNCTION("GOOGLETRANSLATE(B1157,""en"",""hy"")"),"Շվեյցարիայում արժույթը շվեյցարական ֆրանկն է (CHF):")</f>
        <v>Շվեյցարիայում արժույթը շվեյցարական ֆրանկն է (CHF):</v>
      </c>
    </row>
    <row r="1158">
      <c r="A1158" s="1" t="s">
        <v>2311</v>
      </c>
      <c r="B1158" s="2" t="s">
        <v>1251</v>
      </c>
      <c r="C1158" s="3" t="str">
        <f>IFERROR(__xludf.DUMMYFUNCTION("GOOGLETRANSLATE(A1158,""en"",""hy"")"),"Ո՞ր նահանգում էր ապրում Ջորջ Վաշինգթոնը")</f>
        <v>Ո՞ր նահանգում էր ապրում Ջորջ Վաշինգթոնը</v>
      </c>
      <c r="D1158" s="3" t="str">
        <f>IFERROR(__xludf.DUMMYFUNCTION("GOOGLETRANSLATE(B1158,""en"",""hy"")"),"Վիրջինիա.")</f>
        <v>Վիրջինիա.</v>
      </c>
    </row>
    <row r="1159">
      <c r="A1159" s="1" t="s">
        <v>2312</v>
      </c>
      <c r="B1159" s="2" t="s">
        <v>2313</v>
      </c>
      <c r="C1159" s="3" t="str">
        <f>IFERROR(__xludf.DUMMYFUNCTION("GOOGLETRANSLATE(A1159,""en"",""hy"")"),"որտեղ է Մաունթ Վերնոն Վիրջինիան:")</f>
        <v>որտեղ է Մաունթ Վերնոն Վիրջինիան:</v>
      </c>
      <c r="D1159" s="3" t="str">
        <f>IFERROR(__xludf.DUMMYFUNCTION("GOOGLETRANSLATE(B1159,""en"",""hy"")"),"Մաունթ Վերնոն, Վիրջինիա, գտնվում է ԱՄՆ Վիրջինիա նահանգի Ֆեյրֆաքս շրջանում։")</f>
        <v>Մաունթ Վերնոն, Վիրջինիա, գտնվում է ԱՄՆ Վիրջինիա նահանգի Ֆեյրֆաքս շրջանում։</v>
      </c>
    </row>
    <row r="1160">
      <c r="A1160" s="1" t="s">
        <v>2314</v>
      </c>
      <c r="B1160" s="2" t="s">
        <v>2315</v>
      </c>
      <c r="C1160" s="3" t="str">
        <f>IFERROR(__xludf.DUMMYFUNCTION("GOOGLETRANSLATE(A1160,""en"",""hy"")"),"որտեղից է Kia մեքենան")</f>
        <v>որտեղից է Kia մեքենան</v>
      </c>
      <c r="D1160" s="3" t="str">
        <f>IFERROR(__xludf.DUMMYFUNCTION("GOOGLETRANSLATE(B1160,""en"",""hy"")"),"Kia մեքենաները Հարավային Կորեայից են։")</f>
        <v>Kia մեքենաները Հարավային Կորեայից են։</v>
      </c>
    </row>
    <row r="1161">
      <c r="A1161" s="1" t="s">
        <v>2316</v>
      </c>
      <c r="B1161" s="2" t="s">
        <v>2317</v>
      </c>
      <c r="C1161" s="3" t="str">
        <f>IFERROR(__xludf.DUMMYFUNCTION("GOOGLETRANSLATE(A1161,""en"",""hy"")"),"որտե՞ղ է ապրել Նոյը ջրհեղեղից առաջ։")</f>
        <v>որտե՞ղ է ապրել Նոյը ջրհեղեղից առաջ։</v>
      </c>
      <c r="D1161" s="3" t="str">
        <f>IFERROR(__xludf.DUMMYFUNCTION("GOOGLETRANSLATE(B1161,""en"",""hy"")"),"Նոյը ջրհեղեղից առաջ ապրում էր երկրում։")</f>
        <v>Նոյը ջրհեղեղից առաջ ապրում էր երկրում։</v>
      </c>
    </row>
    <row r="1162">
      <c r="A1162" s="1" t="s">
        <v>2318</v>
      </c>
      <c r="B1162" s="2" t="s">
        <v>2319</v>
      </c>
      <c r="C1162" s="3" t="str">
        <f>IFERROR(__xludf.DUMMYFUNCTION("GOOGLETRANSLATE(A1162,""en"",""hy"")"),"Ե՞րբ է Ջորջ Բուշը ստանձնել պաշտոնը:")</f>
        <v>Ե՞րբ է Ջորջ Բուշը ստանձնել պաշտոնը:</v>
      </c>
      <c r="D1162" s="3" t="str">
        <f>IFERROR(__xludf.DUMMYFUNCTION("GOOGLETRANSLATE(B1162,""en"",""hy"")"),"Ջորջ Բուշը ստանձնել է պաշտոնը 2001 թվականի հունվարի 20-ին։")</f>
        <v>Ջորջ Բուշը ստանձնել է պաշտոնը 2001 թվականի հունվարի 20-ին։</v>
      </c>
    </row>
    <row r="1163">
      <c r="A1163" s="1" t="s">
        <v>2320</v>
      </c>
      <c r="B1163" s="2" t="s">
        <v>2321</v>
      </c>
      <c r="C1163" s="3" t="str">
        <f>IFERROR(__xludf.DUMMYFUNCTION("GOOGLETRANSLATE(A1163,""en"",""hy"")"),"որտեղ են խաղում Կանզաս քաղաքի ղեկավարները:")</f>
        <v>որտեղ են խաղում Կանզաս քաղաքի ղեկավարները:</v>
      </c>
      <c r="D1163" s="3" t="str">
        <f>IFERROR(__xludf.DUMMYFUNCTION("GOOGLETRANSLATE(B1163,""en"",""hy"")"),"Կանզաս Սիթի Չիֆսը խաղում է Էրոուհեդ մարզադաշտում:")</f>
        <v>Կանզաս Սիթի Չիֆսը խաղում է Էրոուհեդ մարզադաշտում:</v>
      </c>
    </row>
    <row r="1164">
      <c r="A1164" s="1" t="s">
        <v>2322</v>
      </c>
      <c r="B1164" s="2" t="s">
        <v>2323</v>
      </c>
      <c r="C1164" s="3" t="str">
        <f>IFERROR(__xludf.DUMMYFUNCTION("GOOGLETRANSLATE(A1164,""en"",""hy"")"),"Ո՞ր երկրների միջով է անցնում Միսիսիպի գետը:")</f>
        <v>Ո՞ր երկրների միջով է անցնում Միսիսիպի գետը:</v>
      </c>
      <c r="D1164" s="3" t="str">
        <f>IFERROR(__xludf.DUMMYFUNCTION("GOOGLETRANSLATE(B1164,""en"",""hy"")"),"Միսիսիպի գետը հոսում է Միացյալ Նահանգներով։")</f>
        <v>Միսիսիպի գետը հոսում է Միացյալ Նահանգներով։</v>
      </c>
    </row>
    <row r="1165">
      <c r="A1165" s="1" t="s">
        <v>2324</v>
      </c>
      <c r="B1165" s="2" t="s">
        <v>2325</v>
      </c>
      <c r="C1165" s="3" t="str">
        <f>IFERROR(__xludf.DUMMYFUNCTION("GOOGLETRANSLATE(A1165,""en"",""hy"")"),"Ո՞ր ժամանակակից երկրում է գտնվում Յուկատան թերակղզին:")</f>
        <v>Ո՞ր ժամանակակից երկրում է գտնվում Յուկատան թերակղզին:</v>
      </c>
      <c r="D1165" s="3" t="str">
        <f>IFERROR(__xludf.DUMMYFUNCTION("GOOGLETRANSLATE(B1165,""en"",""hy"")"),"Մեքսիկա.")</f>
        <v>Մեքսիկա.</v>
      </c>
    </row>
    <row r="1166">
      <c r="A1166" s="1" t="s">
        <v>2326</v>
      </c>
      <c r="B1166" s="2" t="s">
        <v>2327</v>
      </c>
      <c r="C1166" s="3" t="str">
        <f>IFERROR(__xludf.DUMMYFUNCTION("GOOGLETRANSLATE(A1166,""en"",""hy"")"),"ինչ է վաճառում starbucks-ը")</f>
        <v>ինչ է վաճառում starbucks-ը</v>
      </c>
      <c r="D1166" s="3" t="str">
        <f>IFERROR(__xludf.DUMMYFUNCTION("GOOGLETRANSLATE(B1166,""en"",""hy"")"),"Starbucks-ը վաճառում է սուրճ, թեյ և տարբեր սննդամթերք:")</f>
        <v>Starbucks-ը վաճառում է սուրճ, թեյ և տարբեր սննդամթերք:</v>
      </c>
    </row>
    <row r="1167">
      <c r="A1167" s="1" t="s">
        <v>2328</v>
      </c>
      <c r="B1167" s="2" t="s">
        <v>2329</v>
      </c>
      <c r="C1167" s="3" t="str">
        <f>IFERROR(__xludf.DUMMYFUNCTION("GOOGLETRANSLATE(A1167,""en"",""hy"")"),"ով է Լինքոլն Ստեֆենսը")</f>
        <v>ով է Լինքոլն Ստեֆենսը</v>
      </c>
      <c r="D1167" s="3" t="str">
        <f>IFERROR(__xludf.DUMMYFUNCTION("GOOGLETRANSLATE(B1167,""en"",""hy"")"),"Լինքոլն Ստեֆենսը ամերիկացի լրագրող և առաջադեմ մտածող էր։")</f>
        <v>Լինքոլն Ստեֆենսը ամերիկացի լրագրող և առաջադեմ մտածող էր։</v>
      </c>
    </row>
    <row r="1168">
      <c r="A1168" s="1" t="s">
        <v>2330</v>
      </c>
      <c r="B1168" s="2" t="s">
        <v>2331</v>
      </c>
      <c r="C1168" s="3" t="str">
        <f>IFERROR(__xludf.DUMMYFUNCTION("GOOGLETRANSLATE(A1168,""en"",""hy"")"),"ինչպիսի՞ քաղաքական համակարգ ունի Իրանը.")</f>
        <v>ինչպիսի՞ քաղաքական համակարգ ունի Իրանը.</v>
      </c>
      <c r="D1168" s="3" t="str">
        <f>IFERROR(__xludf.DUMMYFUNCTION("GOOGLETRANSLATE(B1168,""en"",""hy"")"),"Իրանն ունի աստվածապետական ​​հանրապետական ​​քաղաքական համակարգ։")</f>
        <v>Իրանն ունի աստվածապետական ​​հանրապետական ​​քաղաքական համակարգ։</v>
      </c>
    </row>
    <row r="1169">
      <c r="A1169" s="1" t="s">
        <v>2332</v>
      </c>
      <c r="B1169" s="2" t="s">
        <v>2110</v>
      </c>
      <c r="C1169" s="3" t="str">
        <f>IFERROR(__xludf.DUMMYFUNCTION("GOOGLETRANSLATE(A1169,""en"",""hy"")"),"ով է լսում Լոիսի ձայնը ընտանիքի տղայի մեջ:")</f>
        <v>ով է լսում Լոիսի ձայնը ընտանիքի տղայի մեջ:</v>
      </c>
      <c r="D1169" s="3" t="str">
        <f>IFERROR(__xludf.DUMMYFUNCTION("GOOGLETRANSLATE(B1169,""en"",""hy"")"),"Ալեքս Բորշտեյն.")</f>
        <v>Ալեքս Բորշտեյն.</v>
      </c>
    </row>
    <row r="1170">
      <c r="A1170" s="1" t="s">
        <v>2333</v>
      </c>
      <c r="B1170" s="2" t="s">
        <v>2334</v>
      </c>
      <c r="C1170" s="3" t="str">
        <f>IFERROR(__xludf.DUMMYFUNCTION("GOOGLETRANSLATE(A1170,""en"",""hy"")"),"որո՞նք են այն բոլոր ֆիլմերը, որոնցում նկարահանվել է Չենինգ Թաթումը:")</f>
        <v>որո՞նք են այն բոլոր ֆիլմերը, որոնցում նկարահանվել է Չենինգ Թաթումը:</v>
      </c>
      <c r="D1170" s="3" t="str">
        <f>IFERROR(__xludf.DUMMYFUNCTION("GOOGLETRANSLATE(B1170,""en"",""hy"")"),"Որոշ ֆիլմեր, որոնցում նկարահանվել է Չենինգ Թաթումը, ներառում են «Magic Mike», «Step Up», «21 Jump Street» և «Dear John»:")</f>
        <v>Որոշ ֆիլմեր, որոնցում նկարահանվել է Չենինգ Թաթումը, ներառում են «Magic Mike», «Step Up», «21 Jump Street» և «Dear John»:</v>
      </c>
    </row>
    <row r="1171">
      <c r="A1171" s="1" t="s">
        <v>2335</v>
      </c>
      <c r="B1171" s="2" t="s">
        <v>2336</v>
      </c>
      <c r="C1171" s="3" t="str">
        <f>IFERROR(__xludf.DUMMYFUNCTION("GOOGLETRANSLATE(A1171,""en"",""hy"")"),"որտեղ է գտնվում Պանամայի երկիրը:")</f>
        <v>որտեղ է գտնվում Պանամայի երկիրը:</v>
      </c>
      <c r="D1171" s="3" t="str">
        <f>IFERROR(__xludf.DUMMYFUNCTION("GOOGLETRANSLATE(B1171,""en"",""hy"")"),"Պանաման գտնվում է Կենտրոնական Ամերիկայում։")</f>
        <v>Պանաման գտնվում է Կենտրոնական Ամերիկայում։</v>
      </c>
    </row>
    <row r="1172">
      <c r="A1172" s="1" t="s">
        <v>2337</v>
      </c>
      <c r="B1172" s="2" t="s">
        <v>2338</v>
      </c>
      <c r="C1172" s="3" t="str">
        <f>IFERROR(__xludf.DUMMYFUNCTION("GOOGLETRANSLATE(A1172,""en"",""hy"")"),"ո՞ր պետությունն էր ներկայացնում Վուդրո Վիլսոնը:")</f>
        <v>ո՞ր պետությունն էր ներկայացնում Վուդրո Վիլսոնը:</v>
      </c>
      <c r="D1172" s="3" t="str">
        <f>IFERROR(__xludf.DUMMYFUNCTION("GOOGLETRANSLATE(B1172,""en"",""hy"")"),"Վուդրո Վիլսոնը ներկայացնում էր Նյու Ջերսի նահանգը։")</f>
        <v>Վուդրո Վիլսոնը ներկայացնում էր Նյու Ջերսի նահանգը։</v>
      </c>
    </row>
    <row r="1173">
      <c r="A1173" s="1" t="s">
        <v>2339</v>
      </c>
      <c r="B1173" s="2" t="s">
        <v>2340</v>
      </c>
      <c r="C1173" s="3" t="str">
        <f>IFERROR(__xludf.DUMMYFUNCTION("GOOGLETRANSLATE(A1173,""en"",""hy"")"),"ի՞նչ դժվարություններ է հաղթահարել Թեդի Ռուզվելտը:")</f>
        <v>ի՞նչ դժվարություններ է հաղթահարել Թեդի Ռուզվելտը:</v>
      </c>
      <c r="D1173" s="3" t="str">
        <f>IFERROR(__xludf.DUMMYFUNCTION("GOOGLETRANSLATE(B1173,""en"",""hy"")"),"Թեդի Ռուզվելտը հաղթահարեց հիվանդ երեխա լինելու դժվարությունը և իր թուլությունը ուժի վերածեց իր վճռականության և աշխատասիրության շնորհիվ:")</f>
        <v>Թեդի Ռուզվելտը հաղթահարեց հիվանդ երեխա լինելու դժվարությունը և իր թուլությունը ուժի վերածեց իր վճռականության և աշխատասիրության շնորհիվ:</v>
      </c>
    </row>
    <row r="1174">
      <c r="A1174" s="1" t="s">
        <v>2341</v>
      </c>
      <c r="B1174" s="2" t="s">
        <v>2342</v>
      </c>
      <c r="C1174" s="3" t="str">
        <f>IFERROR(__xludf.DUMMYFUNCTION("GOOGLETRANSLATE(A1174,""en"",""hy"")"),"որտեղ է գտնվում Ալաբամայի համալսարանը:")</f>
        <v>որտեղ է գտնվում Ալաբամայի համալսարանը:</v>
      </c>
      <c r="D1174" s="3" t="str">
        <f>IFERROR(__xludf.DUMMYFUNCTION("GOOGLETRANSLATE(B1174,""en"",""hy"")"),"Ալաբամայի համալսարանը գտնվում է Ալաբամա նահանգի Տուսկալուսա քաղաքում:")</f>
        <v>Ալաբամայի համալսարանը գտնվում է Ալաբամա նահանգի Տուսկալուսա քաղաքում:</v>
      </c>
    </row>
    <row r="1175">
      <c r="A1175" s="1" t="s">
        <v>2343</v>
      </c>
      <c r="B1175" s="2" t="s">
        <v>2344</v>
      </c>
      <c r="C1175" s="3" t="str">
        <f>IFERROR(__xludf.DUMMYFUNCTION("GOOGLETRANSLATE(A1175,""en"",""hy"")"),"ում կողմից է ազդվել Արթուր Միլլերը")</f>
        <v>ում կողմից է ազդվել Արթուր Միլլերը</v>
      </c>
      <c r="D1175" s="3" t="str">
        <f>IFERROR(__xludf.DUMMYFUNCTION("GOOGLETRANSLATE(B1175,""en"",""hy"")"),"Արթուր Միլլերը կրել է նորվեգացի դրամատուրգ Հենրիկ Իբսենի ազդեցությունը, որը հայտնի է իր ռեալիստական ​​դրամաներով և սոցիալական քննադատությամբ։")</f>
        <v>Արթուր Միլլերը կրել է նորվեգացի դրամատուրգ Հենրիկ Իբսենի ազդեցությունը, որը հայտնի է իր ռեալիստական ​​դրամաներով և սոցիալական քննադատությամբ։</v>
      </c>
    </row>
    <row r="1176">
      <c r="A1176" s="1" t="s">
        <v>2345</v>
      </c>
      <c r="B1176" s="2" t="s">
        <v>2346</v>
      </c>
      <c r="C1176" s="3" t="str">
        <f>IFERROR(__xludf.DUMMYFUNCTION("GOOGLETRANSLATE(A1176,""en"",""hy"")"),"ո՞ր երկրներն են օգտագործում եվրո փողերը")</f>
        <v>ո՞ր երկրներն են օգտագործում եվրո փողերը</v>
      </c>
      <c r="D1176" s="3" t="str">
        <f>IFERROR(__xludf.DUMMYFUNCTION("GOOGLETRANSLATE(B1176,""en"",""hy"")"),"Եվրոն որպես արժույթ օգտագործող երկրներն են Ավստրիան, Բելգիան, Կիպրոսը, Էստոնիան, Ֆինլանդիան, Ֆրանսիան, Գերմանիան, Հունաստանը, Իռլանդիան, Իտալիան, Լատվիան, Լիտվան, Լյուքսեմբուրգը, Մալթան, Նիդեռլանդները, Պորտուգալիան, Սլովակիան, Սլովենիան և Իսպանիան:")</f>
        <v>Եվրոն որպես արժույթ օգտագործող երկրներն են Ավստրիան, Բելգիան, Կիպրոսը, Էստոնիան, Ֆինլանդիան, Ֆրանսիան, Գերմանիան, Հունաստանը, Իռլանդիան, Իտալիան, Լատվիան, Լիտվան, Լյուքսեմբուրգը, Մալթան, Նիդեռլանդները, Պորտուգալիան, Սլովակիան, Սլովենիան և Իսպանիան:</v>
      </c>
    </row>
    <row r="1177">
      <c r="A1177" s="1" t="s">
        <v>2347</v>
      </c>
      <c r="B1177" s="2" t="s">
        <v>2348</v>
      </c>
      <c r="C1177" s="3" t="str">
        <f>IFERROR(__xludf.DUMMYFUNCTION("GOOGLETRANSLATE(A1177,""en"",""hy"")"),"որտեղ է գտնվում Սալվադորը:")</f>
        <v>որտեղ է գտնվում Սալվադորը:</v>
      </c>
      <c r="D1177" s="3" t="str">
        <f>IFERROR(__xludf.DUMMYFUNCTION("GOOGLETRANSLATE(B1177,""en"",""hy"")"),"Էլ Սալվադորը գտնվում է Կենտրոնական Ամերիկայում։")</f>
        <v>Էլ Սալվադորը գտնվում է Կենտրոնական Ամերիկայում։</v>
      </c>
    </row>
    <row r="1178">
      <c r="A1178" s="1" t="s">
        <v>2349</v>
      </c>
      <c r="B1178" s="2" t="s">
        <v>2350</v>
      </c>
      <c r="C1178" s="3" t="str">
        <f>IFERROR(__xludf.DUMMYFUNCTION("GOOGLETRANSLATE(A1178,""en"",""hy"")"),"Ո՞ր տարում է զորակոչվել Կևին Դյուրանտը:")</f>
        <v>Ո՞ր տարում է զորակոչվել Կևին Դյուրանտը:</v>
      </c>
      <c r="D1178" s="3" t="str">
        <f>IFERROR(__xludf.DUMMYFUNCTION("GOOGLETRANSLATE(B1178,""en"",""hy"")"),"Քևին Դյուրանտը զորակոչվել է 2007 թվականին։")</f>
        <v>Քևին Դյուրանտը զորակոչվել է 2007 թվականին։</v>
      </c>
    </row>
    <row r="1179">
      <c r="A1179" s="1" t="s">
        <v>2351</v>
      </c>
      <c r="B1179" s="2" t="s">
        <v>2352</v>
      </c>
      <c r="C1179" s="3" t="str">
        <f>IFERROR(__xludf.DUMMYFUNCTION("GOOGLETRANSLATE(A1179,""en"",""hy"")"),"ինչ հիվանդություններով է տառապել Ջորջ Վաշինգթոնը.")</f>
        <v>ինչ հիվանդություններով է տառապել Ջորջ Վաշինգթոնը.</v>
      </c>
      <c r="D1179" s="3" t="str">
        <f>IFERROR(__xludf.DUMMYFUNCTION("GOOGLETRANSLATE(B1179,""en"",""hy"")"),"Ջորջ Վաշինգտոնը տառապում էր այնպիսի հիվանդություններից, ինչպիսիք են մալարիան, դիզենտերիան, թոքաբորբը և տուբերկուլյոզը:")</f>
        <v>Ջորջ Վաշինգտոնը տառապում էր այնպիսի հիվանդություններից, ինչպիսիք են մալարիան, դիզենտերիան, թոքաբորբը և տուբերկուլյոզը:</v>
      </c>
    </row>
    <row r="1180">
      <c r="A1180" s="1" t="s">
        <v>2353</v>
      </c>
      <c r="B1180" s="2" t="s">
        <v>2354</v>
      </c>
      <c r="C1180" s="3" t="str">
        <f>IFERROR(__xludf.DUMMYFUNCTION("GOOGLETRANSLATE(A1180,""en"",""hy"")"),"ինչ վայրեր կարելի է այցելել Բարսելոնայում:")</f>
        <v>ինչ վայրեր կարելի է այցելել Բարսելոնայում:</v>
      </c>
      <c r="D1180" s="3" t="str">
        <f>IFERROR(__xludf.DUMMYFUNCTION("GOOGLETRANSLATE(B1180,""en"",""hy"")"),"Բարսելոնայում այցելելու որոշ վայրեր են՝ La ​​Sagrada Familia, Park Güell, Gothic Quarter, Casa Batlló և Camp Nou:")</f>
        <v>Բարսելոնայում այցելելու որոշ վայրեր են՝ La ​​Sagrada Familia, Park Güell, Gothic Quarter, Casa Batlló և Camp Nou:</v>
      </c>
    </row>
    <row r="1181">
      <c r="A1181" s="1" t="s">
        <v>2355</v>
      </c>
      <c r="B1181" s="2" t="s">
        <v>2356</v>
      </c>
      <c r="C1181" s="3" t="str">
        <f>IFERROR(__xludf.DUMMYFUNCTION("GOOGLETRANSLATE(A1181,""en"",""hy"")"),"ինչ պատահեց Նինա Սիմոնեին")</f>
        <v>ինչ պատահեց Նինա Սիմոնեին</v>
      </c>
      <c r="D1181" s="3" t="str">
        <f>IFERROR(__xludf.DUMMYFUNCTION("GOOGLETRANSLATE(B1181,""en"",""hy"")"),"Նինա Սիմոնեն մահացել է 2003 թվականի ապրիլի 21-ին։")</f>
        <v>Նինա Սիմոնեն մահացել է 2003 թվականի ապրիլի 21-ին։</v>
      </c>
    </row>
    <row r="1182">
      <c r="A1182" s="1" t="s">
        <v>2357</v>
      </c>
      <c r="B1182" s="2" t="s">
        <v>2358</v>
      </c>
      <c r="C1182" s="3" t="str">
        <f>IFERROR(__xludf.DUMMYFUNCTION("GOOGLETRANSLATE(A1182,""en"",""hy"")"),"որտեղ է Wellsville Missouri?")</f>
        <v>որտեղ է Wellsville Missouri?</v>
      </c>
      <c r="D1182" s="3" t="str">
        <f>IFERROR(__xludf.DUMMYFUNCTION("GOOGLETRANSLATE(B1182,""en"",""hy"")"),"Ուելսվիլ, Միսսուրի գտնվում է Մոնտգոմերի կոմսությունում։")</f>
        <v>Ուելսվիլ, Միսսուրի գտնվում է Մոնտգոմերի կոմսությունում։</v>
      </c>
    </row>
    <row r="1183">
      <c r="A1183" s="1" t="s">
        <v>2359</v>
      </c>
      <c r="B1183" s="2" t="s">
        <v>2360</v>
      </c>
      <c r="C1183" s="3" t="str">
        <f>IFERROR(__xludf.DUMMYFUNCTION("GOOGLETRANSLATE(A1183,""en"",""hy"")"),"ով է խաղացել արքայադուստր Լեյային աստղային պատերազմներից:")</f>
        <v>ով է խաղացել արքայադուստր Լեյային աստղային պատերազմներից:</v>
      </c>
      <c r="D1183" s="3" t="str">
        <f>IFERROR(__xludf.DUMMYFUNCTION("GOOGLETRANSLATE(B1183,""en"",""hy"")"),"Քերի Ֆիշեր.")</f>
        <v>Քերի Ֆիշեր.</v>
      </c>
    </row>
    <row r="1184">
      <c r="A1184" s="1" t="s">
        <v>2361</v>
      </c>
      <c r="B1184" s="2" t="s">
        <v>2362</v>
      </c>
      <c r="C1184" s="3" t="str">
        <f>IFERROR(__xludf.DUMMYFUNCTION("GOOGLETRANSLATE(A1184,""en"",""hy"")"),"ով է Ավստրալիայի ներկայիս թագուհին")</f>
        <v>ով է Ավստրալիայի ներկայիս թագուհին</v>
      </c>
      <c r="D1184" s="3" t="str">
        <f>IFERROR(__xludf.DUMMYFUNCTION("GOOGLETRANSLATE(B1184,""en"",""hy"")"),"Ավստրալիայի ներկայիս թագուհին Էլիզաբեթ II թագուհին է։")</f>
        <v>Ավստրալիայի ներկայիս թագուհին Էլիզաբեթ II թագուհին է։</v>
      </c>
    </row>
    <row r="1185">
      <c r="A1185" s="1" t="s">
        <v>2363</v>
      </c>
      <c r="B1185" s="2" t="s">
        <v>2364</v>
      </c>
      <c r="C1185" s="3" t="str">
        <f>IFERROR(__xludf.DUMMYFUNCTION("GOOGLETRANSLATE(A1185,""en"",""hy"")"),"որտե՞ղ գնաց Գալիլեոն դպրոց:")</f>
        <v>որտե՞ղ գնաց Գալիլեոն դպրոց:</v>
      </c>
      <c r="D1185" s="3" t="str">
        <f>IFERROR(__xludf.DUMMYFUNCTION("GOOGLETRANSLATE(B1185,""en"",""hy"")"),"Գալիլեոն սովորել է Պիզայի համալսարանում:")</f>
        <v>Գալիլեոն սովորել է Պիզայի համալսարանում:</v>
      </c>
    </row>
    <row r="1186">
      <c r="A1186" s="1" t="s">
        <v>2365</v>
      </c>
      <c r="B1186" s="2" t="s">
        <v>2366</v>
      </c>
      <c r="C1186" s="3" t="str">
        <f>IFERROR(__xludf.DUMMYFUNCTION("GOOGLETRANSLATE(A1186,""en"",""hy"")"),"Ո՞ւմ հետ էր ամուսնացած Ռիչարդ Բարթոնը:")</f>
        <v>Ո՞ւմ հետ էր ամուսնացած Ռիչարդ Բարթոնը:</v>
      </c>
      <c r="D1186" s="3" t="str">
        <f>IFERROR(__xludf.DUMMYFUNCTION("GOOGLETRANSLATE(B1186,""en"",""hy"")"),"Ռիչարդ Բարթոնն ամուսնացած էր Էլիզաբեթ Թեյլորի և Սիբիլ Ուիլյամսի հետ։")</f>
        <v>Ռիչարդ Բարթոնն ամուսնացած էր Էլիզաբեթ Թեյլորի և Սիբիլ Ուիլյամսի հետ։</v>
      </c>
    </row>
    <row r="1187">
      <c r="A1187" s="1" t="s">
        <v>2367</v>
      </c>
      <c r="B1187" s="2" t="s">
        <v>2368</v>
      </c>
      <c r="C1187" s="3" t="str">
        <f>IFERROR(__xludf.DUMMYFUNCTION("GOOGLETRANSLATE(A1187,""en"",""hy"")"),"ո՞ւմ համար է խաղացել Դեյվիդ Վիլլան")</f>
        <v>ո՞ւմ համար է խաղացել Դեյվիդ Վիլլան</v>
      </c>
      <c r="D1187" s="3" t="str">
        <f>IFERROR(__xludf.DUMMYFUNCTION("GOOGLETRANSLATE(B1187,""en"",""hy"")"),"Դավիդ Վիլյան իր կարիերայի ընթացքում խաղացել է մի քանի ակումբներում, այդ թվում՝ Սպորտինգ Խիխոն, Ռեալ Սարագոսա, Վալենսիա, Բարսելոնա, Ատլետիկո Մադրիդ, Նյու Յորք Սիթի ՖԱ և Վիսել Կոբե։")</f>
        <v>Դավիդ Վիլյան իր կարիերայի ընթացքում խաղացել է մի քանի ակումբներում, այդ թվում՝ Սպորտինգ Խիխոն, Ռեալ Սարագոսա, Վալենսիա, Բարսելոնա, Ատլետիկո Մադրիդ, Նյու Յորք Սիթի ՖԱ և Վիսել Կոբե։</v>
      </c>
    </row>
    <row r="1188">
      <c r="A1188" s="1" t="s">
        <v>2369</v>
      </c>
      <c r="B1188" s="2" t="s">
        <v>2370</v>
      </c>
      <c r="C1188" s="3" t="str">
        <f>IFERROR(__xludf.DUMMYFUNCTION("GOOGLETRANSLATE(A1188,""en"",""hy"")"),"ի՞նչ է հորինել Կոպեռնիկոսը:")</f>
        <v>ի՞նչ է հորինել Կոպեռնիկոսը:</v>
      </c>
      <c r="D1188" s="3" t="str">
        <f>IFERROR(__xludf.DUMMYFUNCTION("GOOGLETRANSLATE(B1188,""en"",""hy"")"),"Կոպեռնիկոսը հորինել է արեգակնային համակարգի հելիոկենտրոն մոդելը։")</f>
        <v>Կոպեռնիկոսը հորինել է արեգակնային համակարգի հելիոկենտրոն մոդելը։</v>
      </c>
    </row>
    <row r="1189">
      <c r="A1189" s="1" t="s">
        <v>2371</v>
      </c>
      <c r="B1189" s="2" t="s">
        <v>2372</v>
      </c>
      <c r="C1189" s="3" t="str">
        <f>IFERROR(__xludf.DUMMYFUNCTION("GOOGLETRANSLATE(A1189,""en"",""hy"")"),"ինչ է Ջամայկա երկրի կոդը:")</f>
        <v>ինչ է Ջամայկա երկրի կոդը:</v>
      </c>
      <c r="D1189" s="3" t="str">
        <f>IFERROR(__xludf.DUMMYFUNCTION("GOOGLETRANSLATE(B1189,""en"",""hy"")"),"Ջամայկայի երկրի կոդը +1 է:")</f>
        <v>Ջամայկայի երկրի կոդը +1 է:</v>
      </c>
    </row>
    <row r="1190">
      <c r="A1190" s="1" t="s">
        <v>2373</v>
      </c>
      <c r="B1190" s="2" t="s">
        <v>2374</v>
      </c>
      <c r="C1190" s="3" t="str">
        <f>IFERROR(__xludf.DUMMYFUNCTION("GOOGLETRANSLATE(A1190,""en"",""hy"")"),"որտե՞ղ է Ռոբերտ Ֆրոստը դպրոց հաճախել:")</f>
        <v>որտե՞ղ է Ռոբերտ Ֆրոստը դպրոց հաճախել:</v>
      </c>
      <c r="D1190" s="3" t="str">
        <f>IFERROR(__xludf.DUMMYFUNCTION("GOOGLETRANSLATE(B1190,""en"",""hy"")"),"Ռոբերտ Ֆրոստը դպրոց է հաճախել Դարթմութ քոլեջում և Հարվարդի համալսարանում:")</f>
        <v>Ռոբերտ Ֆրոստը դպրոց է հաճախել Դարթմութ քոլեջում և Հարվարդի համալսարանում:</v>
      </c>
    </row>
    <row r="1191">
      <c r="A1191" s="1" t="s">
        <v>2375</v>
      </c>
      <c r="B1191" s="2" t="s">
        <v>2376</v>
      </c>
      <c r="C1191" s="3" t="str">
        <f>IFERROR(__xludf.DUMMYFUNCTION("GOOGLETRANSLATE(A1191,""en"",""hy"")"),"ով պետք է խաղա Հարլի Քուին:")</f>
        <v>ով պետք է խաղա Հարլի Քուին:</v>
      </c>
      <c r="D1191" s="3" t="str">
        <f>IFERROR(__xludf.DUMMYFUNCTION("GOOGLETRANSLATE(B1191,""en"",""hy"")"),"Մարգո Ռոբի.")</f>
        <v>Մարգո Ռոբի.</v>
      </c>
    </row>
    <row r="1192">
      <c r="A1192" s="1" t="s">
        <v>2377</v>
      </c>
      <c r="B1192" s="2" t="s">
        <v>2378</v>
      </c>
      <c r="C1192" s="3" t="str">
        <f>IFERROR(__xludf.DUMMYFUNCTION("GOOGLETRANSLATE(A1192,""en"",""hy"")"),"ինչ արժույթով պետք է տանեմ Դուբայ:")</f>
        <v>ինչ արժույթով պետք է տանեմ Դուբայ:</v>
      </c>
      <c r="D1192" s="3" t="str">
        <f>IFERROR(__xludf.DUMMYFUNCTION("GOOGLETRANSLATE(B1192,""en"",""hy"")"),"Արժույթը, որը դուք պետք է տանեք Դուբայ, Արաբական Միացյալ Էմիրությունների դիրհամն է (AED):")</f>
        <v>Արժույթը, որը դուք պետք է տանեք Դուբայ, Արաբական Միացյալ Էմիրությունների դիրհամն է (AED):</v>
      </c>
    </row>
    <row r="1193">
      <c r="A1193" s="1" t="s">
        <v>2379</v>
      </c>
      <c r="B1193" s="2" t="s">
        <v>2380</v>
      </c>
      <c r="C1193" s="3" t="str">
        <f>IFERROR(__xludf.DUMMYFUNCTION("GOOGLETRANSLATE(A1193,""en"",""hy"")"),"Ո՞ր շրջանում է գտնվում Փլեյնֆիլդը:")</f>
        <v>Ո՞ր շրջանում է գտնվում Փլեյնֆիլդը:</v>
      </c>
      <c r="D1193" s="3" t="str">
        <f>IFERROR(__xludf.DUMMYFUNCTION("GOOGLETRANSLATE(B1193,""en"",""hy"")"),"Plainfield, IL գտնվում է Ուիլ շրջան։")</f>
        <v>Plainfield, IL գտնվում է Ուիլ շրջան։</v>
      </c>
    </row>
    <row r="1194">
      <c r="A1194" s="1" t="s">
        <v>2381</v>
      </c>
      <c r="B1194" s="2" t="s">
        <v>2382</v>
      </c>
      <c r="C1194" s="3" t="str">
        <f>IFERROR(__xludf.DUMMYFUNCTION("GOOGLETRANSLATE(A1194,""en"",""hy"")"),"Ո՞ր երկրում է գտնվում Մեկոնգ գետը:")</f>
        <v>Ո՞ր երկրում է գտնվում Մեկոնգ գետը:</v>
      </c>
      <c r="D1194" s="3" t="str">
        <f>IFERROR(__xludf.DUMMYFUNCTION("GOOGLETRANSLATE(B1194,""en"",""hy"")"),"Մեկոնգ գետը գտնվում է բազմաթիվ երկրներում, այդ թվում՝ Չինաստանում, Մյանմայում, Լաոսում, Թաիլանդում, Կամբոջայում և Վիետնամում:")</f>
        <v>Մեկոնգ գետը գտնվում է բազմաթիվ երկրներում, այդ թվում՝ Չինաստանում, Մյանմայում, Լաոսում, Թաիլանդում, Կամբոջայում և Վիետնամում:</v>
      </c>
    </row>
    <row r="1195">
      <c r="A1195" s="1" t="s">
        <v>2383</v>
      </c>
      <c r="B1195" s="2" t="s">
        <v>2384</v>
      </c>
      <c r="C1195" s="3" t="str">
        <f>IFERROR(__xludf.DUMMYFUNCTION("GOOGLETRANSLATE(A1195,""en"",""hy"")"),"ով է հիմնել սուրբ Հովսեփի քույրերը:")</f>
        <v>ով է հիմնել սուրբ Հովսեփի քույրերը:</v>
      </c>
      <c r="D1195" s="3" t="str">
        <f>IFERROR(__xludf.DUMMYFUNCTION("GOOGLETRANSLATE(B1195,""en"",""hy"")"),"Սեն Ժան-Բատիստ դե Լա Սալ.")</f>
        <v>Սեն Ժան-Բատիստ դե Լա Սալ.</v>
      </c>
    </row>
    <row r="1196">
      <c r="A1196" s="1" t="s">
        <v>2385</v>
      </c>
      <c r="B1196" s="2" t="s">
        <v>2386</v>
      </c>
      <c r="C1196" s="3" t="str">
        <f>IFERROR(__xludf.DUMMYFUNCTION("GOOGLETRANSLATE(A1196,""en"",""hy"")"),"ով է կրակել և սպանել նախագահ Ջոն Քենեդիին.")</f>
        <v>ով է կրակել և սպանել նախագահ Ջոն Քենեդիին.</v>
      </c>
      <c r="D1196" s="3" t="str">
        <f>IFERROR(__xludf.DUMMYFUNCTION("GOOGLETRANSLATE(B1196,""en"",""hy"")"),"Լի Հարվի Օսվալդ.")</f>
        <v>Լի Հարվի Օսվալդ.</v>
      </c>
    </row>
    <row r="1197">
      <c r="A1197" s="1" t="s">
        <v>2387</v>
      </c>
      <c r="B1197" s="2" t="s">
        <v>2388</v>
      </c>
      <c r="C1197" s="3" t="str">
        <f>IFERROR(__xludf.DUMMYFUNCTION("GOOGLETRANSLATE(A1197,""en"",""hy"")"),"Ի՞նչ անել դեկտեմբերին Գաթլինբուրգում:")</f>
        <v>Ի՞նչ անել դեկտեմբերին Գաթլինբուրգում:</v>
      </c>
      <c r="D1197" s="3" t="str">
        <f>IFERROR(__xludf.DUMMYFUNCTION("GOOGLETRANSLATE(B1197,""en"",""hy"")"),"Դեկտեմբերին Գեթլինբուրգում կան մի քանի անելիքներ, ինչպիսիք են՝ ուսումնասիրել Great Smoky Mountains ազգային պարկը, այցելել Gatlinburg Space Needle, վայելել Winter Magic Trolley Ride of Lights-ը և զգալ Ձմեռային փառատոնը:")</f>
        <v>Դեկտեմբերին Գեթլինբուրգում կան մի քանի անելիքներ, ինչպիսիք են՝ ուսումնասիրել Great Smoky Mountains ազգային պարկը, այցելել Gatlinburg Space Needle, վայելել Winter Magic Trolley Ride of Lights-ը և զգալ Ձմեռային փառատոնը:</v>
      </c>
    </row>
    <row r="1198">
      <c r="A1198" s="1" t="s">
        <v>2389</v>
      </c>
      <c r="B1198" s="2" t="s">
        <v>2390</v>
      </c>
      <c r="C1198" s="3" t="str">
        <f>IFERROR(__xludf.DUMMYFUNCTION("GOOGLETRANSLATE(A1198,""en"",""hy"")"),"որտեղ է մարզվում անգլիական ֆուտբոլի թիմը:")</f>
        <v>որտեղ է մարզվում անգլիական ֆուտբոլի թիմը:</v>
      </c>
      <c r="D1198" s="3" t="str">
        <f>IFERROR(__xludf.DUMMYFUNCTION("GOOGLETRANSLATE(B1198,""en"",""hy"")"),"Անգլիական ֆուտբոլի թիմը մարզվում է Բերթոն-օն Թրենտի Սենթ Ջորջ այգում:")</f>
        <v>Անգլիական ֆուտբոլի թիմը մարզվում է Բերթոն-օն Թրենտի Սենթ Ջորջ այգում:</v>
      </c>
    </row>
    <row r="1199">
      <c r="A1199" s="1" t="s">
        <v>2391</v>
      </c>
      <c r="B1199" s="2" t="s">
        <v>2392</v>
      </c>
      <c r="C1199" s="3" t="str">
        <f>IFERROR(__xludf.DUMMYFUNCTION("GOOGLETRANSLATE(A1199,""en"",""hy"")"),"ում է Անն Ֆրանկը գրել իր օրագիրը:")</f>
        <v>ում է Անն Ֆրանկը գրել իր օրագիրը:</v>
      </c>
      <c r="D1199" s="3" t="str">
        <f>IFERROR(__xludf.DUMMYFUNCTION("GOOGLETRANSLATE(B1199,""en"",""hy"")"),"Աննա Ֆրանկը գրել է իր օրագիրը Քիթի անունով երևակայական ընկերոջը:")</f>
        <v>Աննա Ֆրանկը գրել է իր օրագիրը Քիթի անունով երևակայական ընկերոջը:</v>
      </c>
    </row>
    <row r="1200">
      <c r="A1200" s="1" t="s">
        <v>2393</v>
      </c>
      <c r="B1200" s="2" t="s">
        <v>2394</v>
      </c>
      <c r="C1200" s="3" t="str">
        <f>IFERROR(__xludf.DUMMYFUNCTION("GOOGLETRANSLATE(A1200,""en"",""hy"")"),"ում հետ է նշանված Թոնի Ռոմոն")</f>
        <v>ում հետ է նշանված Թոնի Ռոմոն</v>
      </c>
      <c r="D1200" s="3" t="str">
        <f>IFERROR(__xludf.DUMMYFUNCTION("GOOGLETRANSLATE(B1200,""en"",""hy"")"),"Թոնի Ռոմոն նշանվել է Քենդիս Քրոուֆորդի հետ։")</f>
        <v>Թոնի Ռոմոն նշանվել է Քենդիս Քրոուֆորդի հետ։</v>
      </c>
    </row>
    <row r="1201">
      <c r="A1201" s="1" t="s">
        <v>2395</v>
      </c>
      <c r="B1201" s="2" t="s">
        <v>2396</v>
      </c>
      <c r="C1201" s="3" t="str">
        <f>IFERROR(__xludf.DUMMYFUNCTION("GOOGLETRANSLATE(A1201,""en"",""hy"")"),"ինչ են խոսում Հարավային Աֆրիկայում:")</f>
        <v>ինչ են խոսում Հարավային Աֆրիկայում:</v>
      </c>
      <c r="D1201" s="3" t="str">
        <f>IFERROR(__xludf.DUMMYFUNCTION("GOOGLETRANSLATE(B1201,""en"",""hy"")"),"Հարավային Աֆրիկայում մարդիկ խոսում են բազմաթիվ լեզուներով, այդ թվում՝ անգլերեն, աֆրիկանս, isiZulu, isiXhosa, Sepedi, Setswana և այլն:")</f>
        <v>Հարավային Աֆրիկայում մարդիկ խոսում են բազմաթիվ լեզուներով, այդ թվում՝ անգլերեն, աֆրիկանս, isiZulu, isiXhosa, Sepedi, Setswana և այլն:</v>
      </c>
    </row>
    <row r="1202">
      <c r="A1202" s="1" t="s">
        <v>2397</v>
      </c>
      <c r="B1202" s="2" t="s">
        <v>2398</v>
      </c>
      <c r="C1202" s="3" t="str">
        <f>IFERROR(__xludf.DUMMYFUNCTION("GOOGLETRANSLATE(A1202,""en"",""hy"")"),"որտեղ է գտնվում Մեծ Բրիտանիան")</f>
        <v>որտեղ է գտնվում Մեծ Բրիտանիան</v>
      </c>
      <c r="D1202" s="3" t="str">
        <f>IFERROR(__xludf.DUMMYFUNCTION("GOOGLETRANSLATE(B1202,""en"",""hy"")"),"Մեծ Բրիտանիան գտնվում է Եվրոպայում՝ մայրցամաքային Եվրոպայի հյուսիսարևմտյան ափին։")</f>
        <v>Մեծ Բրիտանիան գտնվում է Եվրոպայում՝ մայրցամաքային Եվրոպայի հյուսիսարևմտյան ափին։</v>
      </c>
    </row>
    <row r="1203">
      <c r="A1203" s="1" t="s">
        <v>2399</v>
      </c>
      <c r="B1203" s="2" t="s">
        <v>2400</v>
      </c>
      <c r="C1203" s="3" t="str">
        <f>IFERROR(__xludf.DUMMYFUNCTION("GOOGLETRANSLATE(A1203,""en"",""hy"")"),"ո՞ր նահանգի համար էր Հիլարի Քլինթոնը սենատոր.")</f>
        <v>ո՞ր նահանգի համար էր Հիլարի Քլինթոնը սենատոր.</v>
      </c>
      <c r="D1203" s="3" t="str">
        <f>IFERROR(__xludf.DUMMYFUNCTION("GOOGLETRANSLATE(B1203,""en"",""hy"")"),"Նյու Յորք.")</f>
        <v>Նյու Յորք.</v>
      </c>
    </row>
    <row r="1204">
      <c r="A1204" s="1" t="s">
        <v>2401</v>
      </c>
      <c r="B1204" s="2" t="s">
        <v>2402</v>
      </c>
      <c r="C1204" s="3" t="str">
        <f>IFERROR(__xludf.DUMMYFUNCTION("GOOGLETRANSLATE(A1204,""en"",""hy"")"),"ո՞ր շուկայում է գործում starbucks-ը:")</f>
        <v>ո՞ր շուկայում է գործում starbucks-ը:</v>
      </c>
      <c r="D1204" s="3" t="str">
        <f>IFERROR(__xludf.DUMMYFUNCTION("GOOGLETRANSLATE(B1204,""en"",""hy"")"),"Starbucks-ը գործում է սուրճի շուկայում։")</f>
        <v>Starbucks-ը գործում է սուրճի շուկայում։</v>
      </c>
    </row>
    <row r="1205">
      <c r="A1205" s="1" t="s">
        <v>2403</v>
      </c>
      <c r="B1205" s="2" t="s">
        <v>2404</v>
      </c>
      <c r="C1205" s="3" t="str">
        <f>IFERROR(__xludf.DUMMYFUNCTION("GOOGLETRANSLATE(A1205,""en"",""hy"")"),"ո՞ր երկրում է գործում Nike-ը")</f>
        <v>ո՞ր երկրում է գործում Nike-ը</v>
      </c>
      <c r="D1205" s="3" t="str">
        <f>IFERROR(__xludf.DUMMYFUNCTION("GOOGLETRANSLATE(B1205,""en"",""hy"")"),"Nike-ը գործում է մի քանի երկրներում, այդ թվում՝ ԱՄՆ-ում, որտեղ գտնվում է նրա գլխավոր գրասենյակը:")</f>
        <v>Nike-ը գործում է մի քանի երկրներում, այդ թվում՝ ԱՄՆ-ում, որտեղ գտնվում է նրա գլխավոր գրասենյակը:</v>
      </c>
    </row>
    <row r="1206">
      <c r="A1206" s="1" t="s">
        <v>2405</v>
      </c>
      <c r="B1206" s="2" t="s">
        <v>2406</v>
      </c>
      <c r="C1206" s="3" t="str">
        <f>IFERROR(__xludf.DUMMYFUNCTION("GOOGLETRANSLATE(A1206,""en"",""hy"")"),"Ո՞ր քաղաքներն են Միչիգանի Օքլենդ կոմսությունում:")</f>
        <v>Ո՞ր քաղաքներն են Միչիգանի Օքլենդ կոմսությունում:</v>
      </c>
      <c r="D1206" s="3" t="str">
        <f>IFERROR(__xludf.DUMMYFUNCTION("GOOGLETRANSLATE(B1206,""en"",""hy"")"),"Միչիգան ​​նահանգի Օքլենդ շրջանի որոշ քաղաքներ ներառում են Պոնտիակը, Ռոյալ Օուքը, Ֆարմինգթոն Հիլզը, Տրոյը և Ռոչեսթեր Հիլզը:")</f>
        <v>Միչիգան ​​նահանգի Օքլենդ շրջանի որոշ քաղաքներ ներառում են Պոնտիակը, Ռոյալ Օուքը, Ֆարմինգթոն Հիլզը, Տրոյը և Ռոչեսթեր Հիլզը:</v>
      </c>
    </row>
    <row r="1207">
      <c r="A1207" s="1" t="s">
        <v>2407</v>
      </c>
      <c r="B1207" s="2" t="s">
        <v>2408</v>
      </c>
      <c r="C1207" s="3" t="str">
        <f>IFERROR(__xludf.DUMMYFUNCTION("GOOGLETRANSLATE(A1207,""en"",""hy"")"),"ինչ կերպարներ է հնչեցնում Թրեյ Փարքերը:")</f>
        <v>ինչ կերպարներ է հնչեցնում Թրեյ Փարքերը:</v>
      </c>
      <c r="D1207" s="3" t="str">
        <f>IFERROR(__xludf.DUMMYFUNCTION("GOOGLETRANSLATE(B1207,""en"",""hy"")"),"Թրեյ Փարքերը հնչյունավորում է բազմաթիվ կերպարների Սաութ Պարկում, այդ թվում՝ Սթեն Մարշը, Էրիկ Քարթմանը, Ռենդի Մարշը և այլք:")</f>
        <v>Թրեյ Փարքերը հնչյունավորում է բազմաթիվ կերպարների Սաութ Պարկում, այդ թվում՝ Սթեն Մարշը, Էրիկ Քարթմանը, Ռենդի Մարշը և այլք:</v>
      </c>
    </row>
    <row r="1208">
      <c r="A1208" s="1" t="s">
        <v>2409</v>
      </c>
      <c r="B1208" s="2" t="s">
        <v>2410</v>
      </c>
      <c r="C1208" s="3" t="str">
        <f>IFERROR(__xludf.DUMMYFUNCTION("GOOGLETRANSLATE(A1208,""en"",""hy"")"),"որտեղ կլինի եվրո 2012-ը.")</f>
        <v>որտեղ կլինի եվրո 2012-ը.</v>
      </c>
      <c r="D1208" s="3" t="str">
        <f>IFERROR(__xludf.DUMMYFUNCTION("GOOGLETRANSLATE(B1208,""en"",""hy"")"),"Եվրո-2012-ը կանցկացվի Լեհաստանում և Ուկրաինայում։")</f>
        <v>Եվրո-2012-ը կանցկացվի Լեհաստանում և Ուկրաինայում։</v>
      </c>
    </row>
    <row r="1209">
      <c r="A1209" s="1" t="s">
        <v>2411</v>
      </c>
      <c r="B1209" s="2" t="s">
        <v>1487</v>
      </c>
      <c r="C1209" s="3" t="str">
        <f>IFERROR(__xludf.DUMMYFUNCTION("GOOGLETRANSLATE(A1209,""en"",""hy"")"),"ո՞վ է Լոյս Գրիֆինի ձայնը:")</f>
        <v>ո՞վ է Լոյս Գրիֆինի ձայնը:</v>
      </c>
      <c r="D1209" s="3" t="str">
        <f>IFERROR(__xludf.DUMMYFUNCTION("GOOGLETRANSLATE(B1209,""en"",""hy"")"),"Ալեքս Բորշտեյն")</f>
        <v>Ալեքս Բորշտեյն</v>
      </c>
    </row>
    <row r="1210">
      <c r="A1210" s="1" t="s">
        <v>2412</v>
      </c>
      <c r="B1210" s="2" t="s">
        <v>2413</v>
      </c>
      <c r="C1210" s="3" t="str">
        <f>IFERROR(__xludf.DUMMYFUNCTION("GOOGLETRANSLATE(A1210,""en"",""hy"")"),"Ե՞րբ է լույս տեսել Հարրի Փոթերի 7-րդ գիրքը:")</f>
        <v>Ե՞րբ է լույս տեսել Հարրի Փոթերի 7-րդ գիրքը:</v>
      </c>
      <c r="D1210" s="3" t="str">
        <f>IFERROR(__xludf.DUMMYFUNCTION("GOOGLETRANSLATE(B1210,""en"",""hy"")"),"Հարրի Փոթերի 7-րդ գիրքը՝ «Հարրի Փոթերը և մահվան պարգևները» լույս տեսավ 2007 թվականի հուլիսի 21-ին։")</f>
        <v>Հարրի Փոթերի 7-րդ գիրքը՝ «Հարրի Փոթերը և մահվան պարգևները» լույս տեսավ 2007 թվականի հուլիսի 21-ին։</v>
      </c>
    </row>
    <row r="1211">
      <c r="A1211" s="1" t="s">
        <v>2414</v>
      </c>
      <c r="B1211" s="2" t="s">
        <v>2415</v>
      </c>
      <c r="C1211" s="3" t="str">
        <f>IFERROR(__xludf.DUMMYFUNCTION("GOOGLETRANSLATE(A1211,""en"",""hy"")"),"ինչպես է կոչվում Կանադայի խորհրդարանը")</f>
        <v>ինչպես է կոչվում Կանադայի խորհրդարանը</v>
      </c>
      <c r="D1211" s="3" t="str">
        <f>IFERROR(__xludf.DUMMYFUNCTION("GOOGLETRANSLATE(B1211,""en"",""hy"")"),"Կանադայի խորհրդարանը կոչվում է Կանադայի խորհրդարան։")</f>
        <v>Կանադայի խորհրդարանը կոչվում է Կանադայի խորհրդարան։</v>
      </c>
    </row>
    <row r="1212">
      <c r="A1212" s="1" t="s">
        <v>2416</v>
      </c>
      <c r="B1212" s="2" t="s">
        <v>2417</v>
      </c>
      <c r="C1212" s="3" t="str">
        <f>IFERROR(__xludf.DUMMYFUNCTION("GOOGLETRANSLATE(A1212,""en"",""hy"")"),"որտեղ է գտնվում Հարավային Կարոլինան")</f>
        <v>որտեղ է գտնվում Հարավային Կարոլինան</v>
      </c>
      <c r="D1212" s="3" t="str">
        <f>IFERROR(__xludf.DUMMYFUNCTION("GOOGLETRANSLATE(B1212,""en"",""hy"")"),"Հարավային Կարոլինան գտնվում է ԱՄՆ-ի հարավ-արևելքում:")</f>
        <v>Հարավային Կարոլինան գտնվում է ԱՄՆ-ի հարավ-արևելքում:</v>
      </c>
    </row>
    <row r="1213">
      <c r="A1213" s="1" t="s">
        <v>2418</v>
      </c>
      <c r="B1213" s="2" t="s">
        <v>2419</v>
      </c>
      <c r="C1213" s="3" t="str">
        <f>IFERROR(__xludf.DUMMYFUNCTION("GOOGLETRANSLATE(A1213,""en"",""hy"")"),"ովքեր են Փոլ Ռիվերի ծնողները")</f>
        <v>ովքեր են Փոլ Ռիվերի ծնողները</v>
      </c>
      <c r="D1213" s="3" t="str">
        <f>IFERROR(__xludf.DUMMYFUNCTION("GOOGLETRANSLATE(B1213,""en"",""hy"")"),"Փոլ Ռիվերի ծնողներն էին Ապոլոս Ռիվուարը և Դեբորա Հիչբորնը։")</f>
        <v>Փոլ Ռիվերի ծնողներն էին Ապոլոս Ռիվուարը և Դեբորա Հիչբորնը։</v>
      </c>
    </row>
    <row r="1214">
      <c r="A1214" s="1" t="s">
        <v>2420</v>
      </c>
      <c r="B1214" s="2" t="s">
        <v>2421</v>
      </c>
      <c r="C1214" s="3" t="str">
        <f>IFERROR(__xludf.DUMMYFUNCTION("GOOGLETRANSLATE(A1214,""en"",""hy"")"),"ի՞նչ քաղաքական համակարգ է օգտագործում Ռուսաստանը։")</f>
        <v>ի՞նչ քաղաքական համակարգ է օգտագործում Ռուսաստանը։</v>
      </c>
      <c r="D1214" s="3" t="str">
        <f>IFERROR(__xludf.DUMMYFUNCTION("GOOGLETRANSLATE(B1214,""en"",""hy"")"),"Ռուսաստանը օգտագործում է կիսանախագահական համակարգ.")</f>
        <v>Ռուսաստանը օգտագործում է կիսանախագահական համակարգ.</v>
      </c>
    </row>
    <row r="1215">
      <c r="A1215" s="1" t="s">
        <v>2422</v>
      </c>
      <c r="B1215" s="2" t="s">
        <v>2423</v>
      </c>
      <c r="C1215" s="3" t="str">
        <f>IFERROR(__xludf.DUMMYFUNCTION("GOOGLETRANSLATE(A1215,""en"",""hy"")"),"ինչ են ամերիկյան stafordshire terriers?")</f>
        <v>ինչ են ամերիկյան stafordshire terriers?</v>
      </c>
      <c r="D1215" s="3" t="str">
        <f>IFERROR(__xludf.DUMMYFUNCTION("GOOGLETRANSLATE(B1215,""en"",""hy"")"),"Ամերիկյան Staffordshire Terriers-ը միջին չափի, մկանուտ շների ցեղատեսակ է, որը հայտնի է իր ուժով, հավատարմությամբ և վճռականությամբ: Նրանց հաճախ շփոթում են պիտբուլների հետ՝ իրենց արտաքին նմանության պատճառով:")</f>
        <v>Ամերիկյան Staffordshire Terriers-ը միջին չափի, մկանուտ շների ցեղատեսակ է, որը հայտնի է իր ուժով, հավատարմությամբ և վճռականությամբ: Նրանց հաճախ շփոթում են պիտբուլների հետ՝ իրենց արտաքին նմանության պատճառով:</v>
      </c>
    </row>
    <row r="1216">
      <c r="A1216" s="1" t="s">
        <v>2424</v>
      </c>
      <c r="B1216" s="2" t="s">
        <v>2425</v>
      </c>
      <c r="C1216" s="3" t="str">
        <f>IFERROR(__xludf.DUMMYFUNCTION("GOOGLETRANSLATE(A1216,""en"",""hy"")"),"ով է Չիկագո Բուլզի ներկայիս մարզիչը:")</f>
        <v>ով է Չիկագո Բուլզի ներկայիս մարզիչը:</v>
      </c>
      <c r="D1216" s="3" t="str">
        <f>IFERROR(__xludf.DUMMYFUNCTION("GOOGLETRANSLATE(B1216,""en"",""hy"")"),"Բիլի Դոնովան.")</f>
        <v>Բիլի Դոնովան.</v>
      </c>
    </row>
    <row r="1217">
      <c r="A1217" s="1" t="s">
        <v>2426</v>
      </c>
      <c r="B1217" s="2" t="s">
        <v>395</v>
      </c>
      <c r="C1217" s="3" t="str">
        <f>IFERROR(__xludf.DUMMYFUNCTION("GOOGLETRANSLATE(A1217,""en"",""hy"")"),"ո՞ր լեզվով են հիմնականում խոսում Անգլիայում:")</f>
        <v>ո՞ր լեզվով են հիմնականում խոսում Անգլիայում:</v>
      </c>
      <c r="D1217" s="3" t="str">
        <f>IFERROR(__xludf.DUMMYFUNCTION("GOOGLETRANSLATE(B1217,""en"",""hy"")"),"Անգլերեն.")</f>
        <v>Անգլերեն.</v>
      </c>
    </row>
    <row r="1218">
      <c r="A1218" s="1" t="s">
        <v>2427</v>
      </c>
      <c r="B1218" s="2" t="s">
        <v>2428</v>
      </c>
      <c r="C1218" s="3" t="str">
        <f>IFERROR(__xludf.DUMMYFUNCTION("GOOGLETRANSLATE(A1218,""en"",""hy"")"),"ինչ մրցանակներ է շահել Մորգան Ֆրիմենը:")</f>
        <v>ինչ մրցանակներ է շահել Մորգան Ֆրիմենը:</v>
      </c>
      <c r="D1218" s="3" t="str">
        <f>IFERROR(__xludf.DUMMYFUNCTION("GOOGLETRANSLATE(B1218,""en"",""hy"")"),"Մորգան Ֆրիմանը արժանացել է մի քանի մրցանակների, այդ թվում՝ «Օսկար», «Ոսկե գլոբուս» և «Էկրանային դերասանների գիլդիայի» մրցանակ։")</f>
        <v>Մորգան Ֆրիմանը արժանացել է մի քանի մրցանակների, այդ թվում՝ «Օսկար», «Ոսկե գլոբուս» և «Էկրանային դերասանների գիլդիայի» մրցանակ։</v>
      </c>
    </row>
    <row r="1219">
      <c r="A1219" s="1" t="s">
        <v>2429</v>
      </c>
      <c r="B1219" s="2" t="s">
        <v>2430</v>
      </c>
      <c r="C1219" s="3" t="str">
        <f>IFERROR(__xludf.DUMMYFUNCTION("GOOGLETRANSLATE(A1219,""en"",""hy"")"),"ում համար է մեքենա վարելու Մայքլ Շումախերը 2013 թվականին.")</f>
        <v>ում համար է մեքենա վարելու Մայքլ Շումախերը 2013 թվականին.</v>
      </c>
      <c r="D1219" s="3" t="str">
        <f>IFERROR(__xludf.DUMMYFUNCTION("GOOGLETRANSLATE(B1219,""en"",""hy"")"),"Միխայել Շումախերը հեռացավ Ֆորմուլա 1-ի մրցարշավից 2012 թվականին, ուստի 2013 թվականին նա ոչ մի թիմի համար չքշեց:")</f>
        <v>Միխայել Շումախերը հեռացավ Ֆորմուլա 1-ի մրցարշավից 2012 թվականին, ուստի 2013 թվականին նա ոչ մի թիմի համար չքշեց:</v>
      </c>
    </row>
    <row r="1220">
      <c r="A1220" s="1" t="s">
        <v>2431</v>
      </c>
      <c r="B1220" s="2" t="s">
        <v>2432</v>
      </c>
      <c r="C1220" s="3" t="str">
        <f>IFERROR(__xludf.DUMMYFUNCTION("GOOGLETRANSLATE(A1220,""en"",""hy"")"),"ինչպիսի՞ կառավարություն ունի Միացյալ Նահանգներն այսօր։")</f>
        <v>ինչպիսի՞ կառավարություն ունի Միացյալ Նահանգներն այսօր։</v>
      </c>
      <c r="D1220" s="3" t="str">
        <f>IFERROR(__xludf.DUMMYFUNCTION("GOOGLETRANSLATE(B1220,""en"",""hy"")"),"ԱՄՆ-ն ունի ժողովրդավարական հանրապետական ​​կառավարման ձև:")</f>
        <v>ԱՄՆ-ն ունի ժողովրդավարական հանրապետական ​​կառավարման ձև:</v>
      </c>
    </row>
    <row r="1221">
      <c r="A1221" s="1" t="s">
        <v>2433</v>
      </c>
      <c r="B1221" s="2" t="s">
        <v>2434</v>
      </c>
      <c r="C1221" s="3" t="str">
        <f>IFERROR(__xludf.DUMMYFUNCTION("GOOGLETRANSLATE(A1221,""en"",""hy"")"),"ովքեր էին Մայքլ Ջեքսոնի եղբայրներն ու քույրերը:")</f>
        <v>ովքեր էին Մայքլ Ջեքսոնի եղբայրներն ու քույրերը:</v>
      </c>
      <c r="D1221" s="3" t="str">
        <f>IFERROR(__xludf.DUMMYFUNCTION("GOOGLETRANSLATE(B1221,""en"",""hy"")"),"Մայքլ Ջեքսոնի եղբայրներն էին Ջեքին, Տիտոն, Ջերմեյնը, Մարլոնը և Ռենդին։ Նրա քույրերն էին Ռեբին, Լա Տոյան և Ջանեթը։")</f>
        <v>Մայքլ Ջեքսոնի եղբայրներն էին Ջեքին, Տիտոն, Ջերմեյնը, Մարլոնը և Ռենդին։ Նրա քույրերն էին Ռեբին, Լա Տոյան և Ջանեթը։</v>
      </c>
    </row>
    <row r="1222">
      <c r="A1222" s="1" t="s">
        <v>2435</v>
      </c>
      <c r="B1222" s="2" t="s">
        <v>2436</v>
      </c>
      <c r="C1222" s="3" t="str">
        <f>IFERROR(__xludf.DUMMYFUNCTION("GOOGLETRANSLATE(A1222,""en"",""hy"")"),"Ե՞րբ է վերջին անգամ Չիկագո Բուլզը հաղթել առաջնությունում:")</f>
        <v>Ե՞րբ է վերջին անգամ Չիկագո Բուլզը հաղթել առաջնությունում:</v>
      </c>
      <c r="D1222" s="3" t="str">
        <f>IFERROR(__xludf.DUMMYFUNCTION("GOOGLETRANSLATE(B1222,""en"",""hy"")"),"«Չիկագո Բուլզը» վերջին անգամ չեմպիոն է դարձել 1998 թվականին:")</f>
        <v>«Չիկագո Բուլզը» վերջին անգամ չեմպիոն է դարձել 1998 թվականին:</v>
      </c>
    </row>
    <row r="1223">
      <c r="A1223" s="1" t="s">
        <v>2437</v>
      </c>
      <c r="B1223" s="2" t="s">
        <v>2438</v>
      </c>
      <c r="C1223" s="3" t="str">
        <f>IFERROR(__xludf.DUMMYFUNCTION("GOOGLETRANSLATE(A1223,""en"",""hy"")"),"ինչ է քաջերի թալիսմանը")</f>
        <v>ինչ է քաջերի թալիսմանը</v>
      </c>
      <c r="D1223" s="3" t="str">
        <f>IFERROR(__xludf.DUMMYFUNCTION("GOOGLETRANSLATE(B1223,""en"",""hy"")"),"The Braves թալիսմանը Blooper-ն է:")</f>
        <v>The Braves թալիսմանը Blooper-ն է:</v>
      </c>
    </row>
    <row r="1224">
      <c r="A1224" s="1" t="s">
        <v>2439</v>
      </c>
      <c r="B1224" s="2" t="s">
        <v>2440</v>
      </c>
      <c r="C1224" s="3" t="str">
        <f>IFERROR(__xludf.DUMMYFUNCTION("GOOGLETRANSLATE(A1224,""en"",""hy"")"),"որտեղ մնալ Փարիզում Ֆրանսիա.")</f>
        <v>որտեղ մնալ Փարիզում Ֆրանսիա.</v>
      </c>
      <c r="D1224" s="3" t="str">
        <f>IFERROR(__xludf.DUMMYFUNCTION("GOOGLETRANSLATE(B1224,""en"",""hy"")"),"Կան շատ հիանալի վայրեր Փարիզում, Ֆրանսիա: Դա կախված է ձեր նախասիրություններից և բյուջեից: Որոշ հայտնի տարածքներ ներառում են Մարեյը, Սեն-Ժերմեն-դե-Պրեը և Լատինական թաղամասը:")</f>
        <v>Կան շատ հիանալի վայրեր Փարիզում, Ֆրանսիա: Դա կախված է ձեր նախասիրություններից և բյուջեից: Որոշ հայտնի տարածքներ ներառում են Մարեյը, Սեն-Ժերմեն-դե-Պրեը և Լատինական թաղամասը:</v>
      </c>
    </row>
    <row r="1225">
      <c r="A1225" s="1" t="s">
        <v>2441</v>
      </c>
      <c r="B1225" s="2" t="s">
        <v>2442</v>
      </c>
      <c r="C1225" s="3" t="str">
        <f>IFERROR(__xludf.DUMMYFUNCTION("GOOGLETRANSLATE(A1225,""en"",""hy"")"),"ինչ թիմեր ուներ Ջորջ Շտայնբրենները:")</f>
        <v>ինչ թիմեր ուներ Ջորջ Շտայնբրենները:</v>
      </c>
      <c r="D1225" s="3" t="str">
        <f>IFERROR(__xludf.DUMMYFUNCTION("GOOGLETRANSLATE(B1225,""en"",""hy"")"),"Ջորջ Շտայնբրենները պատկանում էր New York Yankees բեյսբոլի թիմին:")</f>
        <v>Ջորջ Շտայնբրենները պատկանում էր New York Yankees բեյսբոլի թիմին:</v>
      </c>
    </row>
    <row r="1226">
      <c r="A1226" s="1" t="s">
        <v>2443</v>
      </c>
      <c r="B1226" s="2" t="s">
        <v>2444</v>
      </c>
      <c r="C1226" s="3" t="str">
        <f>IFERROR(__xludf.DUMMYFUNCTION("GOOGLETRANSLATE(A1226,""en"",""hy"")"),"ո՞վ է վերադառնում Քրիստոֆեր Ուոքենը բեթմենում:")</f>
        <v>ո՞վ է վերադառնում Քրիստոֆեր Ուոքենը բեթմենում:</v>
      </c>
      <c r="D1226" s="3" t="str">
        <f>IFERROR(__xludf.DUMMYFUNCTION("GOOGLETRANSLATE(B1226,""en"",""hy"")"),"Քրիստոֆեր Ուոքենը խաղում է Մաքս Շրեկի կերպարը «Բեթմենի վերադարձը» ֆիլմում։")</f>
        <v>Քրիստոֆեր Ուոքենը խաղում է Մաքս Շրեկի կերպարը «Բեթմենի վերադարձը» ֆիլմում։</v>
      </c>
    </row>
    <row r="1227">
      <c r="A1227" s="1" t="s">
        <v>2445</v>
      </c>
      <c r="B1227" s="2" t="s">
        <v>2446</v>
      </c>
      <c r="C1227" s="3" t="str">
        <f>IFERROR(__xludf.DUMMYFUNCTION("GOOGLETRANSLATE(A1227,""en"",""hy"")"),"ի՞նչ տեսնել և անել Ռևելստոքում:")</f>
        <v>ի՞նչ տեսնել և անել Ռևելստոքում:</v>
      </c>
      <c r="D1227" s="3" t="str">
        <f>IFERROR(__xludf.DUMMYFUNCTION("GOOGLETRANSLATE(B1227,""en"",""hy"")"),"Revelstoke-ում դուք կարող եք վայելել բացօթյա գործողություններ, ինչպիսիք են դահուկներ, սնոուբորդ, արշավներ և լեռնային հեծանվավազք: Revelstoke Mountain Resort-ն առաջարկում է դահուկների և սնոուբորդի հիանալի հնարավորություններ: Դուք կարող եք նաև այցելել Մաուն"&amp;"թ Ռևելստոք ազգային պարկ՝ ապշեցուցիչ տեսարանների և արշավային արահետների համար: Բացի այդ, Revelstoke Railway թանգարանը և Revelstoke Dam-ը տարածքում հայտնի տեսարժան վայրեր են:")</f>
        <v>Revelstoke-ում դուք կարող եք վայելել բացօթյա գործողություններ, ինչպիսիք են դահուկներ, սնոուբորդ, արշավներ և լեռնային հեծանվավազք: Revelstoke Mountain Resort-ն առաջարկում է դահուկների և սնոուբորդի հիանալի հնարավորություններ: Դուք կարող եք նաև այցելել Մաունթ Ռևելստոք ազգային պարկ՝ ապշեցուցիչ տեսարանների և արշավային արահետների համար: Բացի այդ, Revelstoke Railway թանգարանը և Revelstoke Dam-ը տարածքում հայտնի տեսարժան վայրեր են:</v>
      </c>
    </row>
    <row r="1228">
      <c r="A1228" s="1" t="s">
        <v>2447</v>
      </c>
      <c r="B1228" s="2" t="s">
        <v>2448</v>
      </c>
      <c r="C1228" s="3" t="str">
        <f>IFERROR(__xludf.DUMMYFUNCTION("GOOGLETRANSLATE(A1228,""en"",""hy"")"),"ինչ հող է Աստված տվել Իսրայելին.")</f>
        <v>ինչ հող է Աստված տվել Իսրայելին.</v>
      </c>
      <c r="D1228" s="3" t="str">
        <f>IFERROR(__xludf.DUMMYFUNCTION("GOOGLETRANSLATE(B1228,""en"",""hy"")"),"Այն երկիրը, որ Աստված տվել է Իսրայելին, Քանանի երկիրն է։")</f>
        <v>Այն երկիրը, որ Աստված տվել է Իսրայելին, Քանանի երկիրն է։</v>
      </c>
    </row>
    <row r="1229">
      <c r="A1229" s="1" t="s">
        <v>2449</v>
      </c>
      <c r="B1229" s="2" t="s">
        <v>2450</v>
      </c>
      <c r="C1229" s="3" t="str">
        <f>IFERROR(__xludf.DUMMYFUNCTION("GOOGLETRANSLATE(A1229,""en"",""hy"")"),"ինչ կիթառ է օգտագործել Անդրես Սեգովիան:")</f>
        <v>ինչ կիթառ է օգտագործել Անդրես Սեգովիան:</v>
      </c>
      <c r="D1229" s="3" t="str">
        <f>IFERROR(__xludf.DUMMYFUNCTION("GOOGLETRANSLATE(B1229,""en"",""hy"")"),"Անդրես Սեգովիան օգտագործել է Hermann Hauser կիթառը:")</f>
        <v>Անդրես Սեգովիան օգտագործել է Hermann Hauser կիթառը:</v>
      </c>
    </row>
    <row r="1230">
      <c r="A1230" s="1" t="s">
        <v>2451</v>
      </c>
      <c r="B1230" s="2" t="s">
        <v>2452</v>
      </c>
      <c r="C1230" s="3" t="str">
        <f>IFERROR(__xludf.DUMMYFUNCTION("GOOGLETRANSLATE(A1230,""en"",""hy"")"),"ի՞նչ ոճով է զբաղվել Վինսենթ Վան Գոգը:")</f>
        <v>ի՞նչ ոճով է զբաղվել Վինսենթ Վան Գոգը:</v>
      </c>
      <c r="D1230" s="3" t="str">
        <f>IFERROR(__xludf.DUMMYFUNCTION("GOOGLETRANSLATE(B1230,""en"",""hy"")"),"Վինսենթ վան Գոգը զբաղվել է հետիմպրեսիոնիստական ​​արվեստով։")</f>
        <v>Վինսենթ վան Գոգը զբաղվել է հետիմպրեսիոնիստական ​​արվեստով։</v>
      </c>
    </row>
    <row r="1231">
      <c r="A1231" s="1" t="s">
        <v>2453</v>
      </c>
      <c r="B1231" s="2" t="s">
        <v>2454</v>
      </c>
      <c r="C1231" s="3" t="str">
        <f>IFERROR(__xludf.DUMMYFUNCTION("GOOGLETRANSLATE(A1231,""en"",""hy"")"),"Ո՞րն էր Նիկոլա Կոպեռնիկոսի հայտնագործությունը:")</f>
        <v>Ո՞րն էր Նիկոլա Կոպեռնիկոսի հայտնագործությունը:</v>
      </c>
      <c r="D1231" s="3" t="str">
        <f>IFERROR(__xludf.DUMMYFUNCTION("GOOGLETRANSLATE(B1231,""en"",""hy"")"),"Նիկոլայ Կոպեռնիկոսը հայտնաբերել է, որ Երկիրը պտտվում է Արեգակի շուրջը։")</f>
        <v>Նիկոլայ Կոպեռնիկոսը հայտնաբերել է, որ Երկիրը պտտվում է Արեգակի շուրջը։</v>
      </c>
    </row>
    <row r="1232">
      <c r="A1232" s="1" t="s">
        <v>2455</v>
      </c>
      <c r="B1232" s="2" t="s">
        <v>2456</v>
      </c>
      <c r="C1232" s="3" t="str">
        <f>IFERROR(__xludf.DUMMYFUNCTION("GOOGLETRANSLATE(A1232,""en"",""hy"")"),"որտեղի՞ց են հայտնվել տուտսիները:")</f>
        <v>որտեղի՞ց են հայտնվել տուտսիները:</v>
      </c>
      <c r="D1232" s="3" t="str">
        <f>IFERROR(__xludf.DUMMYFUNCTION("GOOGLETRANSLATE(B1232,""en"",""hy"")"),"Տուտսիները ծագումով Արևելյան Աֆրիկայի տարածաշրջանից են, մասնավորապես՝ Ռուանդայից, Բուրունդիից և Ուգանդայի և Տանզանիայի որոշ մասերից։")</f>
        <v>Տուտսիները ծագումով Արևելյան Աֆրիկայի տարածաշրջանից են, մասնավորապես՝ Ռուանդայից, Բուրունդիից և Ուգանդայի և Տանզանիայի որոշ մասերից։</v>
      </c>
    </row>
    <row r="1233">
      <c r="A1233" s="1" t="s">
        <v>2457</v>
      </c>
      <c r="B1233" s="2" t="s">
        <v>2458</v>
      </c>
      <c r="C1233" s="3" t="str">
        <f>IFERROR(__xludf.DUMMYFUNCTION("GOOGLETRANSLATE(A1233,""en"",""hy"")"),"Ո՞ր երկրում էր ապրում Օսամա բեն Լադենը.")</f>
        <v>Ո՞ր երկրում էր ապրում Օսամա բեն Լադենը.</v>
      </c>
      <c r="D1233" s="3" t="str">
        <f>IFERROR(__xludf.DUMMYFUNCTION("GOOGLETRANSLATE(B1233,""en"",""hy"")"),"Ուսամա բեն Լադենն ապրում էր Պակիստանում։")</f>
        <v>Ուսամա բեն Լադենն ապրում էր Պակիստանում։</v>
      </c>
    </row>
    <row r="1234">
      <c r="A1234" s="1" t="s">
        <v>2459</v>
      </c>
      <c r="B1234" s="2" t="s">
        <v>2460</v>
      </c>
      <c r="C1234" s="3" t="str">
        <f>IFERROR(__xludf.DUMMYFUNCTION("GOOGLETRANSLATE(A1234,""en"",""hy"")"),"որտեղ էր գտնվում Հռոմեական կայսրության կենտրոնը:")</f>
        <v>որտեղ էր գտնվում Հռոմեական կայսրության կենտրոնը:</v>
      </c>
      <c r="D1234" s="3" t="str">
        <f>IFERROR(__xludf.DUMMYFUNCTION("GOOGLETRANSLATE(B1234,""en"",""hy"")"),"Հռոմեական կայսրությունը կենտրոնացած էր Հռոմում, Իտալիա։")</f>
        <v>Հռոմեական կայսրությունը կենտրոնացած էր Հռոմում, Իտալիա։</v>
      </c>
    </row>
    <row r="1235">
      <c r="A1235" s="1" t="s">
        <v>2461</v>
      </c>
      <c r="B1235" s="2" t="s">
        <v>2462</v>
      </c>
      <c r="C1235" s="3" t="str">
        <f>IFERROR(__xludf.DUMMYFUNCTION("GOOGLETRANSLATE(A1235,""en"",""hy"")"),"ով հերոսների մեջ խաղացել է Սամուել Սալիվանի դերը:")</f>
        <v>ով հերոսների մեջ խաղացել է Սամուել Սալիվանի դերը:</v>
      </c>
      <c r="D1235" s="3" t="str">
        <f>IFERROR(__xludf.DUMMYFUNCTION("GOOGLETRANSLATE(B1235,""en"",""hy"")"),"Ռոբերտ Քնեփերը Հերոսներում մարմնավորել է Սամուել Սալիվանին։")</f>
        <v>Ռոբերտ Քնեփերը Հերոսներում մարմնավորել է Սամուել Սալիվանին։</v>
      </c>
    </row>
    <row r="1236">
      <c r="A1236" s="1" t="s">
        <v>2463</v>
      </c>
      <c r="B1236" s="2" t="s">
        <v>2464</v>
      </c>
      <c r="C1236" s="3" t="str">
        <f>IFERROR(__xludf.DUMMYFUNCTION("GOOGLETRANSLATE(A1236,""en"",""hy"")"),"Ո՞ր օվկիանոսն է հոսում Մյուրեյ գետը:")</f>
        <v>Ո՞ր օվկիանոսն է հոսում Մյուրեյ գետը:</v>
      </c>
      <c r="D1236" s="3" t="str">
        <f>IFERROR(__xludf.DUMMYFUNCTION("GOOGLETRANSLATE(B1236,""en"",""hy"")"),"Մյուրեյ գետը հոսում է Հնդկական օվկիանոս։")</f>
        <v>Մյուրեյ գետը հոսում է Հնդկական օվկիանոս։</v>
      </c>
    </row>
    <row r="1237">
      <c r="A1237" s="1" t="s">
        <v>2465</v>
      </c>
      <c r="B1237" s="2" t="s">
        <v>2466</v>
      </c>
      <c r="C1237" s="3" t="str">
        <f>IFERROR(__xludf.DUMMYFUNCTION("GOOGLETRANSLATE(A1237,""en"",""hy"")"),"Ո՞ր ժամային գոտում է գտնվում Ցինցինատին:")</f>
        <v>Ո՞ր ժամային գոտում է գտնվում Ցինցինատին:</v>
      </c>
      <c r="D1237" s="3" t="str">
        <f>IFERROR(__xludf.DUMMYFUNCTION("GOOGLETRANSLATE(B1237,""en"",""hy"")"),"Cincinnati, OH գտնվում է Արևելյան ժամային գոտում:")</f>
        <v>Cincinnati, OH գտնվում է Արևելյան ժամային գոտում:</v>
      </c>
    </row>
    <row r="1238">
      <c r="A1238" s="1" t="s">
        <v>2467</v>
      </c>
      <c r="B1238" s="2" t="s">
        <v>2468</v>
      </c>
      <c r="C1238" s="3" t="str">
        <f>IFERROR(__xludf.DUMMYFUNCTION("GOOGLETRANSLATE(A1238,""en"",""hy"")"),"ո՞վ էր Յակոբ Ռիսը և ինչո՞ւ էր նա կարևոր:")</f>
        <v>ո՞վ էր Յակոբ Ռիսը և ինչո՞ւ էր նա կարևոր:</v>
      </c>
      <c r="D1238" s="3" t="str">
        <f>IFERROR(__xludf.DUMMYFUNCTION("GOOGLETRANSLATE(B1238,""en"",""hy"")"),"Յակոբ Ռիսը դանի-ամերիկյան սոցիալական բարեփոխիչ և լրագրող էր: Նա կարևոր էր Նյու Յորքի բնակարանների կենսապայմանների բացահայտման համար իր «Ինչպես է ապրում մյուս կեսը» գրքի միջոցով, որը լույս սփռեց աղքատության դաժան իրականության վրա և հանգեցրեց քաղաքային բարե"&amp;"փոխումների և բնակարանային օրենսդրության առաջընթացին:")</f>
        <v>Յակոբ Ռիսը դանի-ամերիկյան սոցիալական բարեփոխիչ և լրագրող էր: Նա կարևոր էր Նյու Յորքի բնակարանների կենսապայմանների բացահայտման համար իր «Ինչպես է ապրում մյուս կեսը» գրքի միջոցով, որը լույս սփռեց աղքատության դաժան իրականության վրա և հանգեցրեց քաղաքային բարեփոխումների և բնակարանային օրենսդրության առաջընթացին:</v>
      </c>
    </row>
    <row r="1239">
      <c r="A1239" s="1" t="s">
        <v>2469</v>
      </c>
      <c r="B1239" s="2" t="s">
        <v>2470</v>
      </c>
      <c r="C1239" s="3" t="str">
        <f>IFERROR(__xludf.DUMMYFUNCTION("GOOGLETRANSLATE(A1239,""en"",""hy"")"),"որտեղ է ապրում Փիթեր Քինգը")</f>
        <v>որտեղ է ապրում Փիթեր Քինգը</v>
      </c>
      <c r="D1239" s="3" t="str">
        <f>IFERROR(__xludf.DUMMYFUNCTION("GOOGLETRANSLATE(B1239,""en"",""hy"")"),"Կներեք, բայց չեմ կարող այդ տեղեկությունը տրամադրել։")</f>
        <v>Կներեք, բայց չեմ կարող այդ տեղեկությունը տրամադրել։</v>
      </c>
    </row>
    <row r="1240">
      <c r="A1240" s="1" t="s">
        <v>2471</v>
      </c>
      <c r="B1240" s="2" t="s">
        <v>2472</v>
      </c>
      <c r="C1240" s="3" t="str">
        <f>IFERROR(__xludf.DUMMYFUNCTION("GOOGLETRANSLATE(A1240,""en"",""hy"")"),"որո՞նք են Արևմտյան Աֆրիկայի երկրները:")</f>
        <v>որո՞նք են Արևմտյան Աֆրիկայի երկրները:</v>
      </c>
      <c r="D1240" s="3" t="str">
        <f>IFERROR(__xludf.DUMMYFUNCTION("GOOGLETRANSLATE(B1240,""en"",""hy"")"),"Արևմտյան Աֆրիկայի երկրները ներառում են Նիգերիան, Գանան, Սենեգալը, Մալին, Փղոսկրի Ափը և Տոգոն:")</f>
        <v>Արևմտյան Աֆրիկայի երկրները ներառում են Նիգերիան, Գանան, Սենեգալը, Մալին, Փղոսկրի Ափը և Տոգոն:</v>
      </c>
    </row>
    <row r="1241">
      <c r="A1241" s="1" t="s">
        <v>2473</v>
      </c>
      <c r="B1241" s="2" t="s">
        <v>213</v>
      </c>
      <c r="C1241" s="3" t="str">
        <f>IFERROR(__xludf.DUMMYFUNCTION("GOOGLETRANSLATE(A1241,""en"",""hy"")"),"ով դարձավ նախագահ, երբ սպանեցին jfk-ին:")</f>
        <v>ով դարձավ նախագահ, երբ սպանեցին jfk-ին:</v>
      </c>
      <c r="D1241" s="3" t="str">
        <f>IFERROR(__xludf.DUMMYFUNCTION("GOOGLETRANSLATE(B1241,""en"",""hy"")"),"Լինդոն Բ. Ջոնսոն.")</f>
        <v>Լինդոն Բ. Ջոնսոն.</v>
      </c>
    </row>
    <row r="1242">
      <c r="A1242" s="1" t="s">
        <v>2474</v>
      </c>
      <c r="B1242" s="2" t="s">
        <v>2475</v>
      </c>
      <c r="C1242" s="3" t="str">
        <f>IFERROR(__xludf.DUMMYFUNCTION("GOOGLETRANSLATE(A1242,""en"",""hy"")"),"որտեղ է Մայորկան")</f>
        <v>որտեղ է Մայորկան</v>
      </c>
      <c r="D1242" s="3" t="str">
        <f>IFERROR(__xludf.DUMMYFUNCTION("GOOGLETRANSLATE(B1242,""en"",""hy"")"),"Մայորկան կղզի է, որը գտնվում է Միջերկրական ծովում, մայրցամաքային Իսպանիայի արևելքում։")</f>
        <v>Մայորկան կղզի է, որը գտնվում է Միջերկրական ծովում, մայրցամաքային Իսպանիայի արևելքում։</v>
      </c>
    </row>
    <row r="1243">
      <c r="A1243" s="1" t="s">
        <v>2476</v>
      </c>
      <c r="B1243" s="2" t="s">
        <v>2477</v>
      </c>
      <c r="C1243" s="3" t="str">
        <f>IFERROR(__xludf.DUMMYFUNCTION("GOOGLETRANSLATE(A1243,""en"",""hy"")"),"որտեղ են վիկտորիայի հանքերը:")</f>
        <v>որտեղ են վիկտորիայի հանքերը:</v>
      </c>
      <c r="D1243" s="3" t="str">
        <f>IFERROR(__xludf.DUMMYFUNCTION("GOOGLETRANSLATE(B1243,""en"",""hy"")"),"Վիկտորիայի հանքերը գտնվում են նահանգի տարբեր շրջաններում, այդ թվում՝ Բալլարատում, Բենդիգոյում և Լատրոբի հովտում:")</f>
        <v>Վիկտորիայի հանքերը գտնվում են նահանգի տարբեր շրջաններում, այդ թվում՝ Բալլարատում, Բենդիգոյում և Լատրոբի հովտում:</v>
      </c>
    </row>
    <row r="1244">
      <c r="A1244" s="1" t="s">
        <v>2478</v>
      </c>
      <c r="B1244" s="2" t="s">
        <v>2479</v>
      </c>
      <c r="C1244" s="3" t="str">
        <f>IFERROR(__xludf.DUMMYFUNCTION("GOOGLETRANSLATE(A1244,""en"",""hy"")"),"քանի՞ տարի են եղել ձագերը համաշխարհային շարքում:")</f>
        <v>քանի՞ տարի են եղել ձագերը համաշխարհային շարքում:</v>
      </c>
      <c r="D1244" s="3" t="str">
        <f>IFERROR(__xludf.DUMMYFUNCTION("GOOGLETRANSLATE(B1244,""en"",""hy"")"),"Ձագերը համաշխարհային շարքում են եղել 1906, 1907, 1908, 1910, 1918, 1929, 1932, 1935, 1938 և 1945 թվականներին:")</f>
        <v>Ձագերը համաշխարհային շարքում են եղել 1906, 1907, 1908, 1910, 1918, 1929, 1932, 1935, 1938 և 1945 թվականներին:</v>
      </c>
    </row>
    <row r="1245">
      <c r="A1245" s="1" t="s">
        <v>2480</v>
      </c>
      <c r="B1245" s="2" t="s">
        <v>2481</v>
      </c>
      <c r="C1245" s="3" t="str">
        <f>IFERROR(__xludf.DUMMYFUNCTION("GOOGLETRANSLATE(A1245,""en"",""hy"")"),"Ո՞ր ավտոմոբիլային ընկերություններին է պատկանում Ford Motor ընկերությունը:")</f>
        <v>Ո՞ր ավտոմոբիլային ընկերություններին է պատկանում Ford Motor ընկերությունը:</v>
      </c>
      <c r="D1245" s="3" t="str">
        <f>IFERROR(__xludf.DUMMYFUNCTION("GOOGLETRANSLATE(B1245,""en"",""hy"")"),"Ford Motor Company-ին են պատկանում հետևյալ ավտոմոբիլային ընկերությունները՝ Ford, Lincoln և Troller:")</f>
        <v>Ford Motor Company-ին են պատկանում հետևյալ ավտոմոբիլային ընկերությունները՝ Ford, Lincoln և Troller:</v>
      </c>
    </row>
    <row r="1246">
      <c r="A1246" s="1" t="s">
        <v>2482</v>
      </c>
      <c r="B1246" s="2" t="s">
        <v>2483</v>
      </c>
      <c r="C1246" s="3" t="str">
        <f>IFERROR(__xludf.DUMMYFUNCTION("GOOGLETRANSLATE(A1246,""en"",""hy"")"),"ի՞նչ ասաց Աստված Աբրահամին թլփատության մասին։")</f>
        <v>ի՞նչ ասաց Աստված Աբրահամին թլփատության մասին։</v>
      </c>
      <c r="D1246" s="3" t="str">
        <f>IFERROR(__xludf.DUMMYFUNCTION("GOOGLETRANSLATE(B1246,""en"",""hy"")"),"Աստված պատվիրեց Աբրահամին թլփատել իրեն և իր տան բոլոր տղամարդկանց՝ որպես Աստծո և Աբրահամի սերունդների միջև կնքված ուխտի նշան:")</f>
        <v>Աստված պատվիրեց Աբրահամին թլփատել իրեն և իր տան բոլոր տղամարդկանց՝ որպես Աստծո և Աբրահամի սերունդների միջև կնքված ուխտի նշան:</v>
      </c>
    </row>
    <row r="1247">
      <c r="A1247" s="1" t="s">
        <v>2484</v>
      </c>
      <c r="B1247" s="2" t="s">
        <v>2485</v>
      </c>
      <c r="C1247" s="3" t="str">
        <f>IFERROR(__xludf.DUMMYFUNCTION("GOOGLETRANSLATE(A1247,""en"",""hy"")"),"ի՞նչ տիպի կառավարություն է գործում Բահամյան կղզիները:")</f>
        <v>ի՞նչ տիպի կառավարություն է գործում Բահամյան կղզիները:</v>
      </c>
      <c r="D1247" s="3" t="str">
        <f>IFERROR(__xludf.DUMMYFUNCTION("GOOGLETRANSLATE(B1247,""en"",""hy"")"),"Բահամյան կղզիներում խորհրդարանական ժողովրդավարություն է:")</f>
        <v>Բահամյան կղզիներում խորհրդարանական ժողովրդավարություն է:</v>
      </c>
    </row>
    <row r="1248">
      <c r="A1248" s="1" t="s">
        <v>2486</v>
      </c>
      <c r="B1248" s="2" t="s">
        <v>2487</v>
      </c>
      <c r="C1248" s="3" t="str">
        <f>IFERROR(__xludf.DUMMYFUNCTION("GOOGLETRANSLATE(A1248,""en"",""hy"")"),"ի՞նչ ոճի երաժշտություն է նվագել Ջիմի Հենդրիքսը:")</f>
        <v>ի՞նչ ոճի երաժշտություն է նվագել Ջիմի Հենդրիքսը:</v>
      </c>
      <c r="D1248" s="3" t="str">
        <f>IFERROR(__xludf.DUMMYFUNCTION("GOOGLETRANSLATE(B1248,""en"",""hy"")"),"Ջիմի Հենդրիքսը ռոք երաժշտություն է նվագել։")</f>
        <v>Ջիմի Հենդրիքսը ռոք երաժշտություն է նվագել։</v>
      </c>
    </row>
    <row r="1249">
      <c r="A1249" s="1" t="s">
        <v>2488</v>
      </c>
      <c r="B1249" s="2" t="s">
        <v>2489</v>
      </c>
      <c r="C1249" s="3" t="str">
        <f>IFERROR(__xludf.DUMMYFUNCTION("GOOGLETRANSLATE(A1249,""en"",""hy"")"),"ի՞նչ կերպար է խաղում Միլա Կունիսը ընտանիքի տղայի վրա:")</f>
        <v>ի՞նչ կերպար է խաղում Միլա Կունիսը ընտանիքի տղայի վրա:</v>
      </c>
      <c r="D1249" s="3" t="str">
        <f>IFERROR(__xludf.DUMMYFUNCTION("GOOGLETRANSLATE(B1249,""en"",""hy"")"),"Միլա Կունիսը հնչյունավորում է Մեգ Գրիֆինի կերպարը Family Guy-ում։")</f>
        <v>Միլա Կունիսը հնչյունավորում է Մեգ Գրիֆինի կերպարը Family Guy-ում։</v>
      </c>
    </row>
    <row r="1250">
      <c r="A1250" s="1" t="s">
        <v>2490</v>
      </c>
      <c r="B1250" s="2" t="s">
        <v>2491</v>
      </c>
      <c r="C1250" s="3" t="str">
        <f>IFERROR(__xludf.DUMMYFUNCTION("GOOGLETRANSLATE(A1250,""en"",""hy"")"),"ով է խաղացել anakin skywalker ֆանտոմական սպառնալիքի մեջ:")</f>
        <v>ով է խաղացել anakin skywalker ֆանտոմական սպառնալիքի մեջ:</v>
      </c>
      <c r="D1250" s="3" t="str">
        <f>IFERROR(__xludf.DUMMYFUNCTION("GOOGLETRANSLATE(B1250,""en"",""hy"")"),"Ջեյք Լլոյդ.")</f>
        <v>Ջեյք Լլոյդ.</v>
      </c>
    </row>
    <row r="1251">
      <c r="A1251" s="1" t="s">
        <v>2492</v>
      </c>
      <c r="B1251" s="2" t="s">
        <v>395</v>
      </c>
      <c r="C1251" s="3" t="str">
        <f>IFERROR(__xludf.DUMMYFUNCTION("GOOGLETRANSLATE(A1251,""en"",""hy"")"),"ի՞նչ լեզվով են խոսում Գանայի բնակիչները:")</f>
        <v>ի՞նչ լեզվով են խոսում Գանայի բնակիչները:</v>
      </c>
      <c r="D1251" s="3" t="str">
        <f>IFERROR(__xludf.DUMMYFUNCTION("GOOGLETRANSLATE(B1251,""en"",""hy"")"),"Անգլերեն.")</f>
        <v>Անգլերեն.</v>
      </c>
    </row>
    <row r="1252">
      <c r="A1252" s="1" t="s">
        <v>2493</v>
      </c>
      <c r="B1252" s="2" t="s">
        <v>2494</v>
      </c>
      <c r="C1252" s="3" t="str">
        <f>IFERROR(__xludf.DUMMYFUNCTION("GOOGLETRANSLATE(A1252,""en"",""hy"")"),"որտեղ է Լյուկ Աֆբ Արիզոնան:")</f>
        <v>որտեղ է Լյուկ Աֆբ Արիզոնան:</v>
      </c>
      <c r="D1252" s="3" t="str">
        <f>IFERROR(__xludf.DUMMYFUNCTION("GOOGLETRANSLATE(B1252,""en"",""hy"")"),"Luke AFB-ն գտնվում է Արիզոնայում:")</f>
        <v>Luke AFB-ն գտնվում է Արիզոնայում:</v>
      </c>
    </row>
    <row r="1253">
      <c r="A1253" s="1" t="s">
        <v>2495</v>
      </c>
      <c r="B1253" s="2" t="s">
        <v>2496</v>
      </c>
      <c r="C1253" s="3" t="str">
        <f>IFERROR(__xludf.DUMMYFUNCTION("GOOGLETRANSLATE(A1253,""en"",""hy"")"),"ինչ լեզվով են խոսում Բելգիայում:")</f>
        <v>ինչ լեզվով են խոսում Բելգիայում:</v>
      </c>
      <c r="D1253" s="3" t="str">
        <f>IFERROR(__xludf.DUMMYFUNCTION("GOOGLETRANSLATE(B1253,""en"",""hy"")"),"հոլանդերեն, ֆրանսերեն և գերմաներեն:")</f>
        <v>հոլանդերեն, ֆրանսերեն և գերմաներեն:</v>
      </c>
    </row>
    <row r="1254">
      <c r="A1254" s="1" t="s">
        <v>2497</v>
      </c>
      <c r="B1254" s="2" t="s">
        <v>2498</v>
      </c>
      <c r="C1254" s="3" t="str">
        <f>IFERROR(__xludf.DUMMYFUNCTION("GOOGLETRANSLATE(A1254,""en"",""hy"")"),"որտեղ էր գտնվում Վիկսբուրգի ճակատամարտը:")</f>
        <v>որտեղ էր գտնվում Վիկսբուրգի ճակատամարտը:</v>
      </c>
      <c r="D1254" s="3" t="str">
        <f>IFERROR(__xludf.DUMMYFUNCTION("GOOGLETRANSLATE(B1254,""en"",""hy"")"),"Վիքսբուրգի ճակատամարտը տեղի ունեցավ Միսիսիպիում:")</f>
        <v>Վիքսբուրգի ճակատամարտը տեղի ունեցավ Միսիսիպիում:</v>
      </c>
    </row>
    <row r="1255">
      <c r="A1255" s="1" t="s">
        <v>2499</v>
      </c>
      <c r="B1255" s="2" t="s">
        <v>2500</v>
      </c>
      <c r="C1255" s="3" t="str">
        <f>IFERROR(__xludf.DUMMYFUNCTION("GOOGLETRANSLATE(A1255,""en"",""hy"")"),"որտեղ է գտնվում զբոսանավերի տերմինալը Վանկուվերում մ.թ.ա.")</f>
        <v>որտեղ է գտնվում զբոսանավերի տերմինալը Վանկուվերում մ.թ.ա.</v>
      </c>
      <c r="D1255" s="3" t="str">
        <f>IFERROR(__xludf.DUMMYFUNCTION("GOOGLETRANSLATE(B1255,""en"",""hy"")"),"Կռուիզային նավերի տերմինալը Վանկուվերում, մ.թ.ա. գտնվում է Կանադա Փլեյսում:")</f>
        <v>Կռուիզային նավերի տերմինալը Վանկուվերում, մ.թ.ա. գտնվում է Կանադա Փլեյսում:</v>
      </c>
    </row>
    <row r="1256">
      <c r="A1256" s="1" t="s">
        <v>2501</v>
      </c>
      <c r="B1256" s="2" t="s">
        <v>2502</v>
      </c>
      <c r="C1256" s="3" t="str">
        <f>IFERROR(__xludf.DUMMYFUNCTION("GOOGLETRANSLATE(A1256,""en"",""hy"")"),"որտեղ է իրականացվել Գալիպոլիի քարոզարշավը:")</f>
        <v>որտեղ է իրականացվել Գալիպոլիի քարոզարշավը:</v>
      </c>
      <c r="D1256" s="3" t="str">
        <f>IFERROR(__xludf.DUMMYFUNCTION("GOOGLETRANSLATE(B1256,""en"",""hy"")"),"Գալիպոլիի քարոզարշավն իրականացվել է Գալիպոլիի թերակղզում, որը գտնվում է ժամանակակից Թուրքիայի տարածքում։")</f>
        <v>Գալիպոլիի քարոզարշավն իրականացվել է Գալիպոլիի թերակղզում, որը գտնվում է ժամանակակից Թուրքիայի տարածքում։</v>
      </c>
    </row>
    <row r="1257">
      <c r="A1257" s="1" t="s">
        <v>2503</v>
      </c>
      <c r="B1257" s="2" t="s">
        <v>2504</v>
      </c>
      <c r="C1257" s="3" t="str">
        <f>IFERROR(__xludf.DUMMYFUNCTION("GOOGLETRANSLATE(A1257,""en"",""hy"")"),"ինչ էր Լինքոլնի կնոջ անունը")</f>
        <v>ինչ էր Լինքոլնի կնոջ անունը</v>
      </c>
      <c r="D1257" s="3" t="str">
        <f>IFERROR(__xludf.DUMMYFUNCTION("GOOGLETRANSLATE(B1257,""en"",""hy"")"),"Մերի Թոդ Լինքոլն.")</f>
        <v>Մերի Թոդ Լինքոլն.</v>
      </c>
    </row>
    <row r="1258">
      <c r="A1258" s="1" t="s">
        <v>2505</v>
      </c>
      <c r="B1258" s="2" t="s">
        <v>2506</v>
      </c>
      <c r="C1258" s="3" t="str">
        <f>IFERROR(__xludf.DUMMYFUNCTION("GOOGLETRANSLATE(A1258,""en"",""hy"")"),"ինչպես են ճապոնացիներն անվանում իրենց երկիրը:")</f>
        <v>ինչպես են ճապոնացիներն անվանում իրենց երկիրը:</v>
      </c>
      <c r="D1258" s="3" t="str">
        <f>IFERROR(__xludf.DUMMYFUNCTION("GOOGLETRANSLATE(B1258,""en"",""hy"")"),"Նիփոն կամ Նիհոն:")</f>
        <v>Նիփոն կամ Նիհոն:</v>
      </c>
    </row>
    <row r="1259">
      <c r="A1259" s="1" t="s">
        <v>2507</v>
      </c>
      <c r="B1259" s="2" t="s">
        <v>2508</v>
      </c>
      <c r="C1259" s="3" t="str">
        <f>IFERROR(__xludf.DUMMYFUNCTION("GOOGLETRANSLATE(A1259,""en"",""hy"")"),"ինչի՞ց է մահացել թագավոր Ջորջ Վին.")</f>
        <v>ինչի՞ց է մահացել թագավոր Ջորջ Վին.</v>
      </c>
      <c r="D1259" s="3" t="str">
        <f>IFERROR(__xludf.DUMMYFUNCTION("GOOGLETRANSLATE(B1259,""en"",""hy"")"),"Թագավոր Ջորջ VI-ը մահացել է թոքերի քաղցկեղից։")</f>
        <v>Թագավոր Ջորջ VI-ը մահացել է թոքերի քաղցկեղից։</v>
      </c>
    </row>
    <row r="1260">
      <c r="A1260" s="1" t="s">
        <v>2509</v>
      </c>
      <c r="B1260" s="2" t="s">
        <v>2510</v>
      </c>
      <c r="C1260" s="3" t="str">
        <f>IFERROR(__xludf.DUMMYFUNCTION("GOOGLETRANSLATE(A1260,""en"",""hy"")"),"ինչ տեսակի արժույթ է օգտագործվում Միացյալ Թագավորությունում:")</f>
        <v>ինչ տեսակի արժույթ է օգտագործվում Միացյալ Թագավորությունում:</v>
      </c>
      <c r="D1260" s="3" t="str">
        <f>IFERROR(__xludf.DUMMYFUNCTION("GOOGLETRANSLATE(B1260,""en"",""hy"")"),"Միացյալ Թագավորությունում օգտագործվող արժույթը բրիտանական ֆունտն է:")</f>
        <v>Միացյալ Թագավորությունում օգտագործվող արժույթը բրիտանական ֆունտն է:</v>
      </c>
    </row>
    <row r="1261">
      <c r="A1261" s="1" t="s">
        <v>2511</v>
      </c>
      <c r="B1261" s="2" t="s">
        <v>2512</v>
      </c>
      <c r="C1261" s="3" t="str">
        <f>IFERROR(__xludf.DUMMYFUNCTION("GOOGLETRANSLATE(A1261,""en"",""hy"")"),"որտեղ է Բրեդ Փեյսլին ավարտել քոլեջը:")</f>
        <v>որտեղ է Բրեդ Փեյսլին ավարտել քոլեջը:</v>
      </c>
      <c r="D1261" s="3" t="str">
        <f>IFERROR(__xludf.DUMMYFUNCTION("GOOGLETRANSLATE(B1261,""en"",""hy"")"),"Բրեդ Փեյսլին ավարտել է Թենեսի նահանգի Նեշվիլ քաղաքի Բելմոնտ համալսարանը:")</f>
        <v>Բրեդ Փեյսլին ավարտել է Թենեսի նահանգի Նեշվիլ քաղաքի Բելմոնտ համալսարանը:</v>
      </c>
    </row>
    <row r="1262">
      <c r="A1262" s="1" t="s">
        <v>2513</v>
      </c>
      <c r="B1262" s="2" t="s">
        <v>2514</v>
      </c>
      <c r="C1262" s="3" t="str">
        <f>IFERROR(__xludf.DUMMYFUNCTION("GOOGLETRANSLATE(A1262,""en"",""hy"")"),"Ո՞ր քաղաքում է սպանվել Ռոբերտ Քենեդին.")</f>
        <v>Ո՞ր քաղաքում է սպանվել Ռոբերտ Քենեդին.</v>
      </c>
      <c r="D1262" s="3" t="str">
        <f>IFERROR(__xludf.DUMMYFUNCTION("GOOGLETRANSLATE(B1262,""en"",""hy"")"),"Ռոբերտ Քենեդին սպանվել է Լոս Անջելեսում.")</f>
        <v>Ռոբերտ Քենեդին սպանվել է Լոս Անջելեսում.</v>
      </c>
    </row>
    <row r="1263">
      <c r="A1263" s="1" t="s">
        <v>2515</v>
      </c>
      <c r="B1263" s="2" t="s">
        <v>2516</v>
      </c>
      <c r="C1263" s="3" t="str">
        <f>IFERROR(__xludf.DUMMYFUNCTION("GOOGLETRANSLATE(A1263,""en"",""hy"")"),"Ե՞րբ են դպրոցական արձակուրդները Քուինսլենդում 2013 թ.")</f>
        <v>Ե՞րբ են դպրոցական արձակուրդները Քուինսլենդում 2013 թ.</v>
      </c>
      <c r="D1263" s="3" t="str">
        <f>IFERROR(__xludf.DUMMYFUNCTION("GOOGLETRANSLATE(B1263,""en"",""hy"")"),"Դպրոցական արձակուրդները Քուինսլենդում 2013 թվականին սովորաբար տեղի են ունենում Զատկի արձակուրդների, հունիս/հուլիսյան արձակուրդների և սեպտեմբեր/հոկտեմբեր արձակուրդների ժամանակ:")</f>
        <v>Դպրոցական արձակուրդները Քուինսլենդում 2013 թվականին սովորաբար տեղի են ունենում Զատկի արձակուրդների, հունիս/հուլիսյան արձակուրդների և սեպտեմբեր/հոկտեմբեր արձակուրդների ժամանակ:</v>
      </c>
    </row>
    <row r="1264">
      <c r="A1264" s="1" t="s">
        <v>2517</v>
      </c>
      <c r="B1264" s="2" t="s">
        <v>2518</v>
      </c>
      <c r="C1264" s="3" t="str">
        <f>IFERROR(__xludf.DUMMYFUNCTION("GOOGLETRANSLATE(A1264,""en"",""hy"")"),"ով է խաղում նոր Մայքլ Մայերսը:")</f>
        <v>ով է խաղում նոր Մայքլ Մայերսը:</v>
      </c>
      <c r="D1264" s="3" t="str">
        <f>IFERROR(__xludf.DUMMYFUNCTION("GOOGLETRANSLATE(B1264,""en"",""hy"")"),"Ջեյմս Ջուդ Քորթնի")</f>
        <v>Ջեյմս Ջուդ Քորթնի</v>
      </c>
    </row>
    <row r="1265">
      <c r="A1265" s="1" t="s">
        <v>2519</v>
      </c>
      <c r="B1265" s="2" t="s">
        <v>2520</v>
      </c>
      <c r="C1265" s="3" t="str">
        <f>IFERROR(__xludf.DUMMYFUNCTION("GOOGLETRANSLATE(A1265,""en"",""hy"")"),"ով է սպանվել առաջինը Tupac կամ Biggie?")</f>
        <v>ով է սպանվել առաջինը Tupac կամ Biggie?</v>
      </c>
      <c r="D1265" s="3" t="str">
        <f>IFERROR(__xludf.DUMMYFUNCTION("GOOGLETRANSLATE(B1265,""en"",""hy"")"),"Առաջինը սպանվեց Թուփակը։")</f>
        <v>Առաջինը սպանվեց Թուփակը։</v>
      </c>
    </row>
    <row r="1266">
      <c r="A1266" s="1" t="s">
        <v>2521</v>
      </c>
      <c r="B1266" s="2" t="s">
        <v>2522</v>
      </c>
      <c r="C1266" s="3" t="str">
        <f>IFERROR(__xludf.DUMMYFUNCTION("GOOGLETRANSLATE(A1266,""en"",""hy"")"),"ինչ արժույթ բերել Մեքսիկա.")</f>
        <v>ինչ արժույթ բերել Մեքսիկա.</v>
      </c>
      <c r="D1266" s="3" t="str">
        <f>IFERROR(__xludf.DUMMYFUNCTION("GOOGLETRANSLATE(B1266,""en"",""hy"")"),"Մեքսիկական արժույթը պեսոն է, ուստի Մեքսիկա մեկնելիս խորհուրդ է տրվում բերել պեսո:")</f>
        <v>Մեքսիկական արժույթը պեսոն է, ուստի Մեքսիկա մեկնելիս խորհուրդ է տրվում բերել պեսո:</v>
      </c>
    </row>
    <row r="1267">
      <c r="A1267" s="1" t="s">
        <v>2523</v>
      </c>
      <c r="B1267" s="2" t="s">
        <v>1717</v>
      </c>
      <c r="C1267" s="3" t="str">
        <f>IFERROR(__xludf.DUMMYFUNCTION("GOOGLETRANSLATE(A1267,""en"",""hy"")"),"ով 2007 թվականին արժանացավ խաղաղության Նոբելյան մրցանակի:")</f>
        <v>ով 2007 թվականին արժանացավ խաղաղության Նոբելյան մրցանակի:</v>
      </c>
      <c r="D1267" s="3" t="str">
        <f>IFERROR(__xludf.DUMMYFUNCTION("GOOGLETRANSLATE(B1267,""en"",""hy"")"),"Ալ Գոր.")</f>
        <v>Ալ Գոր.</v>
      </c>
    </row>
    <row r="1268">
      <c r="A1268" s="1" t="s">
        <v>2524</v>
      </c>
      <c r="B1268" s="2" t="s">
        <v>2525</v>
      </c>
      <c r="C1268" s="3" t="str">
        <f>IFERROR(__xludf.DUMMYFUNCTION("GOOGLETRANSLATE(A1268,""en"",""hy"")"),"ինչ թեմատիկ երգեր է գրել Ալան Բուսը:")</f>
        <v>ինչ թեմատիկ երգեր է գրել Ալան Բուսը:</v>
      </c>
      <c r="D1268" s="3" t="str">
        <f>IFERROR(__xludf.DUMMYFUNCTION("GOOGLETRANSLATE(B1268,""en"",""hy"")"),"Ալան Թիկը գրել է թեմատիկ երգեր հեռուստատեսային շոուների համար, ինչպիսիք են «Diff'rent Strokes» և «The Facts of Life»:")</f>
        <v>Ալան Թիկը գրել է թեմատիկ երգեր հեռուստատեսային շոուների համար, ինչպիսիք են «Diff'rent Strokes» և «The Facts of Life»:</v>
      </c>
    </row>
    <row r="1269">
      <c r="A1269" s="1" t="s">
        <v>2526</v>
      </c>
      <c r="B1269" s="2" t="s">
        <v>2527</v>
      </c>
      <c r="C1269" s="3" t="str">
        <f>IFERROR(__xludf.DUMMYFUNCTION("GOOGLETRANSLATE(A1269,""en"",""hy"")"),"ո՞ր ֆիլմերում է նկարահանվել Պատրիկ Սուեյզը:")</f>
        <v>ո՞ր ֆիլմերում է նկարահանվել Պատրիկ Սուեյզը:</v>
      </c>
      <c r="D1269" s="3" t="str">
        <f>IFERROR(__xludf.DUMMYFUNCTION("GOOGLETRANSLATE(B1269,""en"",""hy"")"),"Որոշ ֆիլմեր, որոնցում նկարահանվել է Պատրիկ Սուեյզը, ներառում են «Dirty Dancing», «Ghost» և «Point Break»:")</f>
        <v>Որոշ ֆիլմեր, որոնցում նկարահանվել է Պատրիկ Սուեյզը, ներառում են «Dirty Dancing», «Ghost» և «Point Break»:</v>
      </c>
    </row>
    <row r="1270">
      <c r="A1270" s="1" t="s">
        <v>2528</v>
      </c>
      <c r="B1270" s="2" t="s">
        <v>2529</v>
      </c>
      <c r="C1270" s="3" t="str">
        <f>IFERROR(__xludf.DUMMYFUNCTION("GOOGLETRANSLATE(A1270,""en"",""hy"")"),"որտեղ է sony-ի շտաբը")</f>
        <v>որտեղ է sony-ի շտաբը</v>
      </c>
      <c r="D1270" s="3" t="str">
        <f>IFERROR(__xludf.DUMMYFUNCTION("GOOGLETRANSLATE(B1270,""en"",""hy"")"),"Sony-ի գլխամասային գրասենյակը գտնվում է Տոկիոյում, Ճապոնիա:")</f>
        <v>Sony-ի գլխամասային գրասենյակը գտնվում է Տոկիոյում, Ճապոնիա:</v>
      </c>
    </row>
    <row r="1271">
      <c r="A1271" s="1" t="s">
        <v>2530</v>
      </c>
      <c r="B1271" s="2" t="s">
        <v>2531</v>
      </c>
      <c r="C1271" s="3" t="str">
        <f>IFERROR(__xludf.DUMMYFUNCTION("GOOGLETRANSLATE(A1271,""en"",""hy"")"),"ում հետ է ամուսնանում Լիզ Լիմոնը")</f>
        <v>ում հետ է ամուսնանում Լիզ Լիմոնը</v>
      </c>
      <c r="D1271" s="3" t="str">
        <f>IFERROR(__xludf.DUMMYFUNCTION("GOOGLETRANSLATE(B1271,""en"",""hy"")"),"Քրիշեն Չենովեթ.")</f>
        <v>Քրիշեն Չենովեթ.</v>
      </c>
    </row>
    <row r="1272">
      <c r="A1272" s="1" t="s">
        <v>2532</v>
      </c>
      <c r="B1272" s="2" t="s">
        <v>2533</v>
      </c>
      <c r="C1272" s="3" t="str">
        <f>IFERROR(__xludf.DUMMYFUNCTION("GOOGLETRANSLATE(A1272,""en"",""hy"")"),"ով է խաղում Սառա Ուիթլի դերը ջումանջիում:")</f>
        <v>ով է խաղում Սառա Ուիթլի դերը ջումանջիում:</v>
      </c>
      <c r="D1272" s="3" t="str">
        <f>IFERROR(__xludf.DUMMYFUNCTION("GOOGLETRANSLATE(B1272,""en"",""hy"")"),"Բոննի Հանթը մարմնավորում է Սառա Ուիթլին օրիգինալ Jumanji ֆիլմում։ Ջումանջիի նոր ֆիլմերում Սառա Ուիթլի կերպարը մարմնավորել են Քիրստեն Դանսթը և Մեդիսոն Իզմանը։")</f>
        <v>Բոննի Հանթը մարմնավորում է Սառա Ուիթլին օրիգինալ Jumanji ֆիլմում։ Ջումանջիի նոր ֆիլմերում Սառա Ուիթլի կերպարը մարմնավորել են Քիրստեն Դանսթը և Մեդիսոն Իզմանը։</v>
      </c>
    </row>
    <row r="1273">
      <c r="A1273" s="1" t="s">
        <v>2534</v>
      </c>
      <c r="B1273" s="2" t="s">
        <v>2535</v>
      </c>
      <c r="C1273" s="3" t="str">
        <f>IFERROR(__xludf.DUMMYFUNCTION("GOOGLETRANSLATE(A1273,""en"",""hy"")"),"Ինչպիսի՞ երաժշտություն է Չայկովսկին")</f>
        <v>Ինչպիսի՞ երաժշտություն է Չայկովսկին</v>
      </c>
      <c r="D1273" s="3" t="str">
        <f>IFERROR(__xludf.DUMMYFUNCTION("GOOGLETRANSLATE(B1273,""en"",""hy"")"),"Չայկովսկու երաժշտությունը դասական է։")</f>
        <v>Չայկովսկու երաժշտությունը դասական է։</v>
      </c>
    </row>
    <row r="1274">
      <c r="A1274" s="1" t="s">
        <v>2536</v>
      </c>
      <c r="B1274" s="2" t="s">
        <v>2537</v>
      </c>
      <c r="C1274" s="3" t="str">
        <f>IFERROR(__xludf.DUMMYFUNCTION("GOOGLETRANSLATE(A1274,""en"",""hy"")"),"երբ է թենիսի Ուիմբլդոնի մրցաշարը")</f>
        <v>երբ է թենիսի Ուիմբլդոնի մրցաշարը</v>
      </c>
      <c r="D1274" s="3" t="str">
        <f>IFERROR(__xludf.DUMMYFUNCTION("GOOGLETRANSLATE(B1274,""en"",""hy"")"),"Թենիսի Ուիմբլդոնի մրցաշարը սովորաբար անցկացվում է հունիս և հուլիս ամիսներին։")</f>
        <v>Թենիսի Ուիմբլդոնի մրցաշարը սովորաբար անցկացվում է հունիս և հուլիս ամիսներին։</v>
      </c>
    </row>
    <row r="1275">
      <c r="A1275" s="1" t="s">
        <v>2538</v>
      </c>
      <c r="B1275" s="2" t="s">
        <v>2539</v>
      </c>
      <c r="C1275" s="3" t="str">
        <f>IFERROR(__xludf.DUMMYFUNCTION("GOOGLETRANSLATE(A1275,""en"",""hy"")"),"Ո՞ր տարում է Թեդ Քենեդին առաջադրվել նախագահի պաշտոնում:")</f>
        <v>Ո՞ր տարում է Թեդ Քենեդին առաջադրվել նախագահի պաշտոնում:</v>
      </c>
      <c r="D1275" s="3" t="str">
        <f>IFERROR(__xludf.DUMMYFUNCTION("GOOGLETRANSLATE(B1275,""en"",""hy"")"),"Թեդ Քենեդին առաջադրվել է նախագահի պաշտոնում 1980 թվականին։")</f>
        <v>Թեդ Քենեդին առաջադրվել է նախագահի պաշտոնում 1980 թվականին։</v>
      </c>
    </row>
    <row r="1276">
      <c r="A1276" s="1" t="s">
        <v>2540</v>
      </c>
      <c r="B1276" s="2" t="s">
        <v>2541</v>
      </c>
      <c r="C1276" s="3" t="str">
        <f>IFERROR(__xludf.DUMMYFUNCTION("GOOGLETRANSLATE(A1276,""en"",""hy"")"),"որտեղ է Հելեն Քելլերը դպրոց հաճախել")</f>
        <v>որտեղ է Հելեն Քելլերը դպրոց հաճախել</v>
      </c>
      <c r="D1276" s="3" t="str">
        <f>IFERROR(__xludf.DUMMYFUNCTION("GOOGLETRANSLATE(B1276,""en"",""hy"")"),"Հելեն Քելլերը գնացել է Պերկինսի կույրերի դպրոց:")</f>
        <v>Հելեն Քելլերը գնացել է Պերկինսի կույրերի դպրոց:</v>
      </c>
    </row>
    <row r="1277">
      <c r="A1277" s="1" t="s">
        <v>2542</v>
      </c>
      <c r="B1277" s="2" t="s">
        <v>2543</v>
      </c>
      <c r="C1277" s="3" t="str">
        <f>IFERROR(__xludf.DUMMYFUNCTION("GOOGLETRANSLATE(A1277,""en"",""hy"")"),"ինչ շոուներ են ընթանում այս պահին Լոնդոնում:")</f>
        <v>ինչ շոուներ են ընթանում այս պահին Լոնդոնում:</v>
      </c>
      <c r="D1277" s="3" t="str">
        <f>IFERROR(__xludf.DUMMYFUNCTION("GOOGLETRANSLATE(B1277,""en"",""hy"")"),"Ցավում եմ, ես չեմ կարող զննել համացանցը և ձեզ իրական ժամանակում տեղեկատվություն տրամադրել Լոնդոնի շոուների մասին: Առաջարկում եմ ստուգել տոմսերի վաճառքի առցանց կայքերը կամ ուղղակիորեն կապվել թատրոնների հետ՝ ամենաարդիական տեղեկատվության համար:")</f>
        <v>Ցավում եմ, ես չեմ կարող զննել համացանցը և ձեզ իրական ժամանակում տեղեկատվություն տրամադրել Լոնդոնի շոուների մասին: Առաջարկում եմ ստուգել տոմսերի վաճառքի առցանց կայքերը կամ ուղղակիորեն կապվել թատրոնների հետ՝ ամենաարդիական տեղեկատվության համար:</v>
      </c>
    </row>
    <row r="1278">
      <c r="A1278" s="1" t="s">
        <v>2544</v>
      </c>
      <c r="B1278" s="2" t="s">
        <v>2545</v>
      </c>
      <c r="C1278" s="3" t="str">
        <f>IFERROR(__xludf.DUMMYFUNCTION("GOOGLETRANSLATE(A1278,""en"",""hy"")"),"որտեղ է գերմաներենը պաշտոնական լեզու")</f>
        <v>որտեղ է գերմաներենը պաշտոնական լեզու</v>
      </c>
      <c r="D1278" s="3" t="str">
        <f>IFERROR(__xludf.DUMMYFUNCTION("GOOGLETRANSLATE(B1278,""en"",""hy"")"),"Գերմանիա, Ավստրիա, Շվեյցարիա և Լիխտենշտեյն:")</f>
        <v>Գերմանիա, Ավստրիա, Շվեյցարիա և Լիխտենշտեյն:</v>
      </c>
    </row>
    <row r="1279">
      <c r="A1279" s="1" t="s">
        <v>2546</v>
      </c>
      <c r="B1279" s="2" t="s">
        <v>2547</v>
      </c>
      <c r="C1279" s="3" t="str">
        <f>IFERROR(__xludf.DUMMYFUNCTION("GOOGLETRANSLATE(A1279,""en"",""hy"")"),"ինչ լեզվով եք խոսում Իրանում")</f>
        <v>ինչ լեզվով եք խոսում Իրանում</v>
      </c>
      <c r="D1279" s="3" t="str">
        <f>IFERROR(__xludf.DUMMYFUNCTION("GOOGLETRANSLATE(B1279,""en"",""hy"")"),"Իրանում խոսվող պաշտոնական լեզուն պարսկերենն է։")</f>
        <v>Իրանում խոսվող պաշտոնական լեզուն պարսկերենն է։</v>
      </c>
    </row>
    <row r="1280">
      <c r="A1280" s="1" t="s">
        <v>2548</v>
      </c>
      <c r="B1280" s="2" t="s">
        <v>2549</v>
      </c>
      <c r="C1280" s="3" t="str">
        <f>IFERROR(__xludf.DUMMYFUNCTION("GOOGLETRANSLATE(A1280,""en"",""hy"")"),"ում հետ է հանդիպել Tupac Shakur-ը:")</f>
        <v>ում հետ է հանդիպել Tupac Shakur-ը:</v>
      </c>
      <c r="D1280" s="3" t="str">
        <f>IFERROR(__xludf.DUMMYFUNCTION("GOOGLETRANSLATE(B1280,""en"",""hy"")"),"Թուփակ Շակուրն իր կյանքի ընթացքում հանդիպել է տարբեր կանանց, այդ թվում՝ Կիդադա Ջոնսին, Մադոննան և Ջադա Փինկետ Սմիթին։")</f>
        <v>Թուփակ Շակուրն իր կյանքի ընթացքում հանդիպել է տարբեր կանանց, այդ թվում՝ Կիդադա Ջոնսին, Մադոննան և Ջադա Փինկետ Սմիթին։</v>
      </c>
    </row>
    <row r="1281">
      <c r="A1281" s="1" t="s">
        <v>2550</v>
      </c>
      <c r="B1281" s="2" t="s">
        <v>2551</v>
      </c>
      <c r="C1281" s="3" t="str">
        <f>IFERROR(__xludf.DUMMYFUNCTION("GOOGLETRANSLATE(A1281,""en"",""hy"")"),"ո՞վ է խաղում Փոլ Բեթանին վրիժառուների մեջ:")</f>
        <v>ո՞վ է խաղում Փոլ Բեթանին վրիժառուների մեջ:</v>
      </c>
      <c r="D1281" s="3" t="str">
        <f>IFERROR(__xludf.DUMMYFUNCTION("GOOGLETRANSLATE(B1281,""en"",""hy"")"),"Փոլ Բեթանին «Վրիժառուներում» մարմնավորում է Վիժնին։")</f>
        <v>Փոլ Բեթանին «Վրիժառուներում» մարմնավորում է Վիժնին։</v>
      </c>
    </row>
    <row r="1282">
      <c r="A1282" s="1" t="s">
        <v>2552</v>
      </c>
      <c r="B1282" s="2" t="s">
        <v>2553</v>
      </c>
      <c r="C1282" s="3" t="str">
        <f>IFERROR(__xludf.DUMMYFUNCTION("GOOGLETRANSLATE(A1282,""en"",""hy"")"),"Ո՞րն է Նեապոլի Ֆլորիդա քաղաքի ամենամոտ օդանավակայանը:")</f>
        <v>Ո՞րն է Նեապոլի Ֆլորիդա քաղաքի ամենամոտ օդանավակայանը:</v>
      </c>
      <c r="D1282" s="3" t="str">
        <f>IFERROR(__xludf.DUMMYFUNCTION("GOOGLETRANSLATE(B1282,""en"",""hy"")"),"Հարավարևմտյան Ֆլորիդայի միջազգային օդանավակայանը (RSW) Ֆլորիդայի Նեապոլ քաղաքին ամենամոտ օդանավակայանն է:")</f>
        <v>Հարավարևմտյան Ֆլորիդայի միջազգային օդանավակայանը (RSW) Ֆլորիդայի Նեապոլ քաղաքին ամենամոտ օդանավակայանն է:</v>
      </c>
    </row>
    <row r="1283">
      <c r="A1283" s="1" t="s">
        <v>2554</v>
      </c>
      <c r="B1283" s="2" t="s">
        <v>2555</v>
      </c>
      <c r="C1283" s="3" t="str">
        <f>IFERROR(__xludf.DUMMYFUNCTION("GOOGLETRANSLATE(A1283,""en"",""hy"")"),"ինչի՞ց է մահացել Լարի Հեգմանը")</f>
        <v>ինչի՞ց է մահացել Լարի Հեգմանը</v>
      </c>
      <c r="D1283" s="3" t="str">
        <f>IFERROR(__xludf.DUMMYFUNCTION("GOOGLETRANSLATE(B1283,""en"",""hy"")"),"Լարի Հագմանը մահացել է սուր միելոիդ լեյկոզից։")</f>
        <v>Լարի Հագմանը մահացել է սուր միելոիդ լեյկոզից։</v>
      </c>
    </row>
    <row r="1284">
      <c r="A1284" s="1" t="s">
        <v>2556</v>
      </c>
      <c r="B1284" s="2" t="s">
        <v>2557</v>
      </c>
      <c r="C1284" s="3" t="str">
        <f>IFERROR(__xludf.DUMMYFUNCTION("GOOGLETRANSLATE(A1284,""en"",""hy"")"),"ով է Կոլորադոյի նահանգապետը 2009 թ.")</f>
        <v>ով է Կոլորադոյի նահանգապետը 2009 թ.</v>
      </c>
      <c r="D1284" s="3" t="str">
        <f>IFERROR(__xludf.DUMMYFUNCTION("GOOGLETRANSLATE(B1284,""en"",""hy"")"),"Բիլ Ռիթեր")</f>
        <v>Բիլ Ռիթեր</v>
      </c>
    </row>
    <row r="1285">
      <c r="A1285" s="1" t="s">
        <v>2558</v>
      </c>
      <c r="B1285" s="2" t="s">
        <v>2559</v>
      </c>
      <c r="C1285" s="3" t="str">
        <f>IFERROR(__xludf.DUMMYFUNCTION("GOOGLETRANSLATE(A1285,""en"",""hy"")"),"Ո՞ր ժամային գոտին է Միչիգան ​​ԱՄՆ:")</f>
        <v>Ո՞ր ժամային գոտին է Միչիգան ​​ԱՄՆ:</v>
      </c>
      <c r="D1285" s="3" t="str">
        <f>IFERROR(__xludf.DUMMYFUNCTION("GOOGLETRANSLATE(B1285,""en"",""hy"")"),"Արևելյան ստանդարտ ժամանակ (EST)")</f>
        <v>Արևելյան ստանդարտ ժամանակ (EST)</v>
      </c>
    </row>
    <row r="1286">
      <c r="A1286" s="1" t="s">
        <v>2560</v>
      </c>
      <c r="B1286" s="2" t="s">
        <v>2561</v>
      </c>
      <c r="C1286" s="3" t="str">
        <f>IFERROR(__xludf.DUMMYFUNCTION("GOOGLETRANSLATE(A1286,""en"",""hy"")"),"Ի՞նչ արյան հիվանդություն ունի Ռոբին Ռոբերթսը:")</f>
        <v>Ի՞նչ արյան հիվանդություն ունի Ռոբին Ռոբերթսը:</v>
      </c>
      <c r="D1286" s="3" t="str">
        <f>IFERROR(__xludf.DUMMYFUNCTION("GOOGLETRANSLATE(B1286,""en"",""hy"")"),"Ռոբին Ռոբերթսն ունի արյան խանգարում, որը կոչվում է միելոդիսպլաստիկ համախտանիշ (MDS):")</f>
        <v>Ռոբին Ռոբերթսն ունի արյան խանգարում, որը կոչվում է միելոդիսպլաստիկ համախտանիշ (MDS):</v>
      </c>
    </row>
    <row r="1287">
      <c r="A1287" s="1" t="s">
        <v>2562</v>
      </c>
      <c r="B1287" s="2" t="s">
        <v>2563</v>
      </c>
      <c r="C1287" s="3" t="str">
        <f>IFERROR(__xludf.DUMMYFUNCTION("GOOGLETRANSLATE(A1287,""en"",""hy"")"),"ով է իշխանությունը գրավել Իտալիայում 1922 թ.")</f>
        <v>ով է իշխանությունը գրավել Իտալիայում 1922 թ.</v>
      </c>
      <c r="D1287" s="3" t="str">
        <f>IFERROR(__xludf.DUMMYFUNCTION("GOOGLETRANSLATE(B1287,""en"",""hy"")"),"Բենիտո Մուսոլինի")</f>
        <v>Բենիտո Մուսոլինի</v>
      </c>
    </row>
    <row r="1288">
      <c r="A1288" s="1" t="s">
        <v>2564</v>
      </c>
      <c r="B1288" s="2" t="s">
        <v>2565</v>
      </c>
      <c r="C1288" s="3" t="str">
        <f>IFERROR(__xludf.DUMMYFUNCTION("GOOGLETRANSLATE(A1288,""en"",""hy"")"),"ինչ շոուում է Ջիլ Վագները")</f>
        <v>ինչ շոուում է Ջիլ Վագները</v>
      </c>
      <c r="D1288" s="3" t="str">
        <f>IFERROR(__xludf.DUMMYFUNCTION("GOOGLETRANSLATE(B1288,""en"",""hy"")"),"Ջիլ Վագները ներկայումս «Wipeout» շոուում է։")</f>
        <v>Ջիլ Վագները ներկայումս «Wipeout» շոուում է։</v>
      </c>
    </row>
    <row r="1289">
      <c r="A1289" s="1" t="s">
        <v>2566</v>
      </c>
      <c r="B1289" s="2" t="s">
        <v>2567</v>
      </c>
      <c r="C1289" s="3" t="str">
        <f>IFERROR(__xludf.DUMMYFUNCTION("GOOGLETRANSLATE(A1289,""en"",""hy"")"),"ում հետ երեխա ունեցավ Մեգան Ֆոքսը:")</f>
        <v>ում հետ երեխա ունեցավ Մեգան Ֆոքսը:</v>
      </c>
      <c r="D1289" s="3" t="str">
        <f>IFERROR(__xludf.DUMMYFUNCTION("GOOGLETRANSLATE(B1289,""en"",""hy"")"),"Մեգան Ֆոքսը երեխա է ունեցել Բրայան Օսթին Գրինից։")</f>
        <v>Մեգան Ֆոքսը երեխա է ունեցել Բրայան Օսթին Գրինից։</v>
      </c>
    </row>
    <row r="1290">
      <c r="A1290" s="1" t="s">
        <v>2568</v>
      </c>
      <c r="B1290" s="2" t="s">
        <v>2569</v>
      </c>
      <c r="C1290" s="3" t="str">
        <f>IFERROR(__xludf.DUMMYFUNCTION("GOOGLETRANSLATE(A1290,""en"",""hy"")"),"ինչ արժույթ է օգտագործում Սենեգալը:")</f>
        <v>ինչ արժույթ է օգտագործում Սենեգալը:</v>
      </c>
      <c r="D1290" s="3" t="str">
        <f>IFERROR(__xludf.DUMMYFUNCTION("GOOGLETRANSLATE(B1290,""en"",""hy"")"),"Սենեգալում օգտագործվող արժույթը Արևմտյան Աֆրիկայի CFA ֆրանկն է (XOF):")</f>
        <v>Սենեգալում օգտագործվող արժույթը Արևմտյան Աֆրիկայի CFA ֆրանկն է (XOF):</v>
      </c>
    </row>
    <row r="1291">
      <c r="A1291" s="1" t="s">
        <v>2570</v>
      </c>
      <c r="B1291" s="2" t="s">
        <v>2571</v>
      </c>
      <c r="C1291" s="3" t="str">
        <f>IFERROR(__xludf.DUMMYFUNCTION("GOOGLETRANSLATE(A1291,""en"",""hy"")"),"որտեղ ամուսնանալ Հյուսիսային Ալաբամայում:")</f>
        <v>որտեղ ամուսնանալ Հյուսիսային Ալաբամայում:</v>
      </c>
      <c r="D1291" s="3" t="str">
        <f>IFERROR(__xludf.DUMMYFUNCTION("GOOGLETRANSLATE(B1291,""en"",""hy"")"),"Հյուսիսային Ալաբամայում շատ գեղեցիկ հարսանյաց վայրեր կան: Որոշ հայտնի տարբերակներ ներառում են Հանթսվիլի բուսաբանական այգին, Բուրիտը լեռան վրա և Վեսթին Հանթսվիլը:")</f>
        <v>Հյուսիսային Ալաբամայում շատ գեղեցիկ հարսանյաց վայրեր կան: Որոշ հայտնի տարբերակներ ներառում են Հանթսվիլի բուսաբանական այգին, Բուրիտը լեռան վրա և Վեսթին Հանթսվիլը:</v>
      </c>
    </row>
    <row r="1292">
      <c r="A1292" s="1" t="s">
        <v>2572</v>
      </c>
      <c r="B1292" s="2" t="s">
        <v>2573</v>
      </c>
      <c r="C1292" s="3" t="str">
        <f>IFERROR(__xludf.DUMMYFUNCTION("GOOGLETRANSLATE(A1292,""en"",""hy"")"),"ինչ տեսք ունեն էթնիկ ռուսները.")</f>
        <v>ինչ տեսք ունեն էթնիկ ռուսները.</v>
      </c>
      <c r="D1292" s="3" t="str">
        <f>IFERROR(__xludf.DUMMYFUNCTION("GOOGLETRANSLATE(B1292,""en"",""hy"")"),"Էթնիկ ռուսները հաճախ ունեն բաց և բաց մաշկ, մազերի գույնի տարբեր երանգներ (շագանակագույն, շիկահեր, կարմիր) և աչքերի գույների խառնուրդ (կապույտ, կանաչ, մոխրագույն): Այնուամենայնիվ, կարևոր է նշել, որ ֆիզիկական արտաքինը կարող է տարբեր լինել ցանկացած էթնիկ խմբ"&amp;"ի մեջ, ներառյալ ռուսները:")</f>
        <v>Էթնիկ ռուսները հաճախ ունեն բաց և բաց մաշկ, մազերի գույնի տարբեր երանգներ (շագանակագույն, շիկահեր, կարմիր) և աչքերի գույների խառնուրդ (կապույտ, կանաչ, մոխրագույն): Այնուամենայնիվ, կարևոր է նշել, որ ֆիզիկական արտաքինը կարող է տարբեր լինել ցանկացած էթնիկ խմբի մեջ, ներառյալ ռուսները:</v>
      </c>
    </row>
    <row r="1293">
      <c r="A1293" s="1" t="s">
        <v>2574</v>
      </c>
      <c r="B1293" s="2" t="s">
        <v>2575</v>
      </c>
      <c r="C1293" s="3" t="str">
        <f>IFERROR(__xludf.DUMMYFUNCTION("GOOGLETRANSLATE(A1293,""en"",""hy"")"),"ո՞ր վայրերն էին կազմում Արևմտյան Հռոմեական կայսրությունը:")</f>
        <v>ո՞ր վայրերն էին կազմում Արևմտյան Հռոմեական կայսրությունը:</v>
      </c>
      <c r="D1293" s="3" t="str">
        <f>IFERROR(__xludf.DUMMYFUNCTION("GOOGLETRANSLATE(B1293,""en"",""hy"")"),"Արևմտյան Հռոմեական կայսրությունը բաղկացած էր տարբեր տարածքներից՝ ներառյալ Իտալիան, Գալիան (ժամանակակից Ֆրանսիա), Հիսպանիան (ներկայիս Իսպանիա և Պորտուգալիա), Բրիտանիան, Աֆրիկան ​​(ներկայիս Թունիս) և Եվրոպայի այլ մասեր:")</f>
        <v>Արևմտյան Հռոմեական կայսրությունը բաղկացած էր տարբեր տարածքներից՝ ներառյալ Իտալիան, Գալիան (ժամանակակից Ֆրանսիա), Հիսպանիան (ներկայիս Իսպանիա և Պորտուգալիա), Բրիտանիան, Աֆրիկան ​​(ներկայիս Թունիս) և Եվրոպայի այլ մասեր:</v>
      </c>
    </row>
    <row r="1294">
      <c r="A1294" s="1" t="s">
        <v>2576</v>
      </c>
      <c r="B1294" s="2" t="s">
        <v>2577</v>
      </c>
      <c r="C1294" s="3" t="str">
        <f>IFERROR(__xludf.DUMMYFUNCTION("GOOGLETRANSLATE(A1294,""en"",""hy"")"),"ի՞նչ փորձեր է անցկացրել Մարի Կյուրին:")</f>
        <v>ի՞նչ փորձեր է անցկացրել Մարի Կյուրին:</v>
      </c>
      <c r="D1294" s="3" t="str">
        <f>IFERROR(__xludf.DUMMYFUNCTION("GOOGLETRANSLATE(B1294,""en"",""hy"")"),"Մարի Կյուրին ռադիոակտիվության վերաբերյալ փորձեր է անցկացրել։")</f>
        <v>Մարի Կյուրին ռադիոակտիվության վերաբերյալ փորձեր է անցկացրել։</v>
      </c>
    </row>
    <row r="1295">
      <c r="A1295" s="1" t="s">
        <v>2578</v>
      </c>
      <c r="B1295" s="2" t="s">
        <v>2579</v>
      </c>
      <c r="C1295" s="3" t="str">
        <f>IFERROR(__xludf.DUMMYFUNCTION("GOOGLETRANSLATE(A1295,""en"",""hy"")"),"ո՞ր ընկերությունն է ղեկավարել Միթ Ռոմնին:")</f>
        <v>ո՞ր ընկերությունն է ղեկավարել Միթ Ռոմնին:</v>
      </c>
      <c r="D1295" s="3" t="str">
        <f>IFERROR(__xludf.DUMMYFUNCTION("GOOGLETRANSLATE(B1295,""en"",""hy"")"),"Միթ Ռոմնին Bain Capital-ի գործադիր տնօրենն ու համահիմնադիրն էր:")</f>
        <v>Միթ Ռոմնին Bain Capital-ի գործադիր տնօրենն ու համահիմնադիրն էր:</v>
      </c>
    </row>
    <row r="1296">
      <c r="A1296" s="1" t="s">
        <v>2580</v>
      </c>
      <c r="B1296" s="2" t="s">
        <v>2581</v>
      </c>
      <c r="C1296" s="3" t="str">
        <f>IFERROR(__xludf.DUMMYFUNCTION("GOOGLETRANSLATE(A1296,""en"",""hy"")"),"ինչ է Վիտո Կորլեոնեի իսկական անունը:")</f>
        <v>ինչ է Վիտո Կորլեոնեի իսկական անունը:</v>
      </c>
      <c r="D1296" s="3" t="str">
        <f>IFERROR(__xludf.DUMMYFUNCTION("GOOGLETRANSLATE(B1296,""en"",""hy"")"),"Վիտո Կորլեոնեի իսկական անունը Վիտո Անդոլինի է։")</f>
        <v>Վիտո Կորլեոնեի իսկական անունը Վիտո Անդոլինի է։</v>
      </c>
    </row>
    <row r="1297">
      <c r="A1297" s="1" t="s">
        <v>2582</v>
      </c>
      <c r="B1297" s="2" t="s">
        <v>2583</v>
      </c>
      <c r="C1297" s="3" t="str">
        <f>IFERROR(__xludf.DUMMYFUNCTION("GOOGLETRANSLATE(A1297,""en"",""hy"")"),"ինչ է Իսպանիայի թագավորի անունը")</f>
        <v>ինչ է Իսպանիայի թագավորի անունը</v>
      </c>
      <c r="D1297" s="3" t="str">
        <f>IFERROR(__xludf.DUMMYFUNCTION("GOOGLETRANSLATE(B1297,""en"",""hy"")"),"Իսպանիայի ներկայիս թագավորի անունը Ֆելիպե VI թագավոր է:")</f>
        <v>Իսպանիայի ներկայիս թագավորի անունը Ֆելիպե VI թագավոր է:</v>
      </c>
    </row>
    <row r="1298">
      <c r="A1298" s="1" t="s">
        <v>2584</v>
      </c>
      <c r="B1298" s="2" t="s">
        <v>2585</v>
      </c>
      <c r="C1298" s="3" t="str">
        <f>IFERROR(__xludf.DUMMYFUNCTION("GOOGLETRANSLATE(A1298,""en"",""hy"")"),"ով է Blackwell?")</f>
        <v>ով է Blackwell?</v>
      </c>
      <c r="D1298" s="3" t="str">
        <f>IFERROR(__xludf.DUMMYFUNCTION("GOOGLETRANSLATE(B1298,""en"",""hy"")"),"Բլեքվել անունով մի քանի անհատներ կան, ուստի օգտակար կլինի նշել, թե որ Բլեքվելին եք ակնարկում:")</f>
        <v>Բլեքվել անունով մի քանի անհատներ կան, ուստի օգտակար կլինի նշել, թե որ Բլեքվելին եք ակնարկում:</v>
      </c>
    </row>
    <row r="1299">
      <c r="A1299" s="1" t="s">
        <v>2586</v>
      </c>
      <c r="B1299" s="2" t="s">
        <v>2587</v>
      </c>
      <c r="C1299" s="3" t="str">
        <f>IFERROR(__xludf.DUMMYFUNCTION("GOOGLETRANSLATE(A1299,""en"",""hy"")"),"որտեղ է մեծացել Ջասթին Բիբերը")</f>
        <v>որտեղ է մեծացել Ջասթին Բիբերը</v>
      </c>
      <c r="D1299" s="3" t="str">
        <f>IFERROR(__xludf.DUMMYFUNCTION("GOOGLETRANSLATE(B1299,""en"",""hy"")"),"Ջասթին Բիբերը մեծացել է Կանադայի Օնտարիո նահանգի Ստրատֆորդ քաղաքում:")</f>
        <v>Ջասթին Բիբերը մեծացել է Կանադայի Օնտարիո նահանգի Ստրատֆորդ քաղաքում:</v>
      </c>
    </row>
    <row r="1300">
      <c r="A1300" s="1" t="s">
        <v>2588</v>
      </c>
      <c r="B1300" s="2" t="s">
        <v>2589</v>
      </c>
      <c r="C1300" s="3" t="str">
        <f>IFERROR(__xludf.DUMMYFUNCTION("GOOGLETRANSLATE(A1300,""en"",""hy"")"),"ո՞ր շրջանն է ներկայացնում Ջոն Քորնինը:")</f>
        <v>ո՞ր շրջանն է ներկայացնում Ջոն Քորնինը:</v>
      </c>
      <c r="D1300" s="3" t="str">
        <f>IFERROR(__xludf.DUMMYFUNCTION("GOOGLETRANSLATE(B1300,""en"",""hy"")"),"Ջոն Քորնինը ներկայացնում է Տեխաս նահանգը Միացյալ Նահանգների Սենատում, ոչ թե կոնկրետ շրջան:")</f>
        <v>Ջոն Քորնինը ներկայացնում է Տեխաս նահանգը Միացյալ Նահանգների Սենատում, ոչ թե կոնկրետ շրջան:</v>
      </c>
    </row>
    <row r="1301">
      <c r="A1301" s="1" t="s">
        <v>2590</v>
      </c>
      <c r="B1301" s="2" t="s">
        <v>2591</v>
      </c>
      <c r="C1301" s="3" t="str">
        <f>IFERROR(__xludf.DUMMYFUNCTION("GOOGLETRANSLATE(A1301,""en"",""hy"")"),"Ե՞րբ է եղել սուպերգավաթի վերջին հաղթանակը սթայլերսների համար:")</f>
        <v>Ե՞րբ է եղել սուպերգավաթի վերջին հաղթանակը սթայլերսների համար:</v>
      </c>
      <c r="D1301" s="3" t="str">
        <f>IFERROR(__xludf.DUMMYFUNCTION("GOOGLETRANSLATE(B1301,""en"",""hy"")"),"Սթիլերսի Սուպերգավաթի վերջին հաղթանակը եղել է 2008 թվականին:")</f>
        <v>Սթիլերսի Սուպերգավաթի վերջին հաղթանակը եղել է 2008 թվականին:</v>
      </c>
    </row>
    <row r="1302">
      <c r="A1302" s="1" t="s">
        <v>2592</v>
      </c>
      <c r="B1302" s="2" t="s">
        <v>2593</v>
      </c>
      <c r="C1302" s="3" t="str">
        <f>IFERROR(__xludf.DUMMYFUNCTION("GOOGLETRANSLATE(A1302,""en"",""hy"")"),"ինչ լեզվով են խոսում Արգենտինայում yahoo?")</f>
        <v>ինչ լեզվով են խոսում Արգենտինայում yahoo?</v>
      </c>
      <c r="D1302" s="3" t="str">
        <f>IFERROR(__xludf.DUMMYFUNCTION("GOOGLETRANSLATE(B1302,""en"",""hy"")"),"Արգենտինայի պաշտոնական լեզուն իսպաներենն է։")</f>
        <v>Արգենտինայի պաշտոնական լեզուն իսպաներենն է։</v>
      </c>
    </row>
    <row r="1303">
      <c r="A1303" s="1" t="s">
        <v>2594</v>
      </c>
      <c r="B1303" s="2" t="s">
        <v>2595</v>
      </c>
      <c r="C1303" s="3" t="str">
        <f>IFERROR(__xludf.DUMMYFUNCTION("GOOGLETRANSLATE(A1303,""en"",""hy"")"),"ո՞վ է զորակոչել Կին Գարնետին")</f>
        <v>ո՞վ է զորակոչել Կին Գարնետին</v>
      </c>
      <c r="D1303" s="3" t="str">
        <f>IFERROR(__xludf.DUMMYFUNCTION("GOOGLETRANSLATE(B1303,""en"",""hy"")"),"«Մինեսոտա Թիմբերվուլվզը» հրավիրել է Քևին Գարնետին:")</f>
        <v>«Մինեսոտա Թիմբերվուլվզը» հրավիրել է Քևին Գարնետին:</v>
      </c>
    </row>
    <row r="1304">
      <c r="A1304" s="1" t="s">
        <v>2596</v>
      </c>
      <c r="B1304" s="2" t="s">
        <v>2597</v>
      </c>
      <c r="C1304" s="3" t="str">
        <f>IFERROR(__xludf.DUMMYFUNCTION("GOOGLETRANSLATE(A1304,""en"",""hy"")"),"ինչ է փոստային կոդը Չիկագո Իլինոյսի համար:")</f>
        <v>ինչ է փոստային կոդը Չիկագո Իլինոյսի համար:</v>
      </c>
      <c r="D1304" s="3" t="str">
        <f>IFERROR(__xludf.DUMMYFUNCTION("GOOGLETRANSLATE(B1304,""en"",""hy"")"),"Չիկագո, Իլինոյս քաղաքի փոստային կոդը 60601։")</f>
        <v>Չիկագո, Իլինոյս քաղաքի փոստային կոդը 60601։</v>
      </c>
    </row>
    <row r="1305">
      <c r="A1305" s="1" t="s">
        <v>2598</v>
      </c>
      <c r="B1305" s="2" t="s">
        <v>2599</v>
      </c>
      <c r="C1305" s="3" t="str">
        <f>IFERROR(__xludf.DUMMYFUNCTION("GOOGLETRANSLATE(A1305,""en"",""hy"")"),"ինչ է Հելեն Քելլերի գրած գրքի անունը:")</f>
        <v>ինչ է Հելեն Քելլերի գրած գրքի անունը:</v>
      </c>
      <c r="D1305" s="3" t="str">
        <f>IFERROR(__xludf.DUMMYFUNCTION("GOOGLETRANSLATE(B1305,""en"",""hy"")"),"Հելեն Քելլերի գրած գրքի անվանումն է «Իմ կյանքի պատմությունը»։")</f>
        <v>Հելեն Քելլերի գրած գրքի անվանումն է «Իմ կյանքի պատմությունը»։</v>
      </c>
    </row>
    <row r="1306">
      <c r="A1306" s="1" t="s">
        <v>2600</v>
      </c>
      <c r="B1306" s="2" t="s">
        <v>2601</v>
      </c>
      <c r="C1306" s="3" t="str">
        <f>IFERROR(__xludf.DUMMYFUNCTION("GOOGLETRANSLATE(A1306,""en"",""hy"")"),"ինչի՞ համար է Բրյուս Ջենները ոսկի շահել.")</f>
        <v>ինչի՞ համար է Բրյուս Ջենները ոսկի շահել.</v>
      </c>
      <c r="D1306" s="3" t="str">
        <f>IFERROR(__xludf.DUMMYFUNCTION("GOOGLETRANSLATE(B1306,""en"",""hy"")"),"Բրյուս Ջենները տասնամարտում ոսկե մեդալ է նվաճել 1976 թվականի Օլիմպիական խաղերում։")</f>
        <v>Բրյուս Ջենները տասնամարտում ոսկե մեդալ է նվաճել 1976 թվականի Օլիմպիական խաղերում։</v>
      </c>
    </row>
    <row r="1307">
      <c r="A1307" s="1" t="s">
        <v>2602</v>
      </c>
      <c r="B1307" s="2" t="s">
        <v>2603</v>
      </c>
      <c r="C1307" s="3" t="str">
        <f>IFERROR(__xludf.DUMMYFUNCTION("GOOGLETRANSLATE(A1307,""en"",""hy"")"),"Ո՞վ հնչեցրեց Դարթ Վեյդերի ձայնը աստղային պատերազմներում:")</f>
        <v>Ո՞վ հնչեցրեց Դարթ Վեյդերի ձայնը աստղային պատերազմներում:</v>
      </c>
      <c r="D1307" s="3" t="str">
        <f>IFERROR(__xludf.DUMMYFUNCTION("GOOGLETRANSLATE(B1307,""en"",""hy"")"),"Ջեյմս Էրլ Ջոնս")</f>
        <v>Ջեյմս Էրլ Ջոնս</v>
      </c>
    </row>
    <row r="1308">
      <c r="A1308" s="1" t="s">
        <v>2604</v>
      </c>
      <c r="B1308" s="2" t="s">
        <v>2605</v>
      </c>
      <c r="C1308" s="3" t="str">
        <f>IFERROR(__xludf.DUMMYFUNCTION("GOOGLETRANSLATE(A1308,""en"",""hy"")"),"որո՞նք են փորող երեխաների լրիվ անունները:")</f>
        <v>որո՞նք են փորող երեխաների լրիվ անունները:</v>
      </c>
      <c r="D1308" s="3" t="str">
        <f>IFERROR(__xludf.DUMMYFUNCTION("GOOGLETRANSLATE(B1308,""en"",""hy"")"),"Duggar երեխաների լրիվ անունները տարբեր են, բայց ահա մի քանի օրինակ.
- Ջոշուա Ջեյմս Դուգգար
- Ջեսսա Լորեն Սևալդ (նախկինում Դագգար)
- Ջոզեֆ Գարեթ Դուգգար
- Ջինգեր Նիկոլ Վուոլո (նախկինում Դուգգար)
- Ջոսիա Մեթյու Դուգգար
- Ջոյ-Աննա Ֆորսայթ (նախկինում Դագգար)"&amp;"
- Ջեդիդիա Ռոբերտ Դուգգար
- Ջերեմիա Ռոբերտ Դուգգար
- Ջեյսոն Մայքլ Դուգգար
- Ջեյմս Էնդրյու Դագգար
- Ջասթին Սամուել Դուգգար
- Ջեքսոն Լևի Դագգար
Խնդրում ենք նկատի ունենալ, որ սա սպառիչ ցուցակ չէ, քանի որ Դուգգարների ընտանիքը մեծ է:")</f>
        <v>Duggar երեխաների լրիվ անունները տարբեր են, բայց ահա մի քանի օրինակ.
- Ջոշուա Ջեյմս Դուգգար
- Ջեսսա Լորեն Սևալդ (նախկինում Դագգար)
- Ջոզեֆ Գարեթ Դուգգար
- Ջինգեր Նիկոլ Վուոլո (նախկինում Դուգգար)
- Ջոսիա Մեթյու Դուգգար
- Ջոյ-Աննա Ֆորսայթ (նախկինում Դագգար)
- Ջեդիդիա Ռոբերտ Դուգգար
- Ջերեմիա Ռոբերտ Դուգգար
- Ջեյսոն Մայքլ Դուգգար
- Ջեյմս Էնդրյու Դագգար
- Ջասթին Սամուել Դուգգար
- Ջեքսոն Լևի Դագգար
Խնդրում ենք նկատի ունենալ, որ սա սպառիչ ցուցակ չէ, քանի որ Դուգգարների ընտանիքը մեծ է:</v>
      </c>
    </row>
    <row r="1309">
      <c r="A1309" s="1" t="s">
        <v>2606</v>
      </c>
      <c r="B1309" s="2" t="s">
        <v>2607</v>
      </c>
      <c r="C1309" s="3" t="str">
        <f>IFERROR(__xludf.DUMMYFUNCTION("GOOGLETRANSLATE(A1309,""en"",""hy"")"),"ով է Ճապոնիայի վարչապետը 2011թ.")</f>
        <v>ով է Ճապոնիայի վարչապետը 2011թ.</v>
      </c>
      <c r="D1309" s="3" t="str">
        <f>IFERROR(__xludf.DUMMYFUNCTION("GOOGLETRANSLATE(B1309,""en"",""hy"")"),"2011 թվականին Ճապոնիայի վարչապետը Յոսիհիկո Նոդան էր։")</f>
        <v>2011 թվականին Ճապոնիայի վարչապետը Յոսիհիկո Նոդան էր։</v>
      </c>
    </row>
    <row r="1310">
      <c r="A1310" s="1" t="s">
        <v>2608</v>
      </c>
      <c r="B1310" s="2" t="s">
        <v>2609</v>
      </c>
      <c r="C1310" s="3" t="str">
        <f>IFERROR(__xludf.DUMMYFUNCTION("GOOGLETRANSLATE(A1310,""en"",""hy"")"),"Ո՞ր տարում է Ահարոն Ռոջերսը զորակոչվել:")</f>
        <v>Ո՞ր տարում է Ահարոն Ռոջերսը զորակոչվել:</v>
      </c>
      <c r="D1310" s="3" t="str">
        <f>IFERROR(__xludf.DUMMYFUNCTION("GOOGLETRANSLATE(B1310,""en"",""hy"")"),"Ահարոն Ռոջերսը զորակոչվել է 2005 թվականին։")</f>
        <v>Ահարոն Ռոջերսը զորակոչվել է 2005 թվականին։</v>
      </c>
    </row>
    <row r="1311">
      <c r="A1311" s="1" t="s">
        <v>2610</v>
      </c>
      <c r="B1311" s="2" t="s">
        <v>2611</v>
      </c>
      <c r="C1311" s="3" t="str">
        <f>IFERROR(__xludf.DUMMYFUNCTION("GOOGLETRANSLATE(A1311,""en"",""hy"")"),"Ի՞նչ սարքավորումներ է օգտագործում Պորտեր Ռոբինսոնը:")</f>
        <v>Ի՞նչ սարքավորումներ է օգտագործում Պորտեր Ռոբինսոնը:</v>
      </c>
      <c r="D1311" s="3" t="str">
        <f>IFERROR(__xludf.DUMMYFUNCTION("GOOGLETRANSLATE(B1311,""en"",""hy"")"),"Porter Robinson-ը օգտագործում է մի շարք սարքավորումներ, ներառյալ սինթեզատորներ, նմուշառիչներ, հարվածային մեքենաներ, MIDI կարգավորիչներ և ծրագրային ծրագրեր երաժշտության արտադրության համար:")</f>
        <v>Porter Robinson-ը օգտագործում է մի շարք սարքավորումներ, ներառյալ սինթեզատորներ, նմուշառիչներ, հարվածային մեքենաներ, MIDI կարգավորիչներ և ծրագրային ծրագրեր երաժշտության արտադրության համար:</v>
      </c>
    </row>
    <row r="1312">
      <c r="A1312" s="1" t="s">
        <v>2612</v>
      </c>
      <c r="B1312" s="2" t="s">
        <v>2613</v>
      </c>
      <c r="C1312" s="3" t="str">
        <f>IFERROR(__xludf.DUMMYFUNCTION("GOOGLETRANSLATE(A1312,""en"",""hy"")"),"ով է նվագում կովու ձայնը")</f>
        <v>ով է նվագում կովու ձայնը</v>
      </c>
      <c r="D1312" s="3" t="str">
        <f>IFERROR(__xludf.DUMMYFUNCTION("GOOGLETRANSLATE(B1312,""en"",""hy"")"),"Ջեյսոն Մարսդեն.")</f>
        <v>Ջեյսոն Մարսդեն.</v>
      </c>
    </row>
    <row r="1313">
      <c r="A1313" s="1" t="s">
        <v>2614</v>
      </c>
      <c r="B1313" s="2" t="s">
        <v>2615</v>
      </c>
      <c r="C1313" s="3" t="str">
        <f>IFERROR(__xludf.DUMMYFUNCTION("GOOGLETRANSLATE(A1313,""en"",""hy"")"),"ով է Մարտին Լյութեր Քինգ կրտսերի կինը:")</f>
        <v>ով է Մարտին Լյութեր Քինգ կրտսերի կինը:</v>
      </c>
      <c r="D1313" s="3" t="str">
        <f>IFERROR(__xludf.DUMMYFUNCTION("GOOGLETRANSLATE(B1313,""en"",""hy"")"),"Coretta Scott King.")</f>
        <v>Coretta Scott King.</v>
      </c>
    </row>
    <row r="1314">
      <c r="A1314" s="1" t="s">
        <v>2616</v>
      </c>
      <c r="B1314" s="2" t="s">
        <v>2617</v>
      </c>
      <c r="C1314" s="3" t="str">
        <f>IFERROR(__xludf.DUMMYFUNCTION("GOOGLETRANSLATE(A1314,""en"",""hy"")"),"ով է Ֆլորիդայի նոր նահանգապետը 2011 թ.")</f>
        <v>ով է Ֆլորիդայի նոր նահանգապետը 2011 թ.</v>
      </c>
      <c r="D1314" s="3" t="str">
        <f>IFERROR(__xludf.DUMMYFUNCTION("GOOGLETRANSLATE(B1314,""en"",""hy"")"),"2011 թվականին Ֆլորիդայի նոր նահանգապետը Ռիկ Սքոթն էր։")</f>
        <v>2011 թվականին Ֆլորիդայի նոր նահանգապետը Ռիկ Սքոթն էր։</v>
      </c>
    </row>
    <row r="1315">
      <c r="A1315" s="1" t="s">
        <v>2618</v>
      </c>
      <c r="B1315" s="2" t="s">
        <v>2619</v>
      </c>
      <c r="C1315" s="3" t="str">
        <f>IFERROR(__xludf.DUMMYFUNCTION("GOOGLETRANSLATE(A1315,""en"",""hy"")"),"ինչ գումար է օգտագործում Մեծ Բրիտանիան:")</f>
        <v>ինչ գումար է օգտագործում Մեծ Բրիտանիան:</v>
      </c>
      <c r="D1315" s="3" t="str">
        <f>IFERROR(__xludf.DUMMYFUNCTION("GOOGLETRANSLATE(B1315,""en"",""hy"")"),"Մեծ Բրիտանիան որպես արժույթ օգտագործում է բրիտանական ֆունտը:")</f>
        <v>Մեծ Բրիտանիան որպես արժույթ օգտագործում է բրիտանական ֆունտը:</v>
      </c>
    </row>
    <row r="1316">
      <c r="A1316" s="1" t="s">
        <v>2620</v>
      </c>
      <c r="B1316" s="2" t="s">
        <v>2621</v>
      </c>
      <c r="C1316" s="3" t="str">
        <f>IFERROR(__xludf.DUMMYFUNCTION("GOOGLETRANSLATE(A1316,""en"",""hy"")"),"ի՞նչ գրքեր է գրել Ժյուլ Վեռնը:")</f>
        <v>ի՞նչ գրքեր է գրել Ժյուլ Վեռնը:</v>
      </c>
      <c r="D1316" s="3" t="str">
        <f>IFERROR(__xludf.DUMMYFUNCTION("GOOGLETRANSLATE(B1316,""en"",""hy"")"),"Ժյուլ Վեռնը գրել է մի քանի գրքեր, այդ թվում՝ «Աշխարհի շուրջ ութսուն օրում», «Քսան հազար լիգա ծովի տակ» և «Ուղևորություն դեպի Երկրի կենտրոն»։")</f>
        <v>Ժյուլ Վեռնը գրել է մի քանի գրքեր, այդ թվում՝ «Աշխարհի շուրջ ութսուն օրում», «Քսան հազար լիգա ծովի տակ» և «Ուղևորություն դեպի Երկրի կենտրոն»։</v>
      </c>
    </row>
    <row r="1317">
      <c r="A1317" s="1" t="s">
        <v>2622</v>
      </c>
      <c r="B1317" s="2" t="s">
        <v>2623</v>
      </c>
      <c r="C1317" s="3" t="str">
        <f>IFERROR(__xludf.DUMMYFUNCTION("GOOGLETRANSLATE(A1317,""en"",""hy"")"),"Որտե՞ղ են Օկլահոմայում հայտնաբերված կարիճները:")</f>
        <v>Որտե՞ղ են Օկլահոմայում հայտնաբերված կարիճները:</v>
      </c>
      <c r="D1317" s="3" t="str">
        <f>IFERROR(__xludf.DUMMYFUNCTION("GOOGLETRANSLATE(B1317,""en"",""hy"")"),"Կարիճներ կարելի է գտնել Օկլահոմայի տարբեր շրջաններում:")</f>
        <v>Կարիճներ կարելի է գտնել Օկլահոմայի տարբեր շրջաններում:</v>
      </c>
    </row>
    <row r="1318">
      <c r="A1318" s="1" t="s">
        <v>2624</v>
      </c>
      <c r="B1318" s="2" t="s">
        <v>2625</v>
      </c>
      <c r="C1318" s="3" t="str">
        <f>IFERROR(__xludf.DUMMYFUNCTION("GOOGLETRANSLATE(A1318,""en"",""hy"")"),"որտեղ է խաղում Ֆիլադելֆիայի միության ֆուտբոլային թիմը:")</f>
        <v>որտեղ է խաղում Ֆիլադելֆիայի միության ֆուտբոլային թիմը:</v>
      </c>
      <c r="D1318" s="3" t="str">
        <f>IFERROR(__xludf.DUMMYFUNCTION("GOOGLETRANSLATE(B1318,""en"",""hy"")"),"Ֆիլադելֆիա Յունիոնի ֆուտբոլային թիմը խաղում է Սուբարու Պարկում:")</f>
        <v>Ֆիլադելֆիա Յունիոնի ֆուտբոլային թիմը խաղում է Սուբարու Պարկում:</v>
      </c>
    </row>
    <row r="1319">
      <c r="A1319" s="1" t="s">
        <v>2626</v>
      </c>
      <c r="B1319" s="2" t="s">
        <v>2627</v>
      </c>
      <c r="C1319" s="3" t="str">
        <f>IFERROR(__xludf.DUMMYFUNCTION("GOOGLETRANSLATE(A1319,""en"",""hy"")"),"որտեղից է առաջացել պորտուգալերենը:")</f>
        <v>որտեղից է առաջացել պորտուգալերենը:</v>
      </c>
      <c r="D1319" s="3" t="str">
        <f>IFERROR(__xludf.DUMMYFUNCTION("GOOGLETRANSLATE(B1319,""en"",""hy"")"),"Պորտուգալերենը ծագել է լատիներենից։")</f>
        <v>Պորտուգալերենը ծագել է լատիներենից։</v>
      </c>
    </row>
    <row r="1320">
      <c r="A1320" s="1" t="s">
        <v>2628</v>
      </c>
      <c r="B1320" s="2" t="s">
        <v>2629</v>
      </c>
      <c r="C1320" s="3" t="str">
        <f>IFERROR(__xludf.DUMMYFUNCTION("GOOGLETRANSLATE(A1320,""en"",""hy"")"),"Ո՞ր 5 երկրներն են սահմանակից Եթովպիային:")</f>
        <v>Ո՞ր 5 երկրներն են սահմանակից Եթովպիային:</v>
      </c>
      <c r="D1320" s="3" t="str">
        <f>IFERROR(__xludf.DUMMYFUNCTION("GOOGLETRANSLATE(B1320,""en"",""hy"")"),"Եթովպիային սահմանակից 5 երկրներն են՝ Էրիթրեան, Սուդանը, Հարավային Սուդանը, Քենիան և Սոմալին։")</f>
        <v>Եթովպիային սահմանակից 5 երկրներն են՝ Էրիթրեան, Սուդանը, Հարավային Սուդանը, Քենիան և Սոմալին։</v>
      </c>
    </row>
    <row r="1321">
      <c r="A1321" s="1" t="s">
        <v>2630</v>
      </c>
      <c r="B1321" s="2" t="s">
        <v>2631</v>
      </c>
      <c r="C1321" s="3" t="str">
        <f>IFERROR(__xludf.DUMMYFUNCTION("GOOGLETRANSLATE(A1321,""en"",""hy"")"),"ինչ է արտահանում Կատարը")</f>
        <v>ինչ է արտահանում Կատարը</v>
      </c>
      <c r="D1321" s="3" t="str">
        <f>IFERROR(__xludf.DUMMYFUNCTION("GOOGLETRANSLATE(B1321,""en"",""hy"")"),"Քաթարն արտահանում է հեղուկացված բնական գազ (LNG), նավթամթերք և քիմիական նյութեր։")</f>
        <v>Քաթարն արտահանում է հեղուկացված բնական գազ (LNG), նավթամթերք և քիմիական նյութեր։</v>
      </c>
    </row>
    <row r="1322">
      <c r="A1322" s="1" t="s">
        <v>2632</v>
      </c>
      <c r="B1322" s="2" t="s">
        <v>2633</v>
      </c>
      <c r="C1322" s="3" t="str">
        <f>IFERROR(__xludf.DUMMYFUNCTION("GOOGLETRANSLATE(A1322,""en"",""hy"")"),"Ինչ տեսակի ինքնաթիռներ է թռչում կույս Ամերիկան:")</f>
        <v>Ինչ տեսակի ինքնաթիռներ է թռչում կույս Ամերիկան:</v>
      </c>
      <c r="D1322" s="3" t="str">
        <f>IFERROR(__xludf.DUMMYFUNCTION("GOOGLETRANSLATE(B1322,""en"",""hy"")"),"Virgin America-ն հիմնականում շահագործում էր Airbus A320 ընտանիքի ինքնաթիռները, ներառյալ A319 և A320 մոդելները:")</f>
        <v>Virgin America-ն հիմնականում շահագործում էր Airbus A320 ընտանիքի ինքնաթիռները, ներառյալ A319 և A320 մոդելները:</v>
      </c>
    </row>
    <row r="1323">
      <c r="A1323" s="1" t="s">
        <v>2634</v>
      </c>
      <c r="B1323" s="2" t="s">
        <v>2635</v>
      </c>
      <c r="C1323" s="3" t="str">
        <f>IFERROR(__xludf.DUMMYFUNCTION("GOOGLETRANSLATE(A1323,""en"",""hy"")"),"Ո՞ր քաղաքում է գտնվում Մերիլենդի համալսարանի համալսարանական քոլեջը:")</f>
        <v>Ո՞ր քաղաքում է գտնվում Մերիլենդի համալսարանի համալսարանական քոլեջը:</v>
      </c>
      <c r="D1323" s="3" t="str">
        <f>IFERROR(__xludf.DUMMYFUNCTION("GOOGLETRANSLATE(B1323,""en"",""hy"")"),"Մերիլենդի համալսարանի համալսարանական քոլեջը գտնվում է Մերիլենդ նահանգի Ադելֆի քաղաքում:")</f>
        <v>Մերիլենդի համալսարանի համալսարանական քոլեջը գտնվում է Մերիլենդ նահանգի Ադելֆի քաղաքում:</v>
      </c>
    </row>
    <row r="1324">
      <c r="A1324" s="1" t="s">
        <v>2636</v>
      </c>
      <c r="B1324" s="2" t="s">
        <v>2637</v>
      </c>
      <c r="C1324" s="3" t="str">
        <f>IFERROR(__xludf.DUMMYFUNCTION("GOOGLETRANSLATE(A1324,""en"",""hy"")"),"որտեղ է ապրել Անն Ֆրանկը պատերազմից առաջ:")</f>
        <v>որտեղ է ապրել Անն Ֆրանկը պատերազմից առաջ:</v>
      </c>
      <c r="D1324" s="3" t="str">
        <f>IFERROR(__xludf.DUMMYFUNCTION("GOOGLETRANSLATE(B1324,""en"",""hy"")"),"Աննա Ֆրանկը պատերազմից առաջ ապրել է Գերմանիայի Ֆրանկֆուրտ քաղաքում։")</f>
        <v>Աննա Ֆրանկը պատերազմից առաջ ապրել է Գերմանիայի Ֆրանկֆուրտ քաղաքում։</v>
      </c>
    </row>
    <row r="1325">
      <c r="A1325" s="1" t="s">
        <v>2638</v>
      </c>
      <c r="B1325" s="2" t="s">
        <v>2639</v>
      </c>
      <c r="C1325" s="3" t="str">
        <f>IFERROR(__xludf.DUMMYFUNCTION("GOOGLETRANSLATE(A1325,""en"",""hy"")"),"որտեղ է ծնվել Ջոզեֆ Քենեդին:")</f>
        <v>որտեղ է ծնվել Ջոզեֆ Քենեդին:</v>
      </c>
      <c r="D1325" s="3" t="str">
        <f>IFERROR(__xludf.DUMMYFUNCTION("GOOGLETRANSLATE(B1325,""en"",""hy"")"),"Ջոզեֆ Քենեդին ծնվել է Բոստոնում, Մասաչուսեթս, ԱՄՆ:")</f>
        <v>Ջոզեֆ Քենեդին ծնվել է Բոստոնում, Մասաչուսեթս, ԱՄՆ:</v>
      </c>
    </row>
    <row r="1326">
      <c r="A1326" s="1" t="s">
        <v>2640</v>
      </c>
      <c r="B1326" s="2" t="s">
        <v>2641</v>
      </c>
      <c r="C1326" s="3" t="str">
        <f>IFERROR(__xludf.DUMMYFUNCTION("GOOGLETRANSLATE(A1326,""en"",""hy"")"),"ո՞ր երկիրն է գտնվում Բելգիայից անմիջապես արևելք:")</f>
        <v>ո՞ր երկիրն է գտնվում Բելգիայից անմիջապես արևելք:</v>
      </c>
      <c r="D1326" s="3" t="str">
        <f>IFERROR(__xludf.DUMMYFUNCTION("GOOGLETRANSLATE(B1326,""en"",""hy"")"),"Գերմանիա.")</f>
        <v>Գերմանիա.</v>
      </c>
    </row>
    <row r="1327">
      <c r="A1327" s="1" t="s">
        <v>2642</v>
      </c>
      <c r="B1327" s="2" t="s">
        <v>2643</v>
      </c>
      <c r="C1327" s="3" t="str">
        <f>IFERROR(__xludf.DUMMYFUNCTION("GOOGLETRANSLATE(A1327,""en"",""hy"")"),"ովքեր են Իրանի հիմնական առևտրային գործընկերները.")</f>
        <v>ովքեր են Իրանի հիմնական առևտրային գործընկերները.</v>
      </c>
      <c r="D1327" s="3" t="str">
        <f>IFERROR(__xludf.DUMMYFUNCTION("GOOGLETRANSLATE(B1327,""en"",""hy"")"),"Իրանի հիմնական առևտրային գործընկերներն են Չինաստանը, Արաբական Միացյալ Էմիրությունները, Իրաքը, Հարավային Կորեան և Հնդկաստանը:")</f>
        <v>Իրանի հիմնական առևտրային գործընկերներն են Չինաստանը, Արաբական Միացյալ Էմիրությունները, Իրաքը, Հարավային Կորեան և Հնդկաստանը:</v>
      </c>
    </row>
    <row r="1328">
      <c r="A1328" s="1" t="s">
        <v>2644</v>
      </c>
      <c r="B1328" s="2" t="s">
        <v>2645</v>
      </c>
      <c r="C1328" s="3" t="str">
        <f>IFERROR(__xludf.DUMMYFUNCTION("GOOGLETRANSLATE(A1328,""en"",""hy"")"),"որտեղ են Սան Ֆրանցիսկոյի հսկաները բեյսբոլ խաղում:")</f>
        <v>որտեղ են Սան Ֆրանցիսկոյի հսկաները բեյսբոլ խաղում:</v>
      </c>
      <c r="D1328" s="3" t="str">
        <f>IFERROR(__xludf.DUMMYFUNCTION("GOOGLETRANSLATE(B1328,""en"",""hy"")"),"San Francisco Giants-ը բեյսբոլ է խաղում Oracle Park-ում:")</f>
        <v>San Francisco Giants-ը բեյսբոլ է խաղում Oracle Park-ում:</v>
      </c>
    </row>
    <row r="1329">
      <c r="A1329" s="1" t="s">
        <v>2646</v>
      </c>
      <c r="B1329" s="2" t="s">
        <v>2647</v>
      </c>
      <c r="C1329" s="3" t="str">
        <f>IFERROR(__xludf.DUMMYFUNCTION("GOOGLETRANSLATE(A1329,""en"",""hy"")"),"ի՞նչ եղավ Սիլոյի ճակատամարտը։")</f>
        <v>ի՞նչ եղավ Սիլոյի ճակատամարտը։</v>
      </c>
      <c r="D1329" s="3" t="str">
        <f>IFERROR(__xludf.DUMMYFUNCTION("GOOGLETRANSLATE(B1329,""en"",""hy"")"),"Շիլոյի ճակատամարտը միության մեծ հաղթանակն էր Ամերիկայի քաղաքացիական պատերազմի ժամանակ:")</f>
        <v>Շիլոյի ճակատամարտը միության մեծ հաղթանակն էր Ամերիկայի քաղաքացիական պատերազմի ժամանակ:</v>
      </c>
    </row>
    <row r="1330">
      <c r="A1330" s="1" t="s">
        <v>2648</v>
      </c>
      <c r="B1330" s="2" t="s">
        <v>2649</v>
      </c>
      <c r="C1330" s="3" t="str">
        <f>IFERROR(__xludf.DUMMYFUNCTION("GOOGLETRANSLATE(A1330,""en"",""hy"")"),"ինչ տեսակի արժույթ ունի Եգիպտոսը:")</f>
        <v>ինչ տեսակի արժույթ ունի Եգիպտոսը:</v>
      </c>
      <c r="D1330" s="3" t="str">
        <f>IFERROR(__xludf.DUMMYFUNCTION("GOOGLETRANSLATE(B1330,""en"",""hy"")"),"Եգիպտոսի արժույթը եգիպտական ​​ֆունտն է։")</f>
        <v>Եգիպտոսի արժույթը եգիպտական ​​ֆունտն է։</v>
      </c>
    </row>
    <row r="1331">
      <c r="A1331" s="1" t="s">
        <v>2650</v>
      </c>
      <c r="B1331" s="2" t="s">
        <v>2651</v>
      </c>
      <c r="C1331" s="3" t="str">
        <f>IFERROR(__xludf.DUMMYFUNCTION("GOOGLETRANSLATE(A1331,""en"",""hy"")"),"Ո՞ր ակումբի թիմում է Դիեգո Ֆորլանը:")</f>
        <v>Ո՞ր ակումբի թիմում է Դիեգո Ֆորլանը:</v>
      </c>
      <c r="D1331" s="3" t="str">
        <f>IFERROR(__xludf.DUMMYFUNCTION("GOOGLETRANSLATE(B1331,""en"",""hy"")"),"Դիեգո Ֆորլանը ներկայումս չի խաղում ոչ մի ակումբային թիմում։")</f>
        <v>Դիեգո Ֆորլանը ներկայումս չի խաղում ոչ մի ակումբային թիմում։</v>
      </c>
    </row>
    <row r="1332">
      <c r="A1332" s="1" t="s">
        <v>2652</v>
      </c>
      <c r="B1332" s="2" t="s">
        <v>2653</v>
      </c>
      <c r="C1332" s="3" t="str">
        <f>IFERROR(__xludf.DUMMYFUNCTION("GOOGLETRANSLATE(A1332,""en"",""hy"")"),"Ո՞ր նահանգում է գտնվում առցանց Կապլան համալսարանը:")</f>
        <v>Ո՞ր նահանգում է գտնվում առցանց Կապլան համալսարանը:</v>
      </c>
      <c r="D1332" s="3" t="str">
        <f>IFERROR(__xludf.DUMMYFUNCTION("GOOGLETRANSLATE(B1332,""en"",""hy"")"),"Կապլանի առցանց համալսարանը գտնվում է Այովա նահանգում:")</f>
        <v>Կապլանի առցանց համալսարանը գտնվում է Այովա նահանգում:</v>
      </c>
    </row>
    <row r="1333">
      <c r="A1333" s="1" t="s">
        <v>2654</v>
      </c>
      <c r="B1333" s="2" t="s">
        <v>2655</v>
      </c>
      <c r="C1333" s="3" t="str">
        <f>IFERROR(__xludf.DUMMYFUNCTION("GOOGLETRANSLATE(A1333,""en"",""hy"")"),"ո՞ւմ են պաշտում ռաստաֆարները։")</f>
        <v>ո՞ւմ են պաշտում ռաստաֆարները։</v>
      </c>
      <c r="D1333" s="3" t="str">
        <f>IFERROR(__xludf.DUMMYFUNCTION("GOOGLETRANSLATE(B1333,""en"",""hy"")"),"Ռաստաֆարյանները երկրպագում են Եթովպիայի կայսր Հայլե Սելասի I-ին որպես մեսիայի:")</f>
        <v>Ռաստաֆարյանները երկրպագում են Եթովպիայի կայսր Հայլե Սելասի I-ին որպես մեսիայի:</v>
      </c>
    </row>
    <row r="1334">
      <c r="A1334" s="1" t="s">
        <v>2656</v>
      </c>
      <c r="B1334" s="2" t="s">
        <v>2657</v>
      </c>
      <c r="C1334" s="3" t="str">
        <f>IFERROR(__xludf.DUMMYFUNCTION("GOOGLETRANSLATE(A1334,""en"",""hy"")"),"ո՞ր ժամային գոտում են Բահամյան կղզիները:")</f>
        <v>ո՞ր ժամային գոտում են Բահամյան կղզիները:</v>
      </c>
      <c r="D1334" s="3" t="str">
        <f>IFERROR(__xludf.DUMMYFUNCTION("GOOGLETRANSLATE(B1334,""en"",""hy"")"),"Բահամյան կղզիները գտնվում են Արևելյան ստանդարտ ժամանակի (EST) ժամային գոտում:")</f>
        <v>Բահամյան կղզիները գտնվում են Արևելյան ստանդարտ ժամանակի (EST) ժամային գոտում:</v>
      </c>
    </row>
    <row r="1335">
      <c r="A1335" s="1" t="s">
        <v>2658</v>
      </c>
      <c r="B1335" s="2" t="s">
        <v>2659</v>
      </c>
      <c r="C1335" s="3" t="str">
        <f>IFERROR(__xludf.DUMMYFUNCTION("GOOGLETRANSLATE(A1335,""en"",""hy"")"),"որտեղ եմ մահացել Ֆրենկ Բաումը")</f>
        <v>որտեղ եմ մահացել Ֆրենկ Բաումը</v>
      </c>
      <c r="D1335" s="3" t="str">
        <f>IFERROR(__xludf.DUMMYFUNCTION("GOOGLETRANSLATE(B1335,""en"",""hy"")"),"Լ. Ֆրենկ Բաումը մահացել է Հոլիվուդում, Կալիֆորնիա, ԱՄՆ:")</f>
        <v>Լ. Ֆրենկ Բաումը մահացել է Հոլիվուդում, Կալիֆորնիա, ԱՄՆ:</v>
      </c>
    </row>
    <row r="1336">
      <c r="A1336" s="1" t="s">
        <v>2660</v>
      </c>
      <c r="B1336" s="2" t="s">
        <v>2661</v>
      </c>
      <c r="C1336" s="3" t="str">
        <f>IFERROR(__xludf.DUMMYFUNCTION("GOOGLETRANSLATE(A1336,""en"",""hy"")"),"ո՞րն է ընտանիքի տղայի դրվագը, երբ Պետրոսը սեփական երկիր է անում:")</f>
        <v>ո՞րն է ընտանիքի տղայի դրվագը, երբ Պետրոսը սեփական երկիր է անում:</v>
      </c>
      <c r="D1336" s="3" t="str">
        <f>IFERROR(__xludf.DUMMYFUNCTION("GOOGLETRANSLATE(B1336,""en"",""hy"")"),"Family Guy-ի այն դրվագը, որտեղ Փիթերը սեփական երկիր է ստեղծում, կոչվում է «Պետորիա»:")</f>
        <v>Family Guy-ի այն դրվագը, որտեղ Փիթերը սեփական երկիր է ստեղծում, կոչվում է «Պետորիա»:</v>
      </c>
    </row>
    <row r="1337">
      <c r="A1337" s="1" t="s">
        <v>2662</v>
      </c>
      <c r="B1337" s="2" t="s">
        <v>2663</v>
      </c>
      <c r="C1337" s="3" t="str">
        <f>IFERROR(__xludf.DUMMYFUNCTION("GOOGLETRANSLATE(A1337,""en"",""hy"")"),"ի՞նչը ոգեշնչեց Սթայնբեքին գրել:")</f>
        <v>ի՞նչը ոգեշնչեց Սթայնբեքին գրել:</v>
      </c>
      <c r="D1337" s="3" t="str">
        <f>IFERROR(__xludf.DUMMYFUNCTION("GOOGLETRANSLATE(B1337,""en"",""hy"")"),"Տարբեր գործոններ ոգեշնչեցին Ջոն Սթայնբեքին գրել. Դրանք ներառում էին նրա անձնական փորձառությունները, հասարակության և մարդկային էության մասին նրա դիտարկումները և սոցիալական անարդարությունների և տնտեսական անհավասարությունների վրա լույս սփռելու ցանկությունը:")</f>
        <v>Տարբեր գործոններ ոգեշնչեցին Ջոն Սթայնբեքին գրել. Դրանք ներառում էին նրա անձնական փորձառությունները, հասարակության և մարդկային էության մասին նրա դիտարկումները և սոցիալական անարդարությունների և տնտեսական անհավասարությունների վրա լույս սփռելու ցանկությունը:</v>
      </c>
    </row>
    <row r="1338">
      <c r="A1338" s="1" t="s">
        <v>2664</v>
      </c>
      <c r="B1338" s="2" t="s">
        <v>2665</v>
      </c>
      <c r="C1338" s="3" t="str">
        <f>IFERROR(__xludf.DUMMYFUNCTION("GOOGLETRANSLATE(A1338,""en"",""hy"")"),"ով է Կուբայի առաջնորդը 2012 թ.")</f>
        <v>ով է Կուբայի առաջնորդը 2012 թ.</v>
      </c>
      <c r="D1338" s="3" t="str">
        <f>IFERROR(__xludf.DUMMYFUNCTION("GOOGLETRANSLATE(B1338,""en"",""hy"")"),"2012 թվականին Կուբայի առաջնորդը Ռաուլ Կաստրոն էր։")</f>
        <v>2012 թվականին Կուբայի առաջնորդը Ռաուլ Կաստրոն էր։</v>
      </c>
    </row>
    <row r="1339">
      <c r="A1339" s="1" t="s">
        <v>2666</v>
      </c>
      <c r="B1339" s="2" t="s">
        <v>2667</v>
      </c>
      <c r="C1339" s="3" t="str">
        <f>IFERROR(__xludf.DUMMYFUNCTION("GOOGLETRANSLATE(A1339,""en"",""hy"")"),"որտեղ խաղաց Գարեթ Սաութգեյթը")</f>
        <v>որտեղ խաղաց Գարեթ Սաութգեյթը</v>
      </c>
      <c r="D1339" s="3" t="str">
        <f>IFERROR(__xludf.DUMMYFUNCTION("GOOGLETRANSLATE(B1339,""en"",""hy"")"),"Գարեթ Սաութգեյթը խաղացել է «Աստոն Վիլլայում» և «Միդլսբրոյում»:")</f>
        <v>Գարեթ Սաութգեյթը խաղացել է «Աստոն Վիլլայում» և «Միդլսբրոյում»:</v>
      </c>
    </row>
    <row r="1340">
      <c r="A1340" s="1" t="s">
        <v>2668</v>
      </c>
      <c r="B1340" s="2" t="s">
        <v>2669</v>
      </c>
      <c r="C1340" s="3" t="str">
        <f>IFERROR(__xludf.DUMMYFUNCTION("GOOGLETRANSLATE(A1340,""en"",""hy"")"),"ի՞նչ երաժշտական ​​գործիքներ է նվագել դուքս Էլինգթոնը:")</f>
        <v>ի՞նչ երաժշտական ​​գործիքներ է նվագել դուքս Էլինգթոնը:</v>
      </c>
      <c r="D1340" s="3" t="str">
        <f>IFERROR(__xludf.DUMMYFUNCTION("GOOGLETRANSLATE(B1340,""en"",""hy"")"),"Դյուկ Էլինգթոնը դաշնամուր է նվագել։")</f>
        <v>Դյուկ Էլինգթոնը դաշնամուր է նվագել։</v>
      </c>
    </row>
    <row r="1341">
      <c r="A1341" s="1" t="s">
        <v>2670</v>
      </c>
      <c r="B1341" s="2" t="s">
        <v>2671</v>
      </c>
      <c r="C1341" s="3" t="str">
        <f>IFERROR(__xludf.DUMMYFUNCTION("GOOGLETRANSLATE(A1341,""en"",""hy"")"),"որտեղ է Ամերիկայի բանկի տաղավարը")</f>
        <v>որտեղ է Ամերիկայի բանկի տաղավարը</v>
      </c>
      <c r="D1341" s="3" t="str">
        <f>IFERROR(__xludf.DUMMYFUNCTION("GOOGLETRANSLATE(B1341,""en"",""hy"")"),"Bank of America տաղավարը գտնվում է Բոստոնում, Մասաչուսեթս:")</f>
        <v>Bank of America տաղավարը գտնվում է Բոստոնում, Մասաչուսեթս:</v>
      </c>
    </row>
    <row r="1342">
      <c r="A1342" s="1" t="s">
        <v>2672</v>
      </c>
      <c r="B1342" s="2" t="s">
        <v>2673</v>
      </c>
      <c r="C1342" s="3" t="str">
        <f>IFERROR(__xludf.DUMMYFUNCTION("GOOGLETRANSLATE(A1342,""en"",""hy"")"),"ինչ ունի google-ը:")</f>
        <v>ինչ ունի google-ը:</v>
      </c>
      <c r="D1342" s="3" t="str">
        <f>IFERROR(__xludf.DUMMYFUNCTION("GOOGLETRANSLATE(B1342,""en"",""hy"")"),"Google-ն ունի ապրանքների և ծառայությունների լայն շրջանակ, ներառյալ որոնման համակարգ, էլփոստի ծառայություն (Gmail), առցանց պահեստավորում (Google Drive), տեսանյութերի փոխանակման հարթակ (YouTube), վեբ բրաուզեր (Google Chrome), օպերացիոն համակարգ (Android), թ"&amp;"վային օգնական: (Google Assistant), հաղորդագրությունների ծառայություն (Google Hangouts) և շատ ավելին:")</f>
        <v>Google-ն ունի ապրանքների և ծառայությունների լայն շրջանակ, ներառյալ որոնման համակարգ, էլփոստի ծառայություն (Gmail), առցանց պահեստավորում (Google Drive), տեսանյութերի փոխանակման հարթակ (YouTube), վեբ բրաուզեր (Google Chrome), օպերացիոն համակարգ (Android), թվային օգնական: (Google Assistant), հաղորդագրությունների ծառայություն (Google Hangouts) և շատ ավելին:</v>
      </c>
    </row>
    <row r="1343">
      <c r="A1343" s="1" t="s">
        <v>2674</v>
      </c>
      <c r="B1343" s="2" t="s">
        <v>2675</v>
      </c>
      <c r="C1343" s="3" t="str">
        <f>IFERROR(__xludf.DUMMYFUNCTION("GOOGLETRANSLATE(A1343,""en"",""hy"")"),"ո՞րն է Բոստոն Սելտիքսի ներկայիս ցուցակը:")</f>
        <v>ո՞րն է Բոստոն Սելտիքսի ներկայիս ցուցակը:</v>
      </c>
      <c r="D1343" s="3" t="str">
        <f>IFERROR(__xludf.DUMMYFUNCTION("GOOGLETRANSLATE(B1343,""en"",""hy"")"),"Ցավում եմ, ես չեմ կարող իրական ժամանակում տեղեկատվություն տրամադրել, քանի որ իմ պատասխանները նախապես ստեղծվել են: Խորհուրդ է տրվում ստուգել վստահելի աղբյուրը, ինչպիսին է պաշտոնական կայքը կամ սպորտային լրատվամիջոցները՝ Boston Celtics-ի ցուցակի վերաբերյալ ա"&amp;"մենաարդիական տեղեկատվության համար:")</f>
        <v>Ցավում եմ, ես չեմ կարող իրական ժամանակում տեղեկատվություն տրամադրել, քանի որ իմ պատասխանները նախապես ստեղծվել են: Խորհուրդ է տրվում ստուգել վստահելի աղբյուրը, ինչպիսին է պաշտոնական կայքը կամ սպորտային լրատվամիջոցները՝ Boston Celtics-ի ցուցակի վերաբերյալ ամենաարդիական տեղեկատվության համար:</v>
      </c>
    </row>
    <row r="1344">
      <c r="A1344" s="1" t="s">
        <v>2676</v>
      </c>
      <c r="B1344" s="2" t="s">
        <v>2677</v>
      </c>
      <c r="C1344" s="3" t="str">
        <f>IFERROR(__xludf.DUMMYFUNCTION("GOOGLETRANSLATE(A1344,""en"",""hy"")"),"ի՞նչ ընդհանրություններ ունեն իսլամը և քրիստոնեությունը:")</f>
        <v>ի՞նչ ընդհանրություններ ունեն իսլամը և քրիստոնեությունը:</v>
      </c>
      <c r="D1344" s="3" t="str">
        <f>IFERROR(__xludf.DUMMYFUNCTION("GOOGLETRANSLATE(B1344,""en"",""hy"")"),"Իսլամի և քրիստոնեության միջև ընդհանուր որոշ առանձնահատկություններ ներառում են հավատը մեկ Աստծուն, աղոթքի և երկրպագության կարևորությունը, մարգարեների հանդեպ հավատը և բարոյական և արդար կյանք վարելու շեշտը:")</f>
        <v>Իսլամի և քրիստոնեության միջև ընդհանուր որոշ առանձնահատկություններ ներառում են հավատը մեկ Աստծուն, աղոթքի և երկրպագության կարևորությունը, մարգարեների հանդեպ հավատը և բարոյական և արդար կյանք վարելու շեշտը:</v>
      </c>
    </row>
    <row r="1345">
      <c r="A1345" s="1" t="s">
        <v>2678</v>
      </c>
      <c r="B1345" s="2" t="s">
        <v>2679</v>
      </c>
      <c r="C1345" s="3" t="str">
        <f>IFERROR(__xludf.DUMMYFUNCTION("GOOGLETRANSLATE(A1345,""en"",""hy"")"),"ինչի՞ց էր թագուհի Վիկտորիա թագուհին:")</f>
        <v>ինչի՞ց էր թագուհի Վիկտորիա թագուհին:</v>
      </c>
      <c r="D1345" s="3" t="str">
        <f>IFERROR(__xludf.DUMMYFUNCTION("GOOGLETRANSLATE(B1345,""en"",""hy"")"),"Վիկտորիա թագուհին Մեծ Բրիտանիայի և Իռլանդիայի Միացյալ Թագավորության թագուհին էր։")</f>
        <v>Վիկտորիա թագուհին Մեծ Բրիտանիայի և Իռլանդիայի Միացյալ Թագավորության թագուհին էր։</v>
      </c>
    </row>
    <row r="1346">
      <c r="A1346" s="1" t="s">
        <v>2680</v>
      </c>
      <c r="B1346" s="2" t="s">
        <v>2681</v>
      </c>
      <c r="C1346" s="3" t="str">
        <f>IFERROR(__xludf.DUMMYFUNCTION("GOOGLETRANSLATE(A1346,""en"",""hy"")"),"ով է խաղում ռեյ բարոն:")</f>
        <v>ով է խաղում ռեյ բարոն:</v>
      </c>
      <c r="D1346" s="3" t="str">
        <f>IFERROR(__xludf.DUMMYFUNCTION("GOOGLETRANSLATE(B1346,""en"",""hy"")"),"Ռեյ Ռոմանո.")</f>
        <v>Ռեյ Ռոմանո.</v>
      </c>
    </row>
    <row r="1347">
      <c r="A1347" s="1" t="s">
        <v>2682</v>
      </c>
      <c r="B1347" s="2" t="s">
        <v>2683</v>
      </c>
      <c r="C1347" s="3" t="str">
        <f>IFERROR(__xludf.DUMMYFUNCTION("GOOGLETRANSLATE(A1347,""en"",""hy"")"),"ինչ ֆիլմերում է խաղացել Ռոբերտ Բլեյքը")</f>
        <v>ինչ ֆիլմերում է խաղացել Ռոբերտ Բլեյքը</v>
      </c>
      <c r="D1347" s="3" t="str">
        <f>IFERROR(__xludf.DUMMYFUNCTION("GOOGLETRANSLATE(B1347,""en"",""hy"")"),"Ռոբերտ Բլեյքը հայտնի է այնպիսի ֆիլմերում, ինչպիսիք են «Սառը արյունով» և «Electra Glide in Blue» դերերը:")</f>
        <v>Ռոբերտ Բլեյքը հայտնի է այնպիսի ֆիլմերում, ինչպիսիք են «Սառը արյունով» և «Electra Glide in Blue» դերերը:</v>
      </c>
    </row>
    <row r="1348">
      <c r="A1348" s="1" t="s">
        <v>2684</v>
      </c>
      <c r="B1348" s="2" t="s">
        <v>2685</v>
      </c>
      <c r="C1348" s="3" t="str">
        <f>IFERROR(__xludf.DUMMYFUNCTION("GOOGLETRANSLATE(A1348,""en"",""hy"")"),"ինչ հեռուստահաղորդումներ են տեսագրվում Նյու Յորքում:")</f>
        <v>ինչ հեռուստահաղորդումներ են տեսագրվում Նյու Յորքում:</v>
      </c>
      <c r="D1348" s="3" t="str">
        <f>IFERROR(__xludf.DUMMYFUNCTION("GOOGLETRANSLATE(B1348,""en"",""hy"")"),"Որոշ հեռուստահաղորդումներ, որոնք ձայնագրվում են Նյու Յորքում, ներառում են «Saturday Night Live», «The Tonight Show Starring Jimmy Fallon», «The Daily Show with Trevor Noah», «Late Night with Seth Meyers», «The View» և Բարի լույս Ամերիկա»։")</f>
        <v>Որոշ հեռուստահաղորդումներ, որոնք ձայնագրվում են Նյու Յորքում, ներառում են «Saturday Night Live», «The Tonight Show Starring Jimmy Fallon», «The Daily Show with Trevor Noah», «Late Night with Seth Meyers», «The View» և Բարի լույս Ամերիկա»։</v>
      </c>
    </row>
    <row r="1349">
      <c r="A1349" s="1" t="s">
        <v>2686</v>
      </c>
      <c r="B1349" s="2" t="s">
        <v>2687</v>
      </c>
      <c r="C1349" s="3" t="str">
        <f>IFERROR(__xludf.DUMMYFUNCTION("GOOGLETRANSLATE(A1349,""en"",""hy"")"),"ինչի՞ց է մահացել Ջերալդ Ֆորդը")</f>
        <v>ինչի՞ց է մահացել Ջերալդ Ֆորդը</v>
      </c>
      <c r="D1349" s="3" t="str">
        <f>IFERROR(__xludf.DUMMYFUNCTION("GOOGLETRANSLATE(B1349,""en"",""hy"")"),"Ջերալդ Ֆորդը մահացել է ինսուլտից։")</f>
        <v>Ջերալդ Ֆորդը մահացել է ինսուլտից։</v>
      </c>
    </row>
    <row r="1350">
      <c r="A1350" s="1" t="s">
        <v>2688</v>
      </c>
      <c r="B1350" s="2" t="s">
        <v>2689</v>
      </c>
      <c r="C1350" s="3" t="str">
        <f>IFERROR(__xludf.DUMMYFUNCTION("GOOGLETRANSLATE(A1350,""en"",""hy"")"),"որտեղ է գտնվում Գոբի անապատը:")</f>
        <v>որտեղ է գտնվում Գոբի անապատը:</v>
      </c>
      <c r="D1350" s="3" t="str">
        <f>IFERROR(__xludf.DUMMYFUNCTION("GOOGLETRANSLATE(B1350,""en"",""hy"")"),"Գոբի անապատը գտնվում է Չինաստանի հյուսիսում և Մոնղոլիայի հարավում։")</f>
        <v>Գոբի անապատը գտնվում է Չինաստանի հյուսիսում և Մոնղոլիայի հարավում։</v>
      </c>
    </row>
    <row r="1351">
      <c r="A1351" s="1" t="s">
        <v>2690</v>
      </c>
      <c r="B1351" s="2" t="s">
        <v>2691</v>
      </c>
      <c r="C1351" s="3" t="str">
        <f>IFERROR(__xludf.DUMMYFUNCTION("GOOGLETRANSLATE(A1351,""en"",""hy"")"),"ինչպիսի՞ հոգեկան հիվանդություն ուներ Հովարդ Հյուզը:")</f>
        <v>ինչպիսի՞ հոգեկան հիվանդություն ուներ Հովարդ Հյուզը:</v>
      </c>
      <c r="D1351" s="3" t="str">
        <f>IFERROR(__xludf.DUMMYFUNCTION("GOOGLETRANSLATE(B1351,""en"",""hy"")"),"Օբսեսիվ-կոմպուլսիվ խանգարում (OCD)")</f>
        <v>Օբսեսիվ-կոմպուլսիվ խանգարում (OCD)</v>
      </c>
    </row>
    <row r="1352">
      <c r="A1352" s="1" t="s">
        <v>2692</v>
      </c>
      <c r="B1352" s="2" t="s">
        <v>2693</v>
      </c>
      <c r="C1352" s="3" t="str">
        <f>IFERROR(__xludf.DUMMYFUNCTION("GOOGLETRANSLATE(A1352,""en"",""hy"")"),"ով է Ճապոնիայի վարչապետը 2012թ.")</f>
        <v>ով է Ճապոնիայի վարչապետը 2012թ.</v>
      </c>
      <c r="D1352" s="3" t="str">
        <f>IFERROR(__xludf.DUMMYFUNCTION("GOOGLETRANSLATE(B1352,""en"",""hy"")"),"Յոշիհիկո Նոդա.")</f>
        <v>Յոշիհիկո Նոդա.</v>
      </c>
    </row>
    <row r="1353">
      <c r="A1353" s="1" t="s">
        <v>2694</v>
      </c>
      <c r="B1353" s="2" t="s">
        <v>2695</v>
      </c>
      <c r="C1353" s="3" t="str">
        <f>IFERROR(__xludf.DUMMYFUNCTION("GOOGLETRANSLATE(A1353,""en"",""hy"")"),"Ո՞ր քաղաքում է ծնվել Բարաք Օբաման.")</f>
        <v>Ո՞ր քաղաքում է ծնվել Բարաք Օբաման.</v>
      </c>
      <c r="D1353" s="3" t="str">
        <f>IFERROR(__xludf.DUMMYFUNCTION("GOOGLETRANSLATE(B1353,""en"",""hy"")"),"Բարաք Օբաման ծնվել է Հավայան կղզիների Հոնոլուլու քաղաքում։")</f>
        <v>Բարաք Օբաման ծնվել է Հավայան կղզիների Հոնոլուլու քաղաքում։</v>
      </c>
    </row>
    <row r="1354">
      <c r="A1354" s="1" t="s">
        <v>2696</v>
      </c>
      <c r="B1354" s="2" t="s">
        <v>2697</v>
      </c>
      <c r="C1354" s="3" t="str">
        <f>IFERROR(__xludf.DUMMYFUNCTION("GOOGLETRANSLATE(A1354,""en"",""hy"")"),"Ո՞ր օդանավակայան եք թռչում Կաբո Սան Լուկաս հասնելու համար:")</f>
        <v>Ո՞ր օդանավակայան եք թռչում Կաբո Սան Լուկաս հասնելու համար:</v>
      </c>
      <c r="D1354" s="3" t="str">
        <f>IFERROR(__xludf.DUMMYFUNCTION("GOOGLETRANSLATE(B1354,""en"",""hy"")"),"Լոս Կաբոս միջազգային օդանավակայան (SJD).")</f>
        <v>Լոս Կաբոս միջազգային օդանավակայան (SJD).</v>
      </c>
    </row>
    <row r="1355">
      <c r="A1355" s="1" t="s">
        <v>2698</v>
      </c>
      <c r="B1355" s="2" t="s">
        <v>2699</v>
      </c>
      <c r="C1355" s="3" t="str">
        <f>IFERROR(__xludf.DUMMYFUNCTION("GOOGLETRANSLATE(A1355,""en"",""hy"")"),"ո՞ր երկրներն են խոսում իսպաներեն Վիքիպեդիայում:")</f>
        <v>ո՞ր երկրներն են խոսում իսպաներեն Վիքիպեդիայում:</v>
      </c>
      <c r="D1355" s="3" t="str">
        <f>IFERROR(__xludf.DUMMYFUNCTION("GOOGLETRANSLATE(B1355,""en"",""hy"")"),"Իսպաներեն խոսող երկրները ներառում են Իսպանիա, Մեքսիկա, Արգենտինա, Կոլումբիա, Պերու, Վենեսուելա, Չիլի, Էկվադոր, Գվատեմալա, Կուբա, Բոլիվիա, Դոմինիկյան Հանրապետություն, Հոնդուրաս, Պարագվայ, Էլ Սալվադոր, Նիկարագուա, Կոստա Ռիկա, Պուերտո Ռիկո, Պանամա, Ուրուգվայ"&amp;", և Հասարակածային Գվինեա։")</f>
        <v>Իսպաներեն խոսող երկրները ներառում են Իսպանիա, Մեքսիկա, Արգենտինա, Կոլումբիա, Պերու, Վենեսուելա, Չիլի, Էկվադոր, Գվատեմալա, Կուբա, Բոլիվիա, Դոմինիկյան Հանրապետություն, Հոնդուրաս, Պարագվայ, Էլ Սալվադոր, Նիկարագուա, Կոստա Ռիկա, Պուերտո Ռիկո, Պանամա, Ուրուգվայ, և Հասարակածային Գվինեա։</v>
      </c>
    </row>
    <row r="1356">
      <c r="A1356" s="1" t="s">
        <v>2700</v>
      </c>
      <c r="B1356" s="2" t="s">
        <v>2701</v>
      </c>
      <c r="C1356" s="3" t="str">
        <f>IFERROR(__xludf.DUMMYFUNCTION("GOOGLETRANSLATE(A1356,""en"",""hy"")"),"ինչ ֆիլմերում է նկարահանվել Ջոնի Դեփը")</f>
        <v>ինչ ֆիլմերում է նկարահանվել Ջոնի Դեփը</v>
      </c>
      <c r="D1356" s="3" t="str">
        <f>IFERROR(__xludf.DUMMYFUNCTION("GOOGLETRANSLATE(B1356,""en"",""hy"")"),"Ջոնի Դեփը նկարահանվել է բազմաթիվ ֆիլմերում, այդ թվում՝ «Կարիբյան ծովի ծովահենները», «Էդվարդ մկրատ ձեռքերը», «Ալիսը հրաշքների աշխարհում», «Չարլին և շոկոլադի գործարանը» և «Սվինի Թոդ. Ֆլիթ փողոցի դև սափրիչը»:")</f>
        <v>Ջոնի Դեփը նկարահանվել է բազմաթիվ ֆիլմերում, այդ թվում՝ «Կարիբյան ծովի ծովահենները», «Էդվարդ մկրատ ձեռքերը», «Ալիսը հրաշքների աշխարհում», «Չարլին և շոկոլադի գործարանը» և «Սվինի Թոդ. Ֆլիթ փողոցի դև սափրիչը»:</v>
      </c>
    </row>
    <row r="1357">
      <c r="A1357" s="1" t="s">
        <v>2702</v>
      </c>
      <c r="B1357" s="2" t="s">
        <v>2703</v>
      </c>
      <c r="C1357" s="3" t="str">
        <f>IFERROR(__xludf.DUMMYFUNCTION("GOOGLETRANSLATE(A1357,""en"",""hy"")"),"ով է ղեկավարում Չինաստանը 2011թ.")</f>
        <v>ով է ղեկավարում Չինաստանը 2011թ.</v>
      </c>
      <c r="D1357" s="3" t="str">
        <f>IFERROR(__xludf.DUMMYFUNCTION("GOOGLETRANSLATE(B1357,""en"",""hy"")"),"2011 թվականին Չինաստանը ղեկավարվում էր Կոմունիստական ​​կուսակցության կողմից, որի նախագահն էր Հու Ցզինտաոն:")</f>
        <v>2011 թվականին Չինաստանը ղեկավարվում էր Կոմունիստական ​​կուսակցության կողմից, որի նախագահն էր Հու Ցզինտաոն:</v>
      </c>
    </row>
    <row r="1358">
      <c r="A1358" s="1" t="s">
        <v>2704</v>
      </c>
      <c r="B1358" s="2" t="s">
        <v>2705</v>
      </c>
      <c r="C1358" s="3" t="str">
        <f>IFERROR(__xludf.DUMMYFUNCTION("GOOGLETRANSLATE(A1358,""en"",""hy"")"),"Ո՞ր խոշոր օդանավակայանն է գտնվում Ֆլորիդայի մոտակայքում:")</f>
        <v>Ո՞ր խոշոր օդանավակայանն է գտնվում Ֆլորիդայի մոտակայքում:</v>
      </c>
      <c r="D1358" s="3" t="str">
        <f>IFERROR(__xludf.DUMMYFUNCTION("GOOGLETRANSLATE(B1358,""en"",""hy"")"),"Հյուսիսարևմտյան Ֆլորիդայի տարածաշրջանային օդանավակայանը Ֆլորիդայի Դեստինի մոտ գտնվող հիմնական օդանավակայանն է:")</f>
        <v>Հյուսիսարևմտյան Ֆլորիդայի տարածաշրջանային օդանավակայանը Ֆլորիդայի Դեստինի մոտ գտնվող հիմնական օդանավակայանն է:</v>
      </c>
    </row>
    <row r="1359">
      <c r="A1359" s="1" t="s">
        <v>2706</v>
      </c>
      <c r="B1359" s="2" t="s">
        <v>2707</v>
      </c>
      <c r="C1359" s="3" t="str">
        <f>IFERROR(__xludf.DUMMYFUNCTION("GOOGLETRANSLATE(A1359,""en"",""hy"")"),"Ո՞ր երկրից է առաջացել Վասկո դա Գաման:")</f>
        <v>Ո՞ր երկրից է առաջացել Վասկո դա Գաման:</v>
      </c>
      <c r="D1359" s="3" t="str">
        <f>IFERROR(__xludf.DUMMYFUNCTION("GOOGLETRANSLATE(B1359,""en"",""hy"")"),"Վասկո դա Գաման եկել է Պորտուգալիայից։")</f>
        <v>Վասկո դա Գաման եկել է Պորտուգալիայից։</v>
      </c>
    </row>
    <row r="1360">
      <c r="A1360" s="1" t="s">
        <v>2708</v>
      </c>
      <c r="B1360" s="2" t="s">
        <v>2709</v>
      </c>
      <c r="C1360" s="3" t="str">
        <f>IFERROR(__xludf.DUMMYFUNCTION("GOOGLETRANSLATE(A1360,""en"",""hy"")"),"ինչպիսի՞ն է Վիետնամի ներկայիս կառավարությունը:")</f>
        <v>ինչպիսի՞ն է Վիետնամի ներկայիս կառավարությունը:</v>
      </c>
      <c r="D1360" s="3" t="str">
        <f>IFERROR(__xludf.DUMMYFUNCTION("GOOGLETRANSLATE(B1360,""en"",""hy"")"),"Կոմունիստական ​​իշխանություն")</f>
        <v>Կոմունիստական ​​իշխանություն</v>
      </c>
    </row>
    <row r="1361">
      <c r="A1361" s="1" t="s">
        <v>2710</v>
      </c>
      <c r="B1361" s="2" t="s">
        <v>2711</v>
      </c>
      <c r="C1361" s="3" t="str">
        <f>IFERROR(__xludf.DUMMYFUNCTION("GOOGLETRANSLATE(A1361,""en"",""hy"")"),"ո՞ր երկրների միջև էր Վիետնամի պատերազմը.")</f>
        <v>ո՞ր երկրների միջև էր Վիետնամի պատերազմը.</v>
      </c>
      <c r="D1361" s="3" t="str">
        <f>IFERROR(__xludf.DUMMYFUNCTION("GOOGLETRANSLATE(B1361,""en"",""hy"")"),"Վիետնամի պատերազմը հիմնականում եղել է Հյուսիսային Վիետնամի և Հարավային Վիետնամի միջև, բայց դրան մասնակցել են նաև այլ երկրներ, ինչպիսիք են ԱՄՆ-ը, Չինաստանը և Խորհրդային Միությունը:")</f>
        <v>Վիետնամի պատերազմը հիմնականում եղել է Հյուսիսային Վիետնամի և Հարավային Վիետնամի միջև, բայց դրան մասնակցել են նաև այլ երկրներ, ինչպիսիք են ԱՄՆ-ը, Չինաստանը և Խորհրդային Միությունը:</v>
      </c>
    </row>
    <row r="1362">
      <c r="A1362" s="1" t="s">
        <v>2712</v>
      </c>
      <c r="B1362" s="2" t="s">
        <v>2713</v>
      </c>
      <c r="C1362" s="3" t="str">
        <f>IFERROR(__xludf.DUMMYFUNCTION("GOOGLETRANSLATE(A1362,""en"",""hy"")"),"ինչ տեսնել Փարիզից դուրս.")</f>
        <v>ինչ տեսնել Փարիզից դուրս.</v>
      </c>
      <c r="D1362" s="3" t="str">
        <f>IFERROR(__xludf.DUMMYFUNCTION("GOOGLETRANSLATE(B1362,""en"",""hy"")"),"Կան բազմաթիվ տեսարժան վայրեր և ուղղություններ, որոնք արժե այցելել Փարիզից դուրս, ինչպիսիք են Վերսալի պալատը, Մոն Սեն Միշելը, Լուարի հովիտը և Նորմանդական լողափերը:")</f>
        <v>Կան բազմաթիվ տեսարժան վայրեր և ուղղություններ, որոնք արժե այցելել Փարիզից դուրս, ինչպիսիք են Վերսալի պալատը, Մոն Սեն Միշելը, Լուարի հովիտը և Նորմանդական լողափերը:</v>
      </c>
    </row>
    <row r="1363">
      <c r="A1363" s="1" t="s">
        <v>2714</v>
      </c>
      <c r="B1363" s="2" t="s">
        <v>2715</v>
      </c>
      <c r="C1363" s="3" t="str">
        <f>IFERROR(__xludf.DUMMYFUNCTION("GOOGLETRANSLATE(A1363,""en"",""hy"")"),"ինչ են ներկայացնում նացիստները")</f>
        <v>ինչ են ներկայացնում նացիստները</v>
      </c>
      <c r="D1363" s="3" t="str">
        <f>IFERROR(__xludf.DUMMYFUNCTION("GOOGLETRANSLATE(B1363,""en"",""hy"")"),"Նացիստները հանդես են գալիս որպես նացիոնալ-սոցիալիստներ")</f>
        <v>Նացիստները հանդես են գալիս որպես նացիոնալ-սոցիալիստներ</v>
      </c>
    </row>
    <row r="1364">
      <c r="A1364" s="1" t="s">
        <v>2716</v>
      </c>
      <c r="B1364" s="2" t="s">
        <v>2717</v>
      </c>
      <c r="C1364" s="3" t="str">
        <f>IFERROR(__xludf.DUMMYFUNCTION("GOOGLETRANSLATE(A1364,""en"",""hy"")"),"որտեղ է գտնվում nfl փառքի սրահը և ե՞րբ է բացվել շենքը:")</f>
        <v>որտեղ է գտնվում nfl փառքի սրահը և ե՞րբ է բացվել շենքը:</v>
      </c>
      <c r="D1364" s="3" t="str">
        <f>IFERROR(__xludf.DUMMYFUNCTION("GOOGLETRANSLATE(B1364,""en"",""hy"")"),"NFL Փառքի սրահը գտնվում է Օհայո նահանգի Կանտոն քաղաքում, իսկ շենքը բացվել է 1963 թվականին։")</f>
        <v>NFL Փառքի սրահը գտնվում է Օհայո նահանգի Կանտոն քաղաքում, իսկ շենքը բացվել է 1963 թվականին։</v>
      </c>
    </row>
    <row r="1365">
      <c r="A1365" s="1" t="s">
        <v>2718</v>
      </c>
      <c r="B1365" s="2" t="s">
        <v>2719</v>
      </c>
      <c r="C1365" s="3" t="str">
        <f>IFERROR(__xludf.DUMMYFUNCTION("GOOGLETRANSLATE(A1365,""en"",""hy"")"),"որտեղ է ապրել Լաուրա Ինգալս Ուայլդերը:")</f>
        <v>որտեղ է ապրել Լաուրա Ինգալս Ուայլդերը:</v>
      </c>
      <c r="D1365" s="3" t="str">
        <f>IFERROR(__xludf.DUMMYFUNCTION("GOOGLETRANSLATE(B1365,""en"",""hy"")"),"Լաուրա Ինգալս Ուայլդերն իր կյանքի ընթացքում ապրել է տարբեր վայրերում, այդ թվում՝ Վիսկոնսինում, Կանզասում, Մինեսոտայում և Հարավային Դակոտայում:")</f>
        <v>Լաուրա Ինգալս Ուայլդերն իր կյանքի ընթացքում ապրել է տարբեր վայրերում, այդ թվում՝ Վիսկոնսինում, Կանզասում, Մինեսոտայում և Հարավային Դակոտայում:</v>
      </c>
    </row>
    <row r="1366">
      <c r="A1366" s="1" t="s">
        <v>2720</v>
      </c>
      <c r="B1366" s="2" t="s">
        <v>2721</v>
      </c>
      <c r="C1366" s="3" t="str">
        <f>IFERROR(__xludf.DUMMYFUNCTION("GOOGLETRANSLATE(A1366,""en"",""hy"")"),"ում հետ է հանդիպել Ջեյսոն Սեգելը:")</f>
        <v>ում հետ է հանդիպել Ջեյսոն Սեգելը:</v>
      </c>
      <c r="D1366" s="3" t="str">
        <f>IFERROR(__xludf.DUMMYFUNCTION("GOOGLETRANSLATE(B1366,""en"",""hy"")"),"Ջեյսոն Սեգելը հանդիպում է մի քանի կանանց, այդ թվում՝ Միշել Ուիլյամսի և Բոյանա Նովակովիչի հետ։")</f>
        <v>Ջեյսոն Սեգելը հանդիպում է մի քանի կանանց, այդ թվում՝ Միշել Ուիլյամսի և Բոյանա Նովակովիչի հետ։</v>
      </c>
    </row>
    <row r="1367">
      <c r="A1367" s="1" t="s">
        <v>2722</v>
      </c>
      <c r="B1367" s="2" t="s">
        <v>2723</v>
      </c>
      <c r="C1367" s="3" t="str">
        <f>IFERROR(__xludf.DUMMYFUNCTION("GOOGLETRANSLATE(A1367,""en"",""hy"")"),"որտեղ է ծնվել Քրիստոֆեր Կոլումբոսը.")</f>
        <v>որտեղ է ծնվել Քրիստոֆեր Կոլումբոսը.</v>
      </c>
      <c r="D1367" s="3" t="str">
        <f>IFERROR(__xludf.DUMMYFUNCTION("GOOGLETRANSLATE(B1367,""en"",""hy"")"),"Քրիստոֆեր Կոլումբոսը ծնվել է Իտալիայի Ջենովա քաղաքում։")</f>
        <v>Քրիստոֆեր Կոլումբոսը ծնվել է Իտալիայի Ջենովա քաղաքում։</v>
      </c>
    </row>
    <row r="1368">
      <c r="A1368" s="1" t="s">
        <v>2724</v>
      </c>
      <c r="B1368" s="2" t="s">
        <v>2725</v>
      </c>
      <c r="C1368" s="3" t="str">
        <f>IFERROR(__xludf.DUMMYFUNCTION("GOOGLETRANSLATE(A1368,""en"",""hy"")"),"ո՞վ է խաղացել Կաթ Գրեհեմը ծնողների թակարդում:")</f>
        <v>ո՞վ է խաղացել Կաթ Գրեհեմը ծնողների թակարդում:</v>
      </c>
      <c r="D1368" s="3" t="str">
        <f>IFERROR(__xludf.DUMMYFUNCTION("GOOGLETRANSLATE(B1368,""en"",""hy"")"),"Քեթ Գրեհեմը մարմնավորել է Ջեքիի կերպարը «Ծնողի ծուղակը» ֆիլմում։")</f>
        <v>Քեթ Գրեհեմը մարմնավորել է Ջեքիի կերպարը «Ծնողի ծուղակը» ֆիլմում։</v>
      </c>
    </row>
    <row r="1369">
      <c r="A1369" s="1" t="s">
        <v>2726</v>
      </c>
      <c r="B1369" s="2" t="s">
        <v>2727</v>
      </c>
      <c r="C1369" s="3" t="str">
        <f>IFERROR(__xludf.DUMMYFUNCTION("GOOGLETRANSLATE(A1369,""en"",""hy"")"),"ի՞նչ է երգում Սեմմի Հագարը")</f>
        <v>ի՞նչ է երգում Սեմմի Հագարը</v>
      </c>
      <c r="D1369" s="3" t="str">
        <f>IFERROR(__xludf.DUMMYFUNCTION("GOOGLETRANSLATE(B1369,""en"",""hy"")"),"Սեմմի Հագարը երգչուհի է, որը հայտնի է ռոք երաժշտությամբ:")</f>
        <v>Սեմմի Հագարը երգչուհի է, որը հայտնի է ռոք երաժշտությամբ:</v>
      </c>
    </row>
    <row r="1370">
      <c r="A1370" s="1" t="s">
        <v>2728</v>
      </c>
      <c r="B1370" s="2" t="s">
        <v>2729</v>
      </c>
      <c r="C1370" s="3" t="str">
        <f>IFERROR(__xludf.DUMMYFUNCTION("GOOGLETRANSLATE(A1370,""en"",""hy"")"),"Ո՞վ է խաղում երիտասարդ Լեքս Լյուտոր Սալլվիլում:")</f>
        <v>Ո՞վ է խաղում երիտասարդ Լեքս Լյուտոր Սալլվիլում:</v>
      </c>
      <c r="D1370" s="3" t="str">
        <f>IFERROR(__xludf.DUMMYFUNCTION("GOOGLETRANSLATE(B1370,""en"",""hy"")"),"Մայքլ Ռոզենբաումը Սմոլվիլում խաղում է երիտասարդ Լեքս Լյուտորին:")</f>
        <v>Մայքլ Ռոզենբաումը Սմոլվիլում խաղում է երիտասարդ Լեքս Լյուտորին:</v>
      </c>
    </row>
    <row r="1371">
      <c r="A1371" s="1" t="s">
        <v>2730</v>
      </c>
      <c r="B1371" s="2" t="s">
        <v>2731</v>
      </c>
      <c r="C1371" s="3" t="str">
        <f>IFERROR(__xludf.DUMMYFUNCTION("GOOGLETRANSLATE(A1371,""en"",""hy"")"),"ում համար է խաղում Լամար Օդոմը 2012 թվականին:")</f>
        <v>ում համար է խաղում Լամար Օդոմը 2012 թվականին:</v>
      </c>
      <c r="D1371" s="3" t="str">
        <f>IFERROR(__xludf.DUMMYFUNCTION("GOOGLETRANSLATE(B1371,""en"",""hy"")"),"Լամար Օդոմը 2012 թվականին հանդես է եկել «Լոս Անջելես Քլիպերսում»:")</f>
        <v>Լամար Օդոմը 2012 թվականին հանդես է եկել «Լոս Անջելես Քլիպերսում»:</v>
      </c>
    </row>
    <row r="1372">
      <c r="A1372" s="1" t="s">
        <v>2732</v>
      </c>
      <c r="B1372" s="2" t="s">
        <v>2733</v>
      </c>
      <c r="C1372" s="3" t="str">
        <f>IFERROR(__xludf.DUMMYFUNCTION("GOOGLETRANSLATE(A1372,""en"",""hy"")"),"որո՞նք են հիմնական սպորտաձևերը Նոր Զելանդիայում:")</f>
        <v>որո՞նք են հիմնական սպորտաձևերը Նոր Զելանդիայում:</v>
      </c>
      <c r="D1372" s="3" t="str">
        <f>IFERROR(__xludf.DUMMYFUNCTION("GOOGLETRANSLATE(B1372,""en"",""hy"")"),"Ռեգբիի միությունը, կրիկետը և նեթբոլը Նոր Զելանդիայի հիմնական մարզաձևերն են։")</f>
        <v>Ռեգբիի միությունը, կրիկետը և նեթբոլը Նոր Զելանդիայի հիմնական մարզաձևերն են։</v>
      </c>
    </row>
    <row r="1373">
      <c r="A1373" s="1" t="s">
        <v>2734</v>
      </c>
      <c r="B1373" s="2" t="s">
        <v>2110</v>
      </c>
      <c r="C1373" s="3" t="str">
        <f>IFERROR(__xludf.DUMMYFUNCTION("GOOGLETRANSLATE(A1373,""en"",""hy"")"),"ո՞վ է ձայն տալիս Լոյս Գրիֆինին:")</f>
        <v>ո՞վ է ձայն տալիս Լոյս Գրիֆինին:</v>
      </c>
      <c r="D1373" s="3" t="str">
        <f>IFERROR(__xludf.DUMMYFUNCTION("GOOGLETRANSLATE(B1373,""en"",""hy"")"),"Ալեքս Բորշտեյն.")</f>
        <v>Ալեքս Բորշտեյն.</v>
      </c>
    </row>
    <row r="1374">
      <c r="A1374" s="1" t="s">
        <v>2735</v>
      </c>
      <c r="B1374" s="2" t="s">
        <v>2736</v>
      </c>
      <c r="C1374" s="3" t="str">
        <f>IFERROR(__xludf.DUMMYFUNCTION("GOOGLETRANSLATE(A1374,""en"",""hy"")"),"ո՞րն է trenton ga-ի փոստային կոդը:")</f>
        <v>ո՞րն է trenton ga-ի փոստային կոդը:</v>
      </c>
      <c r="D1374" s="3" t="str">
        <f>IFERROR(__xludf.DUMMYFUNCTION("GOOGLETRANSLATE(B1374,""en"",""hy"")"),"Trenton, GA-ի փոստային կոդը 30752։")</f>
        <v>Trenton, GA-ի փոստային կոդը 30752։</v>
      </c>
    </row>
    <row r="1375">
      <c r="A1375" s="1" t="s">
        <v>2737</v>
      </c>
      <c r="B1375" s="2" t="s">
        <v>2738</v>
      </c>
      <c r="C1375" s="3" t="str">
        <f>IFERROR(__xludf.DUMMYFUNCTION("GOOGLETRANSLATE(A1375,""en"",""hy"")"),"ինչ լեզվով ես խոսում Ֆինլանդիայում")</f>
        <v>ինչ լեզվով ես խոսում Ֆինլանդիայում</v>
      </c>
      <c r="D1375" s="3" t="str">
        <f>IFERROR(__xludf.DUMMYFUNCTION("GOOGLETRANSLATE(B1375,""en"",""hy"")"),"Ֆինլանդիայում խոսվող պաշտոնական լեզուն ֆիններեն է։")</f>
        <v>Ֆինլանդիայում խոսվող պաշտոնական լեզուն ֆիններեն է։</v>
      </c>
    </row>
    <row r="1376">
      <c r="A1376" s="1" t="s">
        <v>2739</v>
      </c>
      <c r="B1376" s="2" t="s">
        <v>2740</v>
      </c>
      <c r="C1376" s="3" t="str">
        <f>IFERROR(__xludf.DUMMYFUNCTION("GOOGLETRANSLATE(A1376,""en"",""hy"")"),"ինչպիսի՞ կառավարման համակարգ ունի Միացյալ Նահանգները։")</f>
        <v>ինչպիսի՞ կառավարման համակարգ ունի Միացյալ Նահանգները։</v>
      </c>
      <c r="D1376" s="3" t="str">
        <f>IFERROR(__xludf.DUMMYFUNCTION("GOOGLETRANSLATE(B1376,""en"",""hy"")"),"ԱՄՆ-ն ունի նախագահական կառավարման համակարգ։")</f>
        <v>ԱՄՆ-ն ունի նախագահական կառավարման համակարգ։</v>
      </c>
    </row>
    <row r="1377">
      <c r="A1377" s="1" t="s">
        <v>2741</v>
      </c>
      <c r="B1377" s="2" t="s">
        <v>2742</v>
      </c>
      <c r="C1377" s="3" t="str">
        <f>IFERROR(__xludf.DUMMYFUNCTION("GOOGLETRANSLATE(A1377,""en"",""hy"")"),"ի՞նչ գյուտեր է արել դա Վինչին:")</f>
        <v>ի՞նչ գյուտեր է արել դա Վինչին:</v>
      </c>
      <c r="D1377" s="3" t="str">
        <f>IFERROR(__xludf.DUMMYFUNCTION("GOOGLETRANSLATE(B1377,""en"",""hy"")"),"Դա Վինչին կատարել է տարբեր գյուտեր, այդ թվում՝ պարաշյուտ, ուղղաթիռ, տանկ և սուզվելու կոստյում:")</f>
        <v>Դա Վինչին կատարել է տարբեր գյուտեր, այդ թվում՝ պարաշյուտ, ուղղաթիռ, տանկ և սուզվելու կոստյում:</v>
      </c>
    </row>
    <row r="1378">
      <c r="A1378" s="1" t="s">
        <v>2743</v>
      </c>
      <c r="B1378" s="2" t="s">
        <v>2744</v>
      </c>
      <c r="C1378" s="3" t="str">
        <f>IFERROR(__xludf.DUMMYFUNCTION("GOOGLETRANSLATE(A1378,""en"",""hy"")"),"ո՞րն էր Լեբրոն Ջեյմսի նորեկի տարին:")</f>
        <v>ո՞րն էր Լեբրոն Ջեյմսի նորեկի տարին:</v>
      </c>
      <c r="D1378" s="3" t="str">
        <f>IFERROR(__xludf.DUMMYFUNCTION("GOOGLETRANSLATE(B1378,""en"",""hy"")"),"Լեբրոն Ջեյմսի նորեկի տարին 2003 թվականն էր։")</f>
        <v>Լեբրոն Ջեյմսի նորեկի տարին 2003 թվականն էր։</v>
      </c>
    </row>
    <row r="1379">
      <c r="A1379" s="1" t="s">
        <v>2745</v>
      </c>
      <c r="B1379" s="2" t="s">
        <v>2746</v>
      </c>
      <c r="C1379" s="3" t="str">
        <f>IFERROR(__xludf.DUMMYFUNCTION("GOOGLETRANSLATE(A1379,""en"",""hy"")"),"ինչ են Շիրլի տաճարի երեխաների անունները:")</f>
        <v>ինչ են Շիրլի տաճարի երեխաների անունները:</v>
      </c>
      <c r="D1379" s="3" t="str">
        <f>IFERROR(__xludf.DUMMYFUNCTION("GOOGLETRANSLATE(B1379,""en"",""hy"")"),"Շիրլի Թեմփլի երեխաների անուններն են՝ Լինդա Սյուզան Ագար, Չարլզ Օլդեն Բլեք կրտսեր և Լորի Օլդեն Բլեք։")</f>
        <v>Շիրլի Թեմփլի երեխաների անուններն են՝ Լինդա Սյուզան Ագար, Չարլզ Օլդեն Բլեք կրտսեր և Լորի Օլդեն Բլեք։</v>
      </c>
    </row>
    <row r="1380">
      <c r="A1380" s="1" t="s">
        <v>2747</v>
      </c>
      <c r="B1380" s="2" t="s">
        <v>2748</v>
      </c>
      <c r="C1380" s="3" t="str">
        <f>IFERROR(__xludf.DUMMYFUNCTION("GOOGLETRANSLATE(A1380,""en"",""hy"")"),"ո՞ւմ համար է խաղում Մալկոմ Ֆլոյդը")</f>
        <v>ո՞ւմ համար է խաղում Մալկոմ Ֆլոյդը</v>
      </c>
      <c r="D1380" s="3" t="str">
        <f>IFERROR(__xludf.DUMMYFUNCTION("GOOGLETRANSLATE(B1380,""en"",""hy"")"),"Մալկոմ Ֆլոյդը ժամանակին խաղում էր Սան Դիեգո Չարջերսում։")</f>
        <v>Մալկոմ Ֆլոյդը ժամանակին խաղում էր Սան Դիեգո Չարջերսում։</v>
      </c>
    </row>
    <row r="1381">
      <c r="A1381" s="1" t="s">
        <v>2749</v>
      </c>
      <c r="B1381" s="2" t="s">
        <v>2750</v>
      </c>
      <c r="C1381" s="3" t="str">
        <f>IFERROR(__xludf.DUMMYFUNCTION("GOOGLETRANSLATE(A1381,""en"",""hy"")"),"ինչ դիրք է խաղում Տերել Օուենսը:")</f>
        <v>ինչ դիրք է խաղում Տերել Օուենսը:</v>
      </c>
      <c r="D1381" s="3" t="str">
        <f>IFERROR(__xludf.DUMMYFUNCTION("GOOGLETRANSLATE(B1381,""en"",""hy"")"),"Լայն ընդունիչ:")</f>
        <v>Լայն ընդունիչ:</v>
      </c>
    </row>
    <row r="1382">
      <c r="A1382" s="1" t="s">
        <v>2751</v>
      </c>
      <c r="B1382" s="2" t="s">
        <v>2752</v>
      </c>
      <c r="C1382" s="3" t="str">
        <f>IFERROR(__xludf.DUMMYFUNCTION("GOOGLETRANSLATE(A1382,""en"",""hy"")"),"ինչով է հայտնի Ջուլիա Գիլարդը.")</f>
        <v>ինչով է հայտնի Ջուլիա Գիլարդը.</v>
      </c>
      <c r="D1382" s="3" t="str">
        <f>IFERROR(__xludf.DUMMYFUNCTION("GOOGLETRANSLATE(B1382,""en"",""hy"")"),"Ջուլիա Գիլարդը հայտնի է որպես Ավստրալիայի առաջին կին վարչապետ։")</f>
        <v>Ջուլիա Գիլարդը հայտնի է որպես Ավստրալիայի առաջին կին վարչապետ։</v>
      </c>
    </row>
    <row r="1383">
      <c r="A1383" s="1" t="s">
        <v>2753</v>
      </c>
      <c r="B1383" s="2" t="s">
        <v>2754</v>
      </c>
      <c r="C1383" s="3" t="str">
        <f>IFERROR(__xludf.DUMMYFUNCTION("GOOGLETRANSLATE(A1383,""en"",""hy"")"),"ինչի՞ համար է Քորթնի Քարդաշյանը քոլեջ հաճախել.")</f>
        <v>ինչի՞ համար է Քորթնի Քարդաշյանը քոլեջ հաճախել.</v>
      </c>
      <c r="D1383" s="3" t="str">
        <f>IFERROR(__xludf.DUMMYFUNCTION("GOOGLETRANSLATE(B1383,""en"",""hy"")"),"Քորթնի Քարդաշյանը քոլեջ է ընդունվել թատերական արվեստի համար։")</f>
        <v>Քորթնի Քարդաշյանը քոլեջ է ընդունվել թատերական արվեստի համար։</v>
      </c>
    </row>
    <row r="1384">
      <c r="A1384" s="1" t="s">
        <v>2755</v>
      </c>
      <c r="B1384" s="2" t="s">
        <v>2756</v>
      </c>
      <c r="C1384" s="3" t="str">
        <f>IFERROR(__xludf.DUMMYFUNCTION("GOOGLETRANSLATE(A1384,""en"",""hy"")"),"որո՞նք են Նիգերիայի չորս պաշտոնական լեզուները:")</f>
        <v>որո՞նք են Նիգերիայի չորս պաշտոնական լեզուները:</v>
      </c>
      <c r="D1384" s="3" t="str">
        <f>IFERROR(__xludf.DUMMYFUNCTION("GOOGLETRANSLATE(B1384,""en"",""hy"")"),"Նիգերիայի չորս պաշտոնական լեզուներն են անգլերենը, հաուսան, յորուբա և իգբոն:")</f>
        <v>Նիգերիայի չորս պաշտոնական լեզուներն են անգլերենը, հաուսան, յորուբա և իգբոն:</v>
      </c>
    </row>
    <row r="1385">
      <c r="A1385" s="1" t="s">
        <v>2757</v>
      </c>
      <c r="B1385" s="2" t="s">
        <v>2758</v>
      </c>
      <c r="C1385" s="3" t="str">
        <f>IFERROR(__xludf.DUMMYFUNCTION("GOOGLETRANSLATE(A1385,""en"",""hy"")"),"որտեղ է գտնվում Բերգեն Բելսեն համակենտրոնացման ճամբարը:")</f>
        <v>որտեղ է գտնվում Բերգեն Բելսեն համակենտրոնացման ճամբարը:</v>
      </c>
      <c r="D1385" s="3" t="str">
        <f>IFERROR(__xludf.DUMMYFUNCTION("GOOGLETRANSLATE(B1385,""en"",""hy"")"),"Բերգեն-Բելսեն համակենտրոնացման ճամբարը գտնվում է Գերմանիայի Ներքին Սաքսոնիայում:")</f>
        <v>Բերգեն-Բելսեն համակենտրոնացման ճամբարը գտնվում է Գերմանիայի Ներքին Սաքսոնիայում:</v>
      </c>
    </row>
    <row r="1386">
      <c r="A1386" s="1" t="s">
        <v>2759</v>
      </c>
      <c r="B1386" s="2" t="s">
        <v>2760</v>
      </c>
      <c r="C1386" s="3" t="str">
        <f>IFERROR(__xludf.DUMMYFUNCTION("GOOGLETRANSLATE(A1386,""en"",""hy"")"),"ով էր Louis Xvi?")</f>
        <v>ով էր Louis Xvi?</v>
      </c>
      <c r="D1386" s="3" t="str">
        <f>IFERROR(__xludf.DUMMYFUNCTION("GOOGLETRANSLATE(B1386,""en"",""hy"")"),"Լյուդովիկոս XVI-ը եղել է Ֆրանսիայի վերջին թագավորը Ֆրանսիական հեղափոխությունից առաջ։")</f>
        <v>Լյուդովիկոս XVI-ը եղել է Ֆրանսիայի վերջին թագավորը Ֆրանսիական հեղափոխությունից առաջ։</v>
      </c>
    </row>
    <row r="1387">
      <c r="A1387" s="1" t="s">
        <v>2761</v>
      </c>
      <c r="B1387" s="2" t="s">
        <v>2762</v>
      </c>
      <c r="C1387" s="3" t="str">
        <f>IFERROR(__xludf.DUMMYFUNCTION("GOOGLETRANSLATE(A1387,""en"",""hy"")"),"ինչ էր Թեքումսե եղբոր անունը:")</f>
        <v>ինչ էր Թեքումսե եղբոր անունը:</v>
      </c>
      <c r="D1387" s="3" t="str">
        <f>IFERROR(__xludf.DUMMYFUNCTION("GOOGLETRANSLATE(B1387,""en"",""hy"")"),"Տեկումսեի եղբոր անունը Թենսկվատավա էր։")</f>
        <v>Տեկումսեի եղբոր անունը Թենսկվատավա էր։</v>
      </c>
    </row>
    <row r="1388">
      <c r="A1388" s="1" t="s">
        <v>2763</v>
      </c>
      <c r="B1388" s="2" t="s">
        <v>2764</v>
      </c>
      <c r="C1388" s="3" t="str">
        <f>IFERROR(__xludf.DUMMYFUNCTION("GOOGLETRANSLATE(A1388,""en"",""hy"")"),"ինչի՞ց մեռավ դոննա Սամառները")</f>
        <v>ինչի՞ց մեռավ դոննա Սամառները</v>
      </c>
      <c r="D1388" s="3" t="str">
        <f>IFERROR(__xludf.DUMMYFUNCTION("GOOGLETRANSLATE(B1388,""en"",""hy"")"),"Դոննա Սամերսը մահացել է թոքերի քաղցկեղից։")</f>
        <v>Դոննա Սամերսը մահացել է թոքերի քաղցկեղից։</v>
      </c>
    </row>
    <row r="1389">
      <c r="A1389" s="1" t="s">
        <v>2765</v>
      </c>
      <c r="B1389" s="2" t="s">
        <v>2766</v>
      </c>
      <c r="C1389" s="3" t="str">
        <f>IFERROR(__xludf.DUMMYFUNCTION("GOOGLETRANSLATE(A1389,""en"",""hy"")"),"Ո՞ր տարում է Ալեն Այվերսոնն ամուսնացել:")</f>
        <v>Ո՞ր տարում է Ալեն Այվերսոնն ամուսնացել:</v>
      </c>
      <c r="D1389" s="3" t="str">
        <f>IFERROR(__xludf.DUMMYFUNCTION("GOOGLETRANSLATE(B1389,""en"",""hy"")"),"Ալեն Այվերսոնն ամուսնացել է 2001 թվականին։")</f>
        <v>Ալեն Այվերսոնն ամուսնացել է 2001 թվականին։</v>
      </c>
    </row>
    <row r="1390">
      <c r="A1390" s="1" t="s">
        <v>2767</v>
      </c>
      <c r="B1390" s="2" t="s">
        <v>2768</v>
      </c>
      <c r="C1390" s="3" t="str">
        <f>IFERROR(__xludf.DUMMYFUNCTION("GOOGLETRANSLATE(A1390,""en"",""hy"")"),"որտեղ է իսկապես ծնվել Սելենա Գոմեսը:")</f>
        <v>որտեղ է իսկապես ծնվել Սելենա Գոմեսը:</v>
      </c>
      <c r="D1390" s="3" t="str">
        <f>IFERROR(__xludf.DUMMYFUNCTION("GOOGLETRANSLATE(B1390,""en"",""hy"")"),"Սելենա Գոմեսը ծնվել է ԱՄՆ Տեխաս նահանգի Գրանդ Պրեյրի քաղաքում։")</f>
        <v>Սելենա Գոմեսը ծնվել է ԱՄՆ Տեխաս նահանգի Գրանդ Պրեյրի քաղաքում։</v>
      </c>
    </row>
    <row r="1391">
      <c r="A1391" s="1" t="s">
        <v>2769</v>
      </c>
      <c r="B1391" s="2" t="s">
        <v>2770</v>
      </c>
      <c r="C1391" s="3" t="str">
        <f>IFERROR(__xludf.DUMMYFUNCTION("GOOGLETRANSLATE(A1391,""en"",""hy"")"),"ո՞ւմ հետ է ստորագրել Լամար Օդոմը")</f>
        <v>ո՞ւմ հետ է ստորագրել Լամար Օդոմը</v>
      </c>
      <c r="D1391" s="3" t="str">
        <f>IFERROR(__xludf.DUMMYFUNCTION("GOOGLETRANSLATE(B1391,""en"",""hy"")"),"Լամար Օդոմը պայմանագիր կնքեց Լոս Անջելես Լեյքերսի հետ։")</f>
        <v>Լամար Օդոմը պայմանագիր կնքեց Լոս Անջելես Լեյքերսի հետ։</v>
      </c>
    </row>
    <row r="1392">
      <c r="A1392" s="1" t="s">
        <v>2771</v>
      </c>
      <c r="B1392" s="2" t="s">
        <v>2772</v>
      </c>
      <c r="C1392" s="3" t="str">
        <f>IFERROR(__xludf.DUMMYFUNCTION("GOOGLETRANSLATE(A1392,""en"",""hy"")"),"Ո՞րն է Ֆիլադելֆիայում ապրելու համար լավագույն թաղամասը:")</f>
        <v>Ո՞րն է Ֆիլադելֆիայում ապրելու համար լավագույն թաղամասը:</v>
      </c>
      <c r="D1392" s="3" t="str">
        <f>IFERROR(__xludf.DUMMYFUNCTION("GOOGLETRANSLATE(B1392,""en"",""hy"")"),"Ֆիլադելֆիայում ապրելու լավագույն թաղամասը կախված է անհատական ​​նախասիրություններից և կարիքներից:")</f>
        <v>Ֆիլադելֆիայում ապրելու լավագույն թաղամասը կախված է անհատական ​​նախասիրություններից և կարիքներից:</v>
      </c>
    </row>
    <row r="1393">
      <c r="A1393" s="1" t="s">
        <v>2773</v>
      </c>
      <c r="B1393" s="2" t="s">
        <v>2774</v>
      </c>
      <c r="C1393" s="3" t="str">
        <f>IFERROR(__xludf.DUMMYFUNCTION("GOOGLETRANSLATE(A1393,""en"",""hy"")"),"Ե՞րբ է տեղի ունեցել թերմոպիլեների ճակատամարտը:")</f>
        <v>Ե՞րբ է տեղի ունեցել թերմոպիլեների ճակատամարտը:</v>
      </c>
      <c r="D1393" s="3" t="str">
        <f>IFERROR(__xludf.DUMMYFUNCTION("GOOGLETRANSLATE(B1393,""en"",""hy"")"),"Թերմոպիլեի ճակատամարտը տեղի է ունեցել մ.թ.ա. 480 թվականին:")</f>
        <v>Թերմոպիլեի ճակատամարտը տեղի է ունեցել մ.թ.ա. 480 թվականին:</v>
      </c>
    </row>
    <row r="1394">
      <c r="A1394" s="1" t="s">
        <v>2775</v>
      </c>
      <c r="B1394" s="2" t="s">
        <v>2776</v>
      </c>
      <c r="C1394" s="3" t="str">
        <f>IFERROR(__xludf.DUMMYFUNCTION("GOOGLETRANSLATE(A1394,""en"",""hy"")"),"որտե՞ղ է Էլեոնորա Ռուզվելտը դպրոց հաճախել:")</f>
        <v>որտե՞ղ է Էլեոնորա Ռուզվելտը դպրոց հաճախել:</v>
      </c>
      <c r="D1394" s="3" t="str">
        <f>IFERROR(__xludf.DUMMYFUNCTION("GOOGLETRANSLATE(B1394,""en"",""hy"")"),"Էլեոնորա Ռուզվելտը հաճախել է Անգլիայի Ալենսվուդ ակադեմիա:")</f>
        <v>Էլեոնորա Ռուզվելտը հաճախել է Անգլիայի Ալենսվուդ ակադեմիա:</v>
      </c>
    </row>
    <row r="1395">
      <c r="A1395" s="1" t="s">
        <v>2777</v>
      </c>
      <c r="B1395" s="2" t="s">
        <v>2778</v>
      </c>
      <c r="C1395" s="3" t="str">
        <f>IFERROR(__xludf.DUMMYFUNCTION("GOOGLETRANSLATE(A1395,""en"",""hy"")"),"ի՞նչ կասես փռշտալուց հետո գերմաներեն")</f>
        <v>ի՞նչ կասես փռշտալուց հետո գերմաներեն</v>
      </c>
      <c r="D1395" s="3" t="str">
        <f>IFERROR(__xludf.DUMMYFUNCTION("GOOGLETRANSLATE(B1395,""en"",""hy"")"),"— Գեսունդհեյթ։")</f>
        <v>— Գեսունդհեյթ։</v>
      </c>
    </row>
    <row r="1396">
      <c r="A1396" s="1" t="s">
        <v>2779</v>
      </c>
      <c r="B1396" s="2" t="s">
        <v>2780</v>
      </c>
      <c r="C1396" s="3" t="str">
        <f>IFERROR(__xludf.DUMMYFUNCTION("GOOGLETRANSLATE(A1396,""en"",""hy"")"),"ո՞ր երկրի հետ է առևտուր անում Թուրքիան.")</f>
        <v>ո՞ր երկրի հետ է առևտուր անում Թուրքիան.</v>
      </c>
      <c r="D1396" s="3" t="str">
        <f>IFERROR(__xludf.DUMMYFUNCTION("GOOGLETRANSLATE(B1396,""en"",""hy"")"),"Թուրքիան առևտուր է իրականացնում բազմաթիվ երկրների հետ, այդ թվում՝ Գերմանիայի, Ռուսաստանի, Մեծ Բրիտանիայի, Իտալիայի և ԱՄՆ-ի հետ:")</f>
        <v>Թուրքիան առևտուր է իրականացնում բազմաթիվ երկրների հետ, այդ թվում՝ Գերմանիայի, Ռուսաստանի, Մեծ Բրիտանիայի, Իտալիայի և ԱՄՆ-ի հետ:</v>
      </c>
    </row>
    <row r="1397">
      <c r="A1397" s="1" t="s">
        <v>2781</v>
      </c>
      <c r="B1397" s="2" t="s">
        <v>2782</v>
      </c>
      <c r="C1397" s="3" t="str">
        <f>IFERROR(__xludf.DUMMYFUNCTION("GOOGLETRANSLATE(A1397,""en"",""hy"")"),"որտեղ է պատրաստվում husqvarna 235-ը:")</f>
        <v>որտեղ է պատրաստվում husqvarna 235-ը:</v>
      </c>
      <c r="D1397" s="3" t="str">
        <f>IFERROR(__xludf.DUMMYFUNCTION("GOOGLETRANSLATE(B1397,""en"",""hy"")"),"Husqvarna 235-ը արտադրված է Շվեդիայում։")</f>
        <v>Husqvarna 235-ը արտադրված է Շվեդիայում։</v>
      </c>
    </row>
    <row r="1398">
      <c r="A1398" s="1" t="s">
        <v>2783</v>
      </c>
      <c r="B1398" s="2" t="s">
        <v>2784</v>
      </c>
      <c r="C1398" s="3" t="str">
        <f>IFERROR(__xludf.DUMMYFUNCTION("GOOGLETRANSLATE(A1398,""en"",""hy"")"),"ինչ են խոսում մարդիկ Սինգապուրում")</f>
        <v>ինչ են խոսում մարդիկ Սինգապուրում</v>
      </c>
      <c r="D1398" s="3" t="str">
        <f>IFERROR(__xludf.DUMMYFUNCTION("GOOGLETRANSLATE(B1398,""en"",""hy"")"),"Սինգապուրի պաշտոնական լեզուներն են անգլերենը, մալայերենը, մանդարինը և թամիլերենը:")</f>
        <v>Սինգապուրի պաշտոնական լեզուներն են անգլերենը, մալայերենը, մանդարինը և թամիլերենը:</v>
      </c>
    </row>
    <row r="1399">
      <c r="A1399" s="1" t="s">
        <v>2785</v>
      </c>
      <c r="B1399" s="2" t="s">
        <v>2786</v>
      </c>
      <c r="C1399" s="3" t="str">
        <f>IFERROR(__xludf.DUMMYFUNCTION("GOOGLETRANSLATE(A1399,""en"",""hy"")"),"որն է արժույթը Սլովակիայում 2012 թ.")</f>
        <v>որն է արժույթը Սլովակիայում 2012 թ.</v>
      </c>
      <c r="D1399" s="3" t="str">
        <f>IFERROR(__xludf.DUMMYFUNCTION("GOOGLETRANSLATE(B1399,""en"",""hy"")"),"Սլովակիայի արժույթը 2012 թվականին եվրոն էր։")</f>
        <v>Սլովակիայի արժույթը 2012 թվականին եվրոն էր։</v>
      </c>
    </row>
    <row r="1400">
      <c r="A1400" s="1" t="s">
        <v>2787</v>
      </c>
      <c r="B1400" s="2" t="s">
        <v>2788</v>
      </c>
      <c r="C1400" s="3" t="str">
        <f>IFERROR(__xludf.DUMMYFUNCTION("GOOGLETRANSLATE(A1400,""en"",""hy"")"),"ո՞րն է Dartmouth քոլեջի թալիսմանը:")</f>
        <v>ո՞րն է Dartmouth քոլեջի թալիսմանը:</v>
      </c>
      <c r="D1400" s="3" t="str">
        <f>IFERROR(__xludf.DUMMYFUNCTION("GOOGLETRANSLATE(B1400,""en"",""hy"")"),"Դարթմութ քոլեջի թալիսմանը Մեծ Կանաչն է:")</f>
        <v>Դարթմութ քոլեջի թալիսմանը Մեծ Կանաչն է:</v>
      </c>
    </row>
    <row r="1401">
      <c r="A1401" s="1" t="s">
        <v>2789</v>
      </c>
      <c r="B1401" s="2" t="s">
        <v>2790</v>
      </c>
      <c r="C1401" s="3" t="str">
        <f>IFERROR(__xludf.DUMMYFUNCTION("GOOGLETRANSLATE(A1401,""en"",""hy"")"),"ո՞ր երկիրն է Ռուսաստանի կողքին.")</f>
        <v>ո՞ր երկիրն է Ռուսաստանի կողքին.</v>
      </c>
      <c r="D1401" s="3" t="str">
        <f>IFERROR(__xludf.DUMMYFUNCTION("GOOGLETRANSLATE(B1401,""en"",""hy"")"),"Չինաստան.")</f>
        <v>Չինաստան.</v>
      </c>
    </row>
    <row r="1402">
      <c r="A1402" s="1" t="s">
        <v>2791</v>
      </c>
      <c r="B1402" s="2" t="s">
        <v>2792</v>
      </c>
      <c r="C1402" s="3" t="str">
        <f>IFERROR(__xludf.DUMMYFUNCTION("GOOGLETRANSLATE(A1402,""en"",""hy"")"),"ով խաղաց jacob black?")</f>
        <v>ով խաղաց jacob black?</v>
      </c>
      <c r="D1402" s="3" t="str">
        <f>IFERROR(__xludf.DUMMYFUNCTION("GOOGLETRANSLATE(B1402,""en"",""hy"")"),"Թեյլոր Լոթներ.")</f>
        <v>Թեյլոր Լոթներ.</v>
      </c>
    </row>
    <row r="1403">
      <c r="A1403" s="1" t="s">
        <v>2793</v>
      </c>
      <c r="B1403" s="2" t="s">
        <v>2794</v>
      </c>
      <c r="C1403" s="3" t="str">
        <f>IFERROR(__xludf.DUMMYFUNCTION("GOOGLETRANSLATE(A1403,""en"",""hy"")"),"ո՞վ է վճարում սոցիալական ապահովությունը և բժշկական օգնությունը:")</f>
        <v>ո՞վ է վճարում սոցիալական ապահովությունը և բժշկական օգնությունը:</v>
      </c>
      <c r="D1403" s="3" t="str">
        <f>IFERROR(__xludf.DUMMYFUNCTION("GOOGLETRANSLATE(B1403,""en"",""hy"")"),"Սոցիալական ապահովության և բուժօգնության ծրագրերը ֆինանսավորվում են աշխատողների և նրանց գործատուների ներդրումներից:")</f>
        <v>Սոցիալական ապահովության և բուժօգնության ծրագրերը ֆինանսավորվում են աշխատողների և նրանց գործատուների ներդրումներից:</v>
      </c>
    </row>
    <row r="1404">
      <c r="A1404" s="1" t="s">
        <v>2795</v>
      </c>
      <c r="B1404" s="2" t="s">
        <v>2796</v>
      </c>
      <c r="C1404" s="3" t="str">
        <f>IFERROR(__xludf.DUMMYFUNCTION("GOOGLETRANSLATE(A1404,""en"",""hy"")"),"ինչ ֆիլմերի աստղ Ադամ Սենդլերը")</f>
        <v>ինչ ֆիլմերի աստղ Ադամ Սենդլերը</v>
      </c>
      <c r="D1404" s="3" t="str">
        <f>IFERROR(__xludf.DUMMYFUNCTION("GOOGLETRANSLATE(B1404,""en"",""hy"")"),"Ադամ Սենդլերի մասնակցությամբ որոշ ֆիլմեր ներառում են «Բիլլի Մեդիսոն», «Երջանիկ Գիլմոր», «Ջրի տղա», «Մեծ հայրիկ», «Մեծահասակներ» և «Չկտրված գոհարներ»:")</f>
        <v>Ադամ Սենդլերի մասնակցությամբ որոշ ֆիլմեր ներառում են «Բիլլի Մեդիսոն», «Երջանիկ Գիլմոր», «Ջրի տղա», «Մեծ հայրիկ», «Մեծահասակներ» և «Չկտրված գոհարներ»:</v>
      </c>
    </row>
    <row r="1405">
      <c r="A1405" s="1" t="s">
        <v>2797</v>
      </c>
      <c r="B1405" s="2" t="s">
        <v>2798</v>
      </c>
      <c r="C1405" s="3" t="str">
        <f>IFERROR(__xludf.DUMMYFUNCTION("GOOGLETRANSLATE(A1405,""en"",""hy"")"),"ո՞ր համալսարանն է ավարտել Բիլ Քլինթոնը.")</f>
        <v>ո՞ր համալսարանն է ավարտել Բիլ Քլինթոնը.</v>
      </c>
      <c r="D1405" s="3" t="str">
        <f>IFERROR(__xludf.DUMMYFUNCTION("GOOGLETRANSLATE(B1405,""en"",""hy"")"),"Բիլ Քլինթոնն ավարտել է Յեյլի համալսարանը։")</f>
        <v>Բիլ Քլինթոնն ավարտել է Յեյլի համալսարանը։</v>
      </c>
    </row>
    <row r="1406">
      <c r="A1406" s="1" t="s">
        <v>2799</v>
      </c>
      <c r="B1406" s="2" t="s">
        <v>2800</v>
      </c>
      <c r="C1406" s="3" t="str">
        <f>IFERROR(__xludf.DUMMYFUNCTION("GOOGLETRANSLATE(A1406,""en"",""hy"")"),"ով է Ջեքսոն Գիբս խաղում ncis-ում:")</f>
        <v>ով է Ջեքսոն Գիբս խաղում ncis-ում:</v>
      </c>
      <c r="D1406" s="3" t="str">
        <f>IFERROR(__xludf.DUMMYFUNCTION("GOOGLETRANSLATE(B1406,""en"",""hy"")"),"Ռոբերտ Վագներ.")</f>
        <v>Ռոբերտ Վագներ.</v>
      </c>
    </row>
    <row r="1407">
      <c r="A1407" s="1" t="s">
        <v>2801</v>
      </c>
      <c r="B1407" s="2" t="s">
        <v>2802</v>
      </c>
      <c r="C1407" s="3" t="str">
        <f>IFERROR(__xludf.DUMMYFUNCTION("GOOGLETRANSLATE(A1407,""en"",""hy"")"),"որտեղ է նախագահ Քենեդին դպրոց հաճախել")</f>
        <v>որտեղ է նախագահ Քենեդին դպրոց հաճախել</v>
      </c>
      <c r="D1407" s="3" t="str">
        <f>IFERROR(__xludf.DUMMYFUNCTION("GOOGLETRANSLATE(B1407,""en"",""hy"")"),"Նախագահ Քենեդին իր բակալավրիատի համար հաճախել է Հարվարդի համալսարան, այնուհետև շարունակել է հաճախել Սթենֆորդի համալսարան իր ասպիրանտուրայում:")</f>
        <v>Նախագահ Քենեդին իր բակալավրիատի համար հաճախել է Հարվարդի համալսարան, այնուհետև շարունակել է հաճախել Սթենֆորդի համալսարան իր ասպիրանտուրայում:</v>
      </c>
    </row>
    <row r="1408">
      <c r="A1408" s="1" t="s">
        <v>2803</v>
      </c>
      <c r="B1408" s="2" t="s">
        <v>171</v>
      </c>
      <c r="C1408" s="3" t="str">
        <f>IFERROR(__xludf.DUMMYFUNCTION("GOOGLETRANSLATE(A1408,""en"",""hy"")"),"ե՞րբ են ny knicks-ը վերջին անգամ հաղթել առաջնությունում:")</f>
        <v>ե՞րբ են ny knicks-ը վերջին անգամ հաղթել առաջնությունում:</v>
      </c>
      <c r="D1408" s="3" t="str">
        <f>IFERROR(__xludf.DUMMYFUNCTION("GOOGLETRANSLATE(B1408,""en"",""hy"")"),"«Նյու Յորք Նիքսը» վերջին անգամ NBA-ի չեմպիոն է դարձել 1973 թվականին:")</f>
        <v>«Նյու Յորք Նիքսը» վերջին անգամ NBA-ի չեմպիոն է դարձել 1973 թվականին:</v>
      </c>
    </row>
    <row r="1409">
      <c r="A1409" s="1" t="s">
        <v>2804</v>
      </c>
      <c r="B1409" s="2" t="s">
        <v>2805</v>
      </c>
      <c r="C1409" s="3" t="str">
        <f>IFERROR(__xludf.DUMMYFUNCTION("GOOGLETRANSLATE(A1409,""en"",""hy"")"),"ինչ է տեղի ունեցել Ֆուկուսիմա Դայչի ատոմակայանում.")</f>
        <v>ինչ է տեղի ունեցել Ֆուկուսիմա Դայչի ատոմակայանում.</v>
      </c>
      <c r="D1409" s="3" t="str">
        <f>IFERROR(__xludf.DUMMYFUNCTION("GOOGLETRANSLATE(B1409,""en"",""hy"")"),"Ֆուկուսիմա Դայչի ատոմակայանը միջուկային աղետի ենթարկվեց 2011 թվականի մարտին տեղի ունեցած մեծ երկրաշարժի և ցունամիի հետևանքով։")</f>
        <v>Ֆուկուսիմա Դայչի ատոմակայանը միջուկային աղետի ենթարկվեց 2011 թվականի մարտին տեղի ունեցած մեծ երկրաշարժի և ցունամիի հետևանքով։</v>
      </c>
    </row>
    <row r="1410">
      <c r="A1410" s="1" t="s">
        <v>2806</v>
      </c>
      <c r="B1410" s="2" t="s">
        <v>2807</v>
      </c>
      <c r="C1410" s="3" t="str">
        <f>IFERROR(__xludf.DUMMYFUNCTION("GOOGLETRANSLATE(A1410,""en"",""hy"")"),"ով էր Լուիս Քոսութը")</f>
        <v>ով էր Լուիս Քոսութը</v>
      </c>
      <c r="D1410" s="3" t="str">
        <f>IFERROR(__xludf.DUMMYFUNCTION("GOOGLETRANSLATE(B1410,""en"",""hy"")"),"Լուի Կոսութը հունգարացի քաղաքական գործիչ և ազատամարտիկ էր։")</f>
        <v>Լուի Կոսութը հունգարացի քաղաքական գործիչ և ազատամարտիկ էր։</v>
      </c>
    </row>
    <row r="1411">
      <c r="A1411" s="1" t="s">
        <v>2808</v>
      </c>
      <c r="B1411" s="2" t="s">
        <v>2809</v>
      </c>
      <c r="C1411" s="3" t="str">
        <f>IFERROR(__xludf.DUMMYFUNCTION("GOOGLETRANSLATE(A1411,""en"",""hy"")"),"ո՞ր երկրից են ծագում արաբները")</f>
        <v>ո՞ր երկրից են ծագում արաբները</v>
      </c>
      <c r="D1411" s="3" t="str">
        <f>IFERROR(__xludf.DUMMYFUNCTION("GOOGLETRANSLATE(B1411,""en"",""hy"")"),"Արաբները գալիս են տարբեր երկրներից, հիմնականում արաբական աշխարհից, որը ներառում է այնպիսի երկրներ, ինչպիսիք են Սաուդյան Արաբիան, Եգիպտոսը, Իրաքը, Սիրիան, Լիբանանը, Հորդանանը և շատ ուրիշներ:")</f>
        <v>Արաբները գալիս են տարբեր երկրներից, հիմնականում արաբական աշխարհից, որը ներառում է այնպիսի երկրներ, ինչպիսիք են Սաուդյան Արաբիան, Եգիպտոսը, Իրաքը, Սիրիան, Լիբանանը, Հորդանանը և շատ ուրիշներ:</v>
      </c>
    </row>
    <row r="1412">
      <c r="A1412" s="1" t="s">
        <v>2810</v>
      </c>
      <c r="B1412" s="2" t="s">
        <v>2811</v>
      </c>
      <c r="C1412" s="3" t="str">
        <f>IFERROR(__xludf.DUMMYFUNCTION("GOOGLETRANSLATE(A1412,""en"",""hy"")"),"ե՞րբ կարմիր սոքսը շահեց գրիչը:")</f>
        <v>ե՞րբ կարմիր սոքսը շահեց գրիչը:</v>
      </c>
      <c r="D1412" s="3" t="str">
        <f>IFERROR(__xludf.DUMMYFUNCTION("GOOGLETRANSLATE(B1412,""en"",""hy"")"),"«Ռեդ Սոքսը» բազմիցս շահել է տիտղոսը, ուստի կախված է նրանից, թե որ տարին եք ակնարկում:")</f>
        <v>«Ռեդ Սոքսը» բազմիցս շահել է տիտղոսը, ուստի կախված է նրանից, թե որ տարին եք ակնարկում:</v>
      </c>
    </row>
    <row r="1413">
      <c r="A1413" s="1" t="s">
        <v>2812</v>
      </c>
      <c r="B1413" s="2" t="s">
        <v>2813</v>
      </c>
      <c r="C1413" s="3" t="str">
        <f>IFERROR(__xludf.DUMMYFUNCTION("GOOGLETRANSLATE(A1413,""en"",""hy"")"),"որտեղ է մահացել Հարրի Թրումենը")</f>
        <v>որտեղ է մահացել Հարրի Թրումենը</v>
      </c>
      <c r="D1413" s="3" t="str">
        <f>IFERROR(__xludf.DUMMYFUNCTION("GOOGLETRANSLATE(B1413,""en"",""hy"")"),"Հարի Թրումենը մահացել է Կանզաս Սիթիում, Միսսուրի:")</f>
        <v>Հարի Թրումենը մահացել է Կանզաս Սիթիում, Միսսուրի:</v>
      </c>
    </row>
    <row r="1414">
      <c r="A1414" s="1" t="s">
        <v>2814</v>
      </c>
      <c r="B1414" s="2" t="s">
        <v>2815</v>
      </c>
      <c r="C1414" s="3" t="str">
        <f>IFERROR(__xludf.DUMMYFUNCTION("GOOGLETRANSLATE(A1414,""en"",""hy"")"),"ինչ էր արքայազն Չարլզ ազգանունը")</f>
        <v>ինչ էր արքայազն Չարլզ ազգանունը</v>
      </c>
      <c r="D1414" s="3" t="str">
        <f>IFERROR(__xludf.DUMMYFUNCTION("GOOGLETRANSLATE(B1414,""en"",""hy"")"),"Արքայազն Չարլզի ազգանունը Վինձոր է։")</f>
        <v>Արքայազն Չարլզի ազգանունը Վինձոր է։</v>
      </c>
    </row>
    <row r="1415">
      <c r="A1415" s="1" t="s">
        <v>2816</v>
      </c>
      <c r="B1415" s="2" t="s">
        <v>2817</v>
      </c>
      <c r="C1415" s="3" t="str">
        <f>IFERROR(__xludf.DUMMYFUNCTION("GOOGLETRANSLATE(A1415,""en"",""hy"")"),"ի՞նչ էր Ռեյգանը նախագահից առաջ.")</f>
        <v>ի՞նչ էր Ռեյգանը նախագահից առաջ.</v>
      </c>
      <c r="D1415" s="3" t="str">
        <f>IFERROR(__xludf.DUMMYFUNCTION("GOOGLETRANSLATE(B1415,""en"",""hy"")"),"Մինչ նախագահ դառնալը Ռոնալդ Ռեյգանը դերասան և քաղաքական գործիչ էր՝ 1967-1975 թվականներին ծառայելով որպես Կալիֆորնիայի նահանգապետ:")</f>
        <v>Մինչ նախագահ դառնալը Ռոնալդ Ռեյգանը դերասան և քաղաքական գործիչ էր՝ 1967-1975 թվականներին ծառայելով որպես Կալիֆորնիայի նահանգապետ:</v>
      </c>
    </row>
    <row r="1416">
      <c r="A1416" s="1" t="s">
        <v>2818</v>
      </c>
      <c r="B1416" s="2" t="s">
        <v>2819</v>
      </c>
      <c r="C1416" s="3" t="str">
        <f>IFERROR(__xludf.DUMMYFUNCTION("GOOGLETRANSLATE(A1416,""en"",""hy"")"),"ինչպիսի՞ իրավական համակարգ ունի Իտալիան:")</f>
        <v>ինչպիսի՞ իրավական համակարգ ունի Իտալիան:</v>
      </c>
      <c r="D1416" s="3" t="str">
        <f>IFERROR(__xludf.DUMMYFUNCTION("GOOGLETRANSLATE(B1416,""en"",""hy"")"),"Իտալիան ունի քաղաքացիական իրավունքի համակարգ։")</f>
        <v>Իտալիան ունի քաղաքացիական իրավունքի համակարգ։</v>
      </c>
    </row>
    <row r="1417">
      <c r="A1417" s="1" t="s">
        <v>2820</v>
      </c>
      <c r="B1417" s="2" t="s">
        <v>2821</v>
      </c>
      <c r="C1417" s="3" t="str">
        <f>IFERROR(__xludf.DUMMYFUNCTION("GOOGLETRANSLATE(A1417,""en"",""hy"")"),"որտեղ է աշխատել Բերնի Մեդոֆը")</f>
        <v>որտեղ է աշխատել Բերնի Մեդոֆը</v>
      </c>
      <c r="D1417" s="3" t="str">
        <f>IFERROR(__xludf.DUMMYFUNCTION("GOOGLETRANSLATE(B1417,""en"",""hy"")"),"Բեռնի Մեդոֆն աշխատում էր իր սեփական ներդրումային ընկերությունում, որը կոչվում էր Bernard L. Madoff Investment Securities LLC:")</f>
        <v>Բեռնի Մեդոֆն աշխատում էր իր սեփական ներդրումային ընկերությունում, որը կոչվում էր Bernard L. Madoff Investment Securities LLC:</v>
      </c>
    </row>
    <row r="1418">
      <c r="A1418" s="1" t="s">
        <v>2822</v>
      </c>
      <c r="B1418" s="2" t="s">
        <v>2823</v>
      </c>
      <c r="C1418" s="3" t="str">
        <f>IFERROR(__xludf.DUMMYFUNCTION("GOOGLETRANSLATE(A1418,""en"",""hy"")"),"ո՞ր կայքն է նշել Ցուկերբերգի համահիմնադիրը:")</f>
        <v>ո՞ր կայքն է նշել Ցուկերբերգի համահիմնադիրը:</v>
      </c>
      <c r="D1418" s="3" t="str">
        <f>IFERROR(__xludf.DUMMYFUNCTION("GOOGLETRANSLATE(B1418,""en"",""hy"")"),"Մարկ Ցուկերբերգը հիմնել է Facebook կայքը։")</f>
        <v>Մարկ Ցուկերբերգը հիմնել է Facebook կայքը։</v>
      </c>
    </row>
    <row r="1419">
      <c r="A1419" s="1" t="s">
        <v>2824</v>
      </c>
      <c r="B1419" s="2" t="s">
        <v>2825</v>
      </c>
      <c r="C1419" s="3" t="str">
        <f>IFERROR(__xludf.DUMMYFUNCTION("GOOGLETRANSLATE(A1419,""en"",""hy"")"),"ինչ բաս է օգտագործում Jared followill-ը:")</f>
        <v>ինչ բաս է օգտագործում Jared followill-ը:</v>
      </c>
      <c r="D1419" s="3" t="str">
        <f>IFERROR(__xludf.DUMMYFUNCTION("GOOGLETRANSLATE(B1419,""en"",""hy"")"),"Jared Followill-ը հիմնականում օգտագործում է Fender Precision Bass:")</f>
        <v>Jared Followill-ը հիմնականում օգտագործում է Fender Precision Bass:</v>
      </c>
    </row>
    <row r="1420">
      <c r="A1420" s="1" t="s">
        <v>2826</v>
      </c>
      <c r="B1420" s="2" t="s">
        <v>2827</v>
      </c>
      <c r="C1420" s="3" t="str">
        <f>IFERROR(__xludf.DUMMYFUNCTION("GOOGLETRANSLATE(A1420,""en"",""hy"")"),"ո՞վ է խաղացել կապիտան Քըրքը աստղային արշավում:")</f>
        <v>ո՞վ է խաղացել կապիտան Քըրքը աստղային արշավում:</v>
      </c>
      <c r="D1420" s="3" t="str">
        <f>IFERROR(__xludf.DUMMYFUNCTION("GOOGLETRANSLATE(B1420,""en"",""hy"")"),"Ուիլյամ Շատներ")</f>
        <v>Ուիլյամ Շատներ</v>
      </c>
    </row>
    <row r="1421">
      <c r="A1421" s="1" t="s">
        <v>2828</v>
      </c>
      <c r="B1421" s="2" t="s">
        <v>2829</v>
      </c>
      <c r="C1421" s="3" t="str">
        <f>IFERROR(__xludf.DUMMYFUNCTION("GOOGLETRANSLATE(A1421,""en"",""hy"")"),"ինչ տեսակի արժույթ ունի ԱՄՆ-ը:")</f>
        <v>ինչ տեսակի արժույթ ունի ԱՄՆ-ը:</v>
      </c>
      <c r="D1421" s="3" t="str">
        <f>IFERROR(__xludf.DUMMYFUNCTION("GOOGLETRANSLATE(B1421,""en"",""hy"")"),"ԱՄՆ-ն ունի արժույթ, որը կոչվում է ԱՄՆ դոլար:")</f>
        <v>ԱՄՆ-ն ունի արժույթ, որը կոչվում է ԱՄՆ դոլար:</v>
      </c>
    </row>
    <row r="1422">
      <c r="A1422" s="1" t="s">
        <v>2830</v>
      </c>
      <c r="B1422" s="2" t="s">
        <v>2831</v>
      </c>
      <c r="C1422" s="3" t="str">
        <f>IFERROR(__xludf.DUMMYFUNCTION("GOOGLETRANSLATE(A1422,""en"",""hy"")"),"ինչ արժույթ է օգտագործում Թաիլանդը:")</f>
        <v>ինչ արժույթ է օգտագործում Թաիլանդը:</v>
      </c>
      <c r="D1422" s="3" t="str">
        <f>IFERROR(__xludf.DUMMYFUNCTION("GOOGLETRANSLATE(B1422,""en"",""hy"")"),"Թաիլանդում օգտագործվող արժույթը Թայլանդի Բահն է (THB):")</f>
        <v>Թաիլանդում օգտագործվող արժույթը Թայլանդի Բահն է (THB):</v>
      </c>
    </row>
    <row r="1423">
      <c r="A1423" s="1" t="s">
        <v>2832</v>
      </c>
      <c r="B1423" s="2" t="s">
        <v>2833</v>
      </c>
      <c r="C1423" s="3" t="str">
        <f>IFERROR(__xludf.DUMMYFUNCTION("GOOGLETRANSLATE(A1423,""en"",""hy"")"),"որտեղ է կանադական օկլահոմա շրջանը:")</f>
        <v>որտեղ է կանադական օկլահոմա շրջանը:</v>
      </c>
      <c r="D1423" s="3" t="str">
        <f>IFERROR(__xludf.DUMMYFUNCTION("GOOGLETRANSLATE(B1423,""en"",""hy"")"),"Կանադական շրջան, Օկլահոմա, գտնվում է ԱՄՆ-ի Օկլահոմա նահանգի կենտրոնական մասում։")</f>
        <v>Կանադական շրջան, Օկլահոմա, գտնվում է ԱՄՆ-ի Օկլահոմա նահանգի կենտրոնական մասում։</v>
      </c>
    </row>
    <row r="1424">
      <c r="A1424" s="1" t="s">
        <v>2834</v>
      </c>
      <c r="B1424" s="2" t="s">
        <v>2835</v>
      </c>
      <c r="C1424" s="3" t="str">
        <f>IFERROR(__xludf.DUMMYFUNCTION("GOOGLETRANSLATE(A1424,""en"",""hy"")"),"ո՞ր նահանգում է գտնվում Իսլամաբադը:")</f>
        <v>ո՞ր նահանգում է գտնվում Իսլամաբադը:</v>
      </c>
      <c r="D1424" s="3" t="str">
        <f>IFERROR(__xludf.DUMMYFUNCTION("GOOGLETRANSLATE(B1424,""en"",""hy"")"),"Իսլամաբադը գտնվում է Պակիստանի դաշնային մայրաքաղաքի տարածքում։")</f>
        <v>Իսլամաբադը գտնվում է Պակիստանի դաշնային մայրաքաղաքի տարածքում։</v>
      </c>
    </row>
    <row r="1425">
      <c r="A1425" s="1" t="s">
        <v>2836</v>
      </c>
      <c r="B1425" s="2" t="s">
        <v>2837</v>
      </c>
      <c r="C1425" s="3" t="str">
        <f>IFERROR(__xludf.DUMMYFUNCTION("GOOGLETRANSLATE(A1425,""en"",""hy"")"),"ինչ է անում Ռոբ Քարդաշյանը ապրելու համար.")</f>
        <v>ինչ է անում Ռոբ Քարդաշյանը ապրելու համար.</v>
      </c>
      <c r="D1425" s="3" t="str">
        <f>IFERROR(__xludf.DUMMYFUNCTION("GOOGLETRANSLATE(B1425,""en"",""hy"")"),"Ռոբ Քարդաշյանը հիմնականում հայտնի է «Keeping Up with the Kardashians» ռեալիթի հեռուստաշոուում իր ելույթներով, ինչպես նաև աշխատել է տարբեր բիզնես նախաձեռնությունների վրա:")</f>
        <v>Ռոբ Քարդաշյանը հիմնականում հայտնի է «Keeping Up with the Kardashians» ռեալիթի հեռուստաշոուում իր ելույթներով, ինչպես նաև աշխատել է տարբեր բիզնես նախաձեռնությունների վրա:</v>
      </c>
    </row>
    <row r="1426">
      <c r="A1426" s="1" t="s">
        <v>2838</v>
      </c>
      <c r="B1426" s="2" t="s">
        <v>2839</v>
      </c>
      <c r="C1426" s="3" t="str">
        <f>IFERROR(__xludf.DUMMYFUNCTION("GOOGLETRANSLATE(A1426,""en"",""hy"")"),"որտեղ է օվկիանիան քարտեզի վրա:")</f>
        <v>որտեղ է օվկիանիան քարտեզի վրա:</v>
      </c>
      <c r="D1426" s="3" t="str">
        <f>IFERROR(__xludf.DUMMYFUNCTION("GOOGLETRANSLATE(B1426,""en"",""hy"")"),"Օվկիանիան գտնվում է Խաղաղ օվկիանոսում։")</f>
        <v>Օվկիանիան գտնվում է Խաղաղ օվկիանոսում։</v>
      </c>
    </row>
    <row r="1427">
      <c r="A1427" s="1" t="s">
        <v>2840</v>
      </c>
      <c r="B1427" s="2" t="s">
        <v>2841</v>
      </c>
      <c r="C1427" s="3" t="str">
        <f>IFERROR(__xludf.DUMMYFUNCTION("GOOGLETRANSLATE(A1427,""en"",""hy"")"),"ինչ է հայտարարել Nintendo-ն e3 2012-ում:")</f>
        <v>ինչ է հայտարարել Nintendo-ն e3 2012-ում:</v>
      </c>
      <c r="D1427" s="3" t="str">
        <f>IFERROR(__xludf.DUMMYFUNCTION("GOOGLETRANSLATE(B1427,""en"",""hy"")"),"Nintendo-ն ներկայացրել է Wii U-ն E3 2012-ին:")</f>
        <v>Nintendo-ն ներկայացրել է Wii U-ն E3 2012-ին:</v>
      </c>
    </row>
    <row r="1428">
      <c r="A1428" s="1" t="s">
        <v>2842</v>
      </c>
      <c r="B1428" s="2" t="s">
        <v>2843</v>
      </c>
      <c r="C1428" s="3" t="str">
        <f>IFERROR(__xludf.DUMMYFUNCTION("GOOGLETRANSLATE(A1428,""en"",""hy"")"),"ինչ կարող եք անել արմավենու աղբյուրներում մոտ.")</f>
        <v>ինչ կարող եք անել արմավենու աղբյուրներում մոտ.</v>
      </c>
      <c r="D1428" s="3" t="str">
        <f>IFERROR(__xludf.DUMMYFUNCTION("GOOGLETRANSLATE(B1428,""en"",""hy"")"),"Կան մի քանի բաներ, որոնք դուք կարող եք անել Փալմ Սփրինգսում, Կալիֆորնիա: Որոշ հայտնի գործողություններ ներառում են այցելել Palm Springs Aerial Tramway, ուսումնասիրել ճարտարապետությունը և արվեստի տեսարանը, գոլֆ խաղալ, հանգստանալ առողջարաններում և հանգստավայ"&amp;"րերում, ինչպես նաև քայլել կամ ուսումնասիրել մոտակա Joshua Tree National Park-ը:")</f>
        <v>Կան մի քանի բաներ, որոնք դուք կարող եք անել Փալմ Սփրինգսում, Կալիֆորնիա: Որոշ հայտնի գործողություններ ներառում են այցելել Palm Springs Aerial Tramway, ուսումնասիրել ճարտարապետությունը և արվեստի տեսարանը, գոլֆ խաղալ, հանգստանալ առողջարաններում և հանգստավայրերում, ինչպես նաև քայլել կամ ուսումնասիրել մոտակա Joshua Tree National Park-ը:</v>
      </c>
    </row>
    <row r="1429">
      <c r="A1429" s="1" t="s">
        <v>2844</v>
      </c>
      <c r="B1429" s="2" t="s">
        <v>2845</v>
      </c>
      <c r="C1429" s="3" t="str">
        <f>IFERROR(__xludf.DUMMYFUNCTION("GOOGLETRANSLATE(A1429,""en"",""hy"")"),"որտեղ է Կարմիր լիճը Օնտարիոն:")</f>
        <v>որտեղ է Կարմիր լիճը Օնտարիոն:</v>
      </c>
      <c r="D1429" s="3" t="str">
        <f>IFERROR(__xludf.DUMMYFUNCTION("GOOGLETRANSLATE(B1429,""en"",""hy"")"),"Red Lake, Ontario գտնվում է Կանադայի հյուսիս-արևմտյան Օնտարիոյում:")</f>
        <v>Red Lake, Ontario գտնվում է Կանադայի հյուսիս-արևմտյան Օնտարիոյում:</v>
      </c>
    </row>
    <row r="1430">
      <c r="A1430" s="1" t="s">
        <v>2846</v>
      </c>
      <c r="B1430" s="2" t="s">
        <v>2847</v>
      </c>
      <c r="C1430" s="3" t="str">
        <f>IFERROR(__xludf.DUMMYFUNCTION("GOOGLETRANSLATE(A1430,""en"",""hy"")"),"ե՞րբ է վերջին անգամ ny հսկաները խաղացել սուպերգավաթում:")</f>
        <v>ե՞րբ է վերջին անգամ ny հսկաները խաղացել սուպերգավաթում:</v>
      </c>
      <c r="D1430" s="3" t="str">
        <f>IFERROR(__xludf.DUMMYFUNCTION("GOOGLETRANSLATE(B1430,""en"",""hy"")"),"The New York Giants-ը վերջին անգամ Սուպերբոուլում հանդես է եկել 2012 թվականին:")</f>
        <v>The New York Giants-ը վերջին անգամ Սուպերբոուլում հանդես է եկել 2012 թվականին:</v>
      </c>
    </row>
    <row r="1431">
      <c r="A1431" s="1" t="s">
        <v>2848</v>
      </c>
      <c r="B1431" s="2" t="s">
        <v>2849</v>
      </c>
      <c r="C1431" s="3" t="str">
        <f>IFERROR(__xludf.DUMMYFUNCTION("GOOGLETRANSLATE(A1431,""en"",""hy"")"),"ով է Ադամ Սենդլերը")</f>
        <v>ով է Ադամ Սենդլերը</v>
      </c>
      <c r="D1431" s="3" t="str">
        <f>IFERROR(__xludf.DUMMYFUNCTION("GOOGLETRANSLATE(B1431,""en"",""hy"")"),"Ադամ Սենդլերը ամերիկացի դերասան, կատակերգու և երաժիշտ է։")</f>
        <v>Ադամ Սենդլերը ամերիկացի դերասան, կատակերգու և երաժիշտ է։</v>
      </c>
    </row>
    <row r="1432">
      <c r="A1432" s="1" t="s">
        <v>2850</v>
      </c>
      <c r="B1432" s="2" t="s">
        <v>2851</v>
      </c>
      <c r="C1432" s="3" t="str">
        <f>IFERROR(__xludf.DUMMYFUNCTION("GOOGLETRANSLATE(A1432,""en"",""hy"")"),"ով էր Պակիստանի նախագահը 1980թ.")</f>
        <v>ով էր Պակիստանի նախագահը 1980թ.</v>
      </c>
      <c r="D1432" s="3" t="str">
        <f>IFERROR(__xludf.DUMMYFUNCTION("GOOGLETRANSLATE(B1432,""en"",""hy"")"),"Մուհամմադ Զիա-ուլ-Հաք.")</f>
        <v>Մուհամմադ Զիա-ուլ-Հաք.</v>
      </c>
    </row>
    <row r="1433">
      <c r="A1433" s="1" t="s">
        <v>2852</v>
      </c>
      <c r="B1433" s="2" t="s">
        <v>2853</v>
      </c>
      <c r="C1433" s="3" t="str">
        <f>IFERROR(__xludf.DUMMYFUNCTION("GOOGLETRANSLATE(A1433,""en"",""hy"")"),"Ո՞ր քոլեջն է հաճախել Բարաք Օբաման:")</f>
        <v>Ո՞ր քոլեջն է հաճախել Բարաք Օբաման:</v>
      </c>
      <c r="D1433" s="3" t="str">
        <f>IFERROR(__xludf.DUMMYFUNCTION("GOOGLETRANSLATE(B1433,""en"",""hy"")"),"Բարաք Օբաման սովորել է Կոլումբիայի համալսարան բակալավրիատի համար, իսկ Հարվարդի իրավաբանական դպրոցը՝ իրավագիտության աստիճանի համար:")</f>
        <v>Բարաք Օբաման սովորել է Կոլումբիայի համալսարան բակալավրիատի համար, իսկ Հարվարդի իրավաբանական դպրոցը՝ իրավագիտության աստիճանի համար:</v>
      </c>
    </row>
    <row r="1434">
      <c r="A1434" s="1" t="s">
        <v>2854</v>
      </c>
      <c r="B1434" s="2" t="s">
        <v>2855</v>
      </c>
      <c r="C1434" s="3" t="str">
        <f>IFERROR(__xludf.DUMMYFUNCTION("GOOGLETRANSLATE(A1434,""en"",""hy"")"),"որտեղ է ծնվել սուրբ Էլիզաբեթ Անն Սեթոնը:")</f>
        <v>որտեղ է ծնվել սուրբ Էլիզաբեթ Անն Սեթոնը:</v>
      </c>
      <c r="D1434" s="3" t="str">
        <f>IFERROR(__xludf.DUMMYFUNCTION("GOOGLETRANSLATE(B1434,""en"",""hy"")"),"Սուրբ Էլիզաբեթ Էնն Սեթոնը ծնվել է ԱՄՆ-ի Նյու Յորք քաղաքում:")</f>
        <v>Սուրբ Էլիզաբեթ Էնն Սեթոնը ծնվել է ԱՄՆ-ի Նյու Յորք քաղաքում:</v>
      </c>
    </row>
    <row r="1435">
      <c r="A1435" s="1" t="s">
        <v>2856</v>
      </c>
      <c r="B1435" s="2" t="s">
        <v>2857</v>
      </c>
      <c r="C1435" s="3" t="str">
        <f>IFERROR(__xludf.DUMMYFUNCTION("GOOGLETRANSLATE(A1435,""en"",""hy"")"),"ինչ է սահմանակից Ադրիատիկ ծովը:")</f>
        <v>ինչ է սահմանակից Ադրիատիկ ծովը:</v>
      </c>
      <c r="D1435" s="3" t="str">
        <f>IFERROR(__xludf.DUMMYFUNCTION("GOOGLETRANSLATE(B1435,""en"",""hy"")"),"Ադրիատիկ ծովը արևմուտքում սահմանակից է Իտալիային, արևելքից՝ Խորվաթիային։")</f>
        <v>Ադրիատիկ ծովը արևմուտքում սահմանակից է Իտալիային, արևելքից՝ Խորվաթիային։</v>
      </c>
    </row>
    <row r="1436">
      <c r="A1436" s="1" t="s">
        <v>2858</v>
      </c>
      <c r="B1436" s="2" t="s">
        <v>2859</v>
      </c>
      <c r="C1436" s="3" t="str">
        <f>IFERROR(__xludf.DUMMYFUNCTION("GOOGLETRANSLATE(A1436,""en"",""hy"")"),"որ ժամին են բացվում տեղամասերը Ինդիանա 2012-ում:")</f>
        <v>որ ժամին են բացվում տեղամասերը Ինդիանա 2012-ում:</v>
      </c>
      <c r="D1436" s="3" t="str">
        <f>IFERROR(__xludf.DUMMYFUNCTION("GOOGLETRANSLATE(B1436,""en"",""hy"")"),"Ինդիանայում ընտրատեղամասերը բացվել են առավոտյան ժամը 06:00-ին:")</f>
        <v>Ինդիանայում ընտրատեղամասերը բացվել են առավոտյան ժամը 06:00-ին:</v>
      </c>
    </row>
    <row r="1437">
      <c r="A1437" s="1" t="s">
        <v>2860</v>
      </c>
      <c r="B1437" s="2" t="s">
        <v>2861</v>
      </c>
      <c r="C1437" s="3" t="str">
        <f>IFERROR(__xludf.DUMMYFUNCTION("GOOGLETRANSLATE(A1437,""en"",""hy"")"),"ո՞ր թիմերն են խաղացել 2010 թվականին Ստենլիի գավաթում:")</f>
        <v>ո՞ր թիմերն են խաղացել 2010 թվականին Ստենլիի գավաթում:</v>
      </c>
      <c r="D1437" s="3" t="str">
        <f>IFERROR(__xludf.DUMMYFUNCTION("GOOGLETRANSLATE(B1437,""en"",""hy"")"),"Չիկագո Բլեքհոքսը և Ֆիլադելֆիա Ֆլայերսը խաղացել են 2010 թվականին Սթենլիի գավաթում։")</f>
        <v>Չիկագո Բլեքհոքսը և Ֆիլադելֆիա Ֆլայերսը խաղացել են 2010 թվականին Սթենլիի գավաթում։</v>
      </c>
    </row>
    <row r="1438">
      <c r="A1438" s="1" t="s">
        <v>2862</v>
      </c>
      <c r="B1438" s="2" t="s">
        <v>2863</v>
      </c>
      <c r="C1438" s="3" t="str">
        <f>IFERROR(__xludf.DUMMYFUNCTION("GOOGLETRANSLATE(A1438,""en"",""hy"")"),"Ո՞ր գաղութից է Ջոն Ադամսը:")</f>
        <v>Ո՞ր գաղութից է Ջոն Ադամսը:</v>
      </c>
      <c r="D1438" s="3" t="str">
        <f>IFERROR(__xludf.DUMMYFUNCTION("GOOGLETRANSLATE(B1438,""en"",""hy"")"),"Ջոն Ադամսը Մասաչուսեթսից էր:")</f>
        <v>Ջոն Ադամսը Մասաչուսեթսից էր:</v>
      </c>
    </row>
    <row r="1439">
      <c r="A1439" s="1" t="s">
        <v>2864</v>
      </c>
      <c r="B1439" s="2" t="s">
        <v>2865</v>
      </c>
      <c r="C1439" s="3" t="str">
        <f>IFERROR(__xludf.DUMMYFUNCTION("GOOGLETRANSLATE(A1439,""en"",""hy"")"),"ո՞ր երկրներն են սահմանակից Գերմանիան")</f>
        <v>ո՞ր երկրներն են սահմանակից Գերմանիան</v>
      </c>
      <c r="D1439" s="3" t="str">
        <f>IFERROR(__xludf.DUMMYFUNCTION("GOOGLETRANSLATE(B1439,""en"",""hy"")"),"Գերմանիան սահմանակից է հետևյալ երկրներին՝ Ավստրիա, Բելգիա, Չեխիա, Դանիա, Ֆրանսիա, Լյուքսեմբուրգ, Նիդեռլանդներ, Լեհաստան և Շվեյցարիա։")</f>
        <v>Գերմանիան սահմանակից է հետևյալ երկրներին՝ Ավստրիա, Բելգիա, Չեխիա, Դանիա, Ֆրանսիա, Լյուքսեմբուրգ, Նիդեռլանդներ, Լեհաստան և Շվեյցարիա։</v>
      </c>
    </row>
    <row r="1440">
      <c r="A1440" s="1" t="s">
        <v>2866</v>
      </c>
      <c r="B1440" s="2" t="s">
        <v>2790</v>
      </c>
      <c r="C1440" s="3" t="str">
        <f>IFERROR(__xludf.DUMMYFUNCTION("GOOGLETRANSLATE(A1440,""en"",""hy"")"),"ո՞ւմ հետ է ամենից շատ առևտուր անում Ռուսաստանը.")</f>
        <v>ո՞ւմ հետ է ամենից շատ առևտուր անում Ռուսաստանը.</v>
      </c>
      <c r="D1440" s="3" t="str">
        <f>IFERROR(__xludf.DUMMYFUNCTION("GOOGLETRANSLATE(B1440,""en"",""hy"")"),"Չինաստան.")</f>
        <v>Չինաստան.</v>
      </c>
    </row>
    <row r="1441">
      <c r="A1441" s="1" t="s">
        <v>2867</v>
      </c>
      <c r="B1441" s="2" t="s">
        <v>2868</v>
      </c>
      <c r="C1441" s="3" t="str">
        <f>IFERROR(__xludf.DUMMYFUNCTION("GOOGLETRANSLATE(A1441,""en"",""hy"")"),"ի՞նչ լեզվով են խոսում ասորիները")</f>
        <v>ի՞նչ լեզվով են խոսում ասորիները</v>
      </c>
      <c r="D1441" s="3" t="str">
        <f>IFERROR(__xludf.DUMMYFUNCTION("GOOGLETRANSLATE(B1441,""en"",""hy"")"),"արամեերեն.")</f>
        <v>արամեերեն.</v>
      </c>
    </row>
    <row r="1442">
      <c r="A1442" s="1" t="s">
        <v>2869</v>
      </c>
      <c r="B1442" s="2" t="s">
        <v>2870</v>
      </c>
      <c r="C1442" s="3" t="str">
        <f>IFERROR(__xludf.DUMMYFUNCTION("GOOGLETRANSLATE(A1442,""en"",""hy"")"),"Ո՞վ է խաղում Մերի Ջեյն Սարդմեն 3-ում:")</f>
        <v>Ո՞վ է խաղում Մերի Ջեյն Սարդմեն 3-ում:</v>
      </c>
      <c r="D1442" s="3" t="str">
        <f>IFERROR(__xludf.DUMMYFUNCTION("GOOGLETRANSLATE(B1442,""en"",""hy"")"),"Քիրստեն Դանսթ.")</f>
        <v>Քիրստեն Դանսթ.</v>
      </c>
    </row>
    <row r="1443">
      <c r="A1443" s="1" t="s">
        <v>2871</v>
      </c>
      <c r="B1443" s="2" t="s">
        <v>2872</v>
      </c>
      <c r="C1443" s="3" t="str">
        <f>IFERROR(__xludf.DUMMYFUNCTION("GOOGLETRANSLATE(A1443,""en"",""hy"")"),"որտեղ է թաղվել Աբրահամ Լինքոլնը")</f>
        <v>որտեղ է թաղվել Աբրահամ Լինքոլնը</v>
      </c>
      <c r="D1443" s="3" t="str">
        <f>IFERROR(__xludf.DUMMYFUNCTION("GOOGLETRANSLATE(B1443,""en"",""hy"")"),"Աբրահամ Լինքոլնը թաղվել է Իլինոյս նահանգի Սփրինգֆիլդ քաղաքում:")</f>
        <v>Աբրահամ Լինքոլնը թաղվել է Իլինոյս նահանգի Սփրինգֆիլդ քաղաքում:</v>
      </c>
    </row>
    <row r="1444">
      <c r="A1444" s="1" t="s">
        <v>2873</v>
      </c>
      <c r="B1444" s="2" t="s">
        <v>2874</v>
      </c>
      <c r="C1444" s="3" t="str">
        <f>IFERROR(__xludf.DUMMYFUNCTION("GOOGLETRANSLATE(A1444,""en"",""hy"")"),"ով էր Դավիթ թագավորի հոր թոռը.")</f>
        <v>ով էր Դավիթ թագավորի հոր թոռը.</v>
      </c>
      <c r="D1444" s="3" t="str">
        <f>IFERROR(__xludf.DUMMYFUNCTION("GOOGLETRANSLATE(B1444,""en"",""hy"")"),"Դավիթ թագավորի հոր թոռը Սողոմոնն էր։")</f>
        <v>Դավիթ թագավորի հոր թոռը Սողոմոնն էր։</v>
      </c>
    </row>
    <row r="1445">
      <c r="A1445" s="1" t="s">
        <v>2875</v>
      </c>
      <c r="B1445" s="2" t="s">
        <v>2876</v>
      </c>
      <c r="C1445" s="3" t="str">
        <f>IFERROR(__xludf.DUMMYFUNCTION("GOOGLETRANSLATE(A1445,""en"",""hy"")"),"երբ նախագահ Լինքոլնը ընտրվեց?")</f>
        <v>երբ նախագահ Լինքոլնը ընտրվեց?</v>
      </c>
      <c r="D1445" s="3" t="str">
        <f>IFERROR(__xludf.DUMMYFUNCTION("GOOGLETRANSLATE(B1445,""en"",""hy"")"),"Նախագահ Լինքոլնն ընտրվել է 1860թ.")</f>
        <v>Նախագահ Լինքոլնն ընտրվել է 1860թ.</v>
      </c>
    </row>
    <row r="1446">
      <c r="A1446" s="1" t="s">
        <v>2877</v>
      </c>
      <c r="B1446" s="2" t="s">
        <v>2878</v>
      </c>
      <c r="C1446" s="3" t="str">
        <f>IFERROR(__xludf.DUMMYFUNCTION("GOOGLETRANSLATE(A1446,""en"",""hy"")"),"Ե՞րբ է վերջին անգամ Օքլենդի ռեյդերները հաղթել սուպեր գավաթը:")</f>
        <v>Ե՞րբ է վերջին անգամ Օքլենդի ռեյդերները հաղթել սուպեր գավաթը:</v>
      </c>
      <c r="D1446" s="3" t="str">
        <f>IFERROR(__xludf.DUMMYFUNCTION("GOOGLETRANSLATE(B1446,""en"",""hy"")"),"Oakland Raiders-ը վերջին անգամ հաղթել է Super Bowl-ը 1984 թվականին:")</f>
        <v>Oakland Raiders-ը վերջին անգամ հաղթել է Super Bowl-ը 1984 թվականին:</v>
      </c>
    </row>
    <row r="1447">
      <c r="A1447" s="1" t="s">
        <v>2879</v>
      </c>
      <c r="B1447" s="2" t="s">
        <v>2880</v>
      </c>
      <c r="C1447" s="3" t="str">
        <f>IFERROR(__xludf.DUMMYFUNCTION("GOOGLETRANSLATE(A1447,""en"",""hy"")"),"Ի՞նչ արեց Թեոդոր Ռուզվելտը, որը նրան բերեց ազգային հայտնիության:")</f>
        <v>Ի՞նչ արեց Թեոդոր Ռուզվելտը, որը նրան բերեց ազգային հայտնիության:</v>
      </c>
      <c r="D1447" s="3" t="str">
        <f>IFERROR(__xludf.DUMMYFUNCTION("GOOGLETRANSLATE(B1447,""en"",""hy"")"),"Թեոդոր Ռուզվելտի առաջնորդությունը իսպանա-ամերիկյան պատերազմի ժամանակ նրան բերեց ազգային հայտնիություն:")</f>
        <v>Թեոդոր Ռուզվելտի առաջնորդությունը իսպանա-ամերիկյան պատերազմի ժամանակ նրան բերեց ազգային հայտնիություն:</v>
      </c>
    </row>
    <row r="1448">
      <c r="A1448" s="1" t="s">
        <v>2881</v>
      </c>
      <c r="B1448" s="2" t="s">
        <v>2882</v>
      </c>
      <c r="C1448" s="3" t="str">
        <f>IFERROR(__xludf.DUMMYFUNCTION("GOOGLETRANSLATE(A1448,""en"",""hy"")"),"որտեղ է այժմ Դևոն Սաանան:")</f>
        <v>որտեղ է այժմ Դևոն Սաանան:</v>
      </c>
      <c r="D1448" s="3" t="str">
        <f>IFERROR(__xludf.DUMMYFUNCTION("GOOGLETRANSLATE(B1448,""en"",""hy"")"),"Դևոն Սավան ներկայումս ակտիվ է ժամանցային արդյունաբերության մեջ՝ վերջին դերերով հեռուստատեսային շոուներում և ֆիլմերում:")</f>
        <v>Դևոն Սավան ներկայումս ակտիվ է ժամանցային արդյունաբերության մեջ՝ վերջին դերերով հեռուստատեսային շոուներում և ֆիլմերում:</v>
      </c>
    </row>
    <row r="1449">
      <c r="A1449" s="1" t="s">
        <v>2883</v>
      </c>
      <c r="B1449" s="2" t="s">
        <v>2884</v>
      </c>
      <c r="C1449" s="3" t="str">
        <f>IFERROR(__xludf.DUMMYFUNCTION("GOOGLETRANSLATE(A1449,""en"",""hy"")"),"ու՞մ են զորակոչել Քլիվլենդ Բրաունսը:")</f>
        <v>ու՞մ են զորակոչել Քլիվլենդ Բրաունսը:</v>
      </c>
      <c r="D1449" s="3" t="str">
        <f>IFERROR(__xludf.DUMMYFUNCTION("GOOGLETRANSLATE(B1449,""en"",""hy"")"),"«Ո՞ւմ են զորակոչել Քլիվլենդ Բրաունսը» հարցի պատասխանը. կախված կլինի կոնկրետ տարվանից և նախագծից:")</f>
        <v>«Ո՞ւմ են զորակոչել Քլիվլենդ Բրաունսը» հարցի պատասխանը. կախված կլինի կոնկրետ տարվանից և նախագծից:</v>
      </c>
    </row>
    <row r="1450">
      <c r="A1450" s="1" t="s">
        <v>2885</v>
      </c>
      <c r="B1450" s="2" t="s">
        <v>2886</v>
      </c>
      <c r="C1450" s="3" t="str">
        <f>IFERROR(__xludf.DUMMYFUNCTION("GOOGLETRANSLATE(A1450,""en"",""hy"")"),"ովքեր էին Մերիլին Մոնրոյի ծնողները")</f>
        <v>ովքեր էին Մերիլին Մոնրոյի ծնողները</v>
      </c>
      <c r="D1450" s="3" t="str">
        <f>IFERROR(__xludf.DUMMYFUNCTION("GOOGLETRANSLATE(B1450,""en"",""hy"")"),"Մերիլին Մոնրոյի ծնողներն էին Գլեդիս Պերլ Մոնրոն և Չարլզ Սթենլի Գիֆորդը։")</f>
        <v>Մերիլին Մոնրոյի ծնողներն էին Գլեդիս Պերլ Մոնրոն և Չարլզ Սթենլի Գիֆորդը։</v>
      </c>
    </row>
    <row r="1451">
      <c r="A1451" s="1" t="s">
        <v>2887</v>
      </c>
      <c r="B1451" s="2" t="s">
        <v>2888</v>
      </c>
      <c r="C1451" s="3" t="str">
        <f>IFERROR(__xludf.DUMMYFUNCTION("GOOGLETRANSLATE(A1451,""en"",""hy"")"),"ինչ անել Լոնդոն մեկնելիս.")</f>
        <v>ինչ անել Լոնդոն մեկնելիս.</v>
      </c>
      <c r="D1451" s="3" t="str">
        <f>IFERROR(__xludf.DUMMYFUNCTION("GOOGLETRANSLATE(B1451,""en"",""hy"")"),"Երբ ճանապարհորդում եք Լոնդոն, ուսումնասիրեք հայտնի տեսարժան վայրերը, ինչպիսիք են Լոնդոնի աշտարակը, Բուքինգհեմյան պալատը և Բրիտանական թանգարանը: Բացի այդ, զբոսնեք London Eye-ով, վայելեք West End թատերական ներկայացումները և փորձեք ավանդական անգլիական խոհանո"&amp;"ց:")</f>
        <v>Երբ ճանապարհորդում եք Լոնդոն, ուսումնասիրեք հայտնի տեսարժան վայրերը, ինչպիսիք են Լոնդոնի աշտարակը, Բուքինգհեմյան պալատը և Բրիտանական թանգարանը: Բացի այդ, զբոսնեք London Eye-ով, վայելեք West End թատերական ներկայացումները և փորձեք ավանդական անգլիական խոհանոց:</v>
      </c>
    </row>
    <row r="1452">
      <c r="A1452" s="1" t="s">
        <v>2889</v>
      </c>
      <c r="B1452" s="2" t="s">
        <v>2890</v>
      </c>
      <c r="C1452" s="3" t="str">
        <f>IFERROR(__xludf.DUMMYFUNCTION("GOOGLETRANSLATE(A1452,""en"",""hy"")"),"որտեղ է shoreditch?")</f>
        <v>որտեղ է shoreditch?</v>
      </c>
      <c r="D1452" s="3" t="str">
        <f>IFERROR(__xludf.DUMMYFUNCTION("GOOGLETRANSLATE(B1452,""en"",""hy"")"),"Շորեդիչը թաղամաս է Լոնդոնի Արևելյան ծայրամասում, Անգլիա։")</f>
        <v>Շորեդիչը թաղամաս է Լոնդոնի Արևելյան ծայրամասում, Անգլիա։</v>
      </c>
    </row>
    <row r="1453">
      <c r="A1453" s="1" t="s">
        <v>2891</v>
      </c>
      <c r="B1453" s="2" t="s">
        <v>2892</v>
      </c>
      <c r="C1453" s="3" t="str">
        <f>IFERROR(__xludf.DUMMYFUNCTION("GOOGLETRANSLATE(A1453,""en"",""hy"")"),"ինչ պետք է անեմ այսօր Հյուսթոնում:")</f>
        <v>ինչ պետք է անեմ այսօր Հյուսթոնում:</v>
      </c>
      <c r="D1453" s="3" t="str">
        <f>IFERROR(__xludf.DUMMYFUNCTION("GOOGLETRANSLATE(B1453,""en"",""hy"")"),"Այցելեք Հյուսթոնի Տիեզերական կենտրոն, ուսումնասիրեք Կերպարվեստի թանգարանը կամ վայելեք Բաֆալո Բայու զբոսայգում դրսում:")</f>
        <v>Այցելեք Հյուսթոնի Տիեզերական կենտրոն, ուսումնասիրեք Կերպարվեստի թանգարանը կամ վայելեք Բաֆալո Բայու զբոսայգում դրսում:</v>
      </c>
    </row>
    <row r="1454">
      <c r="A1454" s="1" t="s">
        <v>2893</v>
      </c>
      <c r="B1454" s="2" t="s">
        <v>2894</v>
      </c>
      <c r="C1454" s="3" t="str">
        <f>IFERROR(__xludf.DUMMYFUNCTION("GOOGLETRANSLATE(A1454,""en"",""hy"")"),"որտեղից է գալիս իսպաներենը")</f>
        <v>որտեղից է գալիս իսպաներենը</v>
      </c>
      <c r="D1454" s="3" t="str">
        <f>IFERROR(__xludf.DUMMYFUNCTION("GOOGLETRANSLATE(B1454,""en"",""hy"")"),"Իսպաներենը գալիս է ռոմանտիկ լեզվի ընտանիքից, որը առաջացել է գռեհիկ լատիներենից, որը հռոմեացիների կողմից բերվել է Պիրենեյան թերակղզի:")</f>
        <v>Իսպաներենը գալիս է ռոմանտիկ լեզվի ընտանիքից, որը առաջացել է գռեհիկ լատիներենից, որը հռոմեացիների կողմից բերվել է Պիրենեյան թերակղզի:</v>
      </c>
    </row>
    <row r="1455">
      <c r="A1455" s="1" t="s">
        <v>2895</v>
      </c>
      <c r="B1455" s="2" t="s">
        <v>2896</v>
      </c>
      <c r="C1455" s="3" t="str">
        <f>IFERROR(__xludf.DUMMYFUNCTION("GOOGLETRANSLATE(A1455,""en"",""hy"")"),"երբ են նրանք փոխում ժամը Լոնդոնում:")</f>
        <v>երբ են նրանք փոխում ժամը Լոնդոնում:</v>
      </c>
      <c r="D1455" s="3" t="str">
        <f>IFERROR(__xludf.DUMMYFUNCTION("GOOGLETRANSLATE(B1455,""en"",""hy"")"),"Նրանք տարին երկու անգամ Լոնդոնում ժամը փոխում են ցերեկային ժամերին:")</f>
        <v>Նրանք տարին երկու անգամ Լոնդոնում ժամը փոխում են ցերեկային ժամերին:</v>
      </c>
    </row>
    <row r="1456">
      <c r="A1456" s="1" t="s">
        <v>2897</v>
      </c>
      <c r="B1456" s="2" t="s">
        <v>1535</v>
      </c>
      <c r="C1456" s="3" t="str">
        <f>IFERROR(__xludf.DUMMYFUNCTION("GOOGLETRANSLATE(A1456,""en"",""hy"")"),"որտեղ է այժմ ապրում Ռայան Լոխտեն")</f>
        <v>որտեղ է այժմ ապրում Ռայան Լոխտեն</v>
      </c>
      <c r="D1456" s="3" t="str">
        <f>IFERROR(__xludf.DUMMYFUNCTION("GOOGLETRANSLATE(B1456,""en"",""hy"")"),"Ցավում եմ, բայց ինձ հասանելի չեն անհատների մասին անձնական տվյալները, քանի դեռ դրանք չեն կիսվել ինձ հետ մեր զրույցի ընթացքում:")</f>
        <v>Ցավում եմ, բայց ինձ հասանելի չեն անհատների մասին անձնական տվյալները, քանի դեռ դրանք չեն կիսվել ինձ հետ մեր զրույցի ընթացքում:</v>
      </c>
    </row>
    <row r="1457">
      <c r="A1457" s="1" t="s">
        <v>2898</v>
      </c>
      <c r="B1457" s="2" t="s">
        <v>2899</v>
      </c>
      <c r="C1457" s="3" t="str">
        <f>IFERROR(__xludf.DUMMYFUNCTION("GOOGLETRANSLATE(A1457,""en"",""hy"")"),"Ո՞ր ժամային գոտին է Թենեսի Նեշվիլը:")</f>
        <v>Ո՞ր ժամային գոտին է Թենեսի Նեշվիլը:</v>
      </c>
      <c r="D1457" s="3" t="str">
        <f>IFERROR(__xludf.DUMMYFUNCTION("GOOGLETRANSLATE(B1457,""en"",""hy"")"),"Թենեսի Նեշվիլը գտնվում է Կենտրոնական ժամային գոտում:")</f>
        <v>Թենեսի Նեշվիլը գտնվում է Կենտրոնական ժամային գոտում:</v>
      </c>
    </row>
    <row r="1458">
      <c r="A1458" s="1" t="s">
        <v>2900</v>
      </c>
      <c r="B1458" s="2" t="s">
        <v>2901</v>
      </c>
      <c r="C1458" s="3" t="str">
        <f>IFERROR(__xludf.DUMMYFUNCTION("GOOGLETRANSLATE(A1458,""en"",""hy"")"),"ո՞ր քաղաքական կուսակցությունն էր Հենրի Քլեյը:")</f>
        <v>ո՞ր քաղաքական կուսակցությունն էր Հենրի Քլեյը:</v>
      </c>
      <c r="D1458" s="3" t="str">
        <f>IFERROR(__xludf.DUMMYFUNCTION("GOOGLETRANSLATE(B1458,""en"",""hy"")"),"Հենրի Քլեյը Վիգ կուսակցության անդամ էր։")</f>
        <v>Հենրի Քլեյը Վիգ կուսակցության անդամ էր։</v>
      </c>
    </row>
    <row r="1459">
      <c r="A1459" s="1" t="s">
        <v>2902</v>
      </c>
      <c r="B1459" s="2" t="s">
        <v>2903</v>
      </c>
      <c r="C1459" s="3" t="str">
        <f>IFERROR(__xludf.DUMMYFUNCTION("GOOGLETRANSLATE(A1459,""en"",""hy"")"),"որն է Օնտարիոյի մայրաքաղաքը:")</f>
        <v>որն է Օնտարիոյի մայրաքաղաքը:</v>
      </c>
      <c r="D1459" s="3" t="str">
        <f>IFERROR(__xludf.DUMMYFUNCTION("GOOGLETRANSLATE(B1459,""en"",""hy"")"),"Օնտարիոյի մայրաքաղաքը Տորոնտոն է։")</f>
        <v>Օնտարիոյի մայրաքաղաքը Տորոնտոն է։</v>
      </c>
    </row>
    <row r="1460">
      <c r="A1460" s="1" t="s">
        <v>2904</v>
      </c>
      <c r="B1460" s="2" t="s">
        <v>2905</v>
      </c>
      <c r="C1460" s="3" t="str">
        <f>IFERROR(__xludf.DUMMYFUNCTION("GOOGLETRANSLATE(A1460,""en"",""hy"")"),"ինչ փող է օգտագործվում Անգլիայում")</f>
        <v>ինչ փող է օգտագործվում Անգլիայում</v>
      </c>
      <c r="D1460" s="3" t="str">
        <f>IFERROR(__xludf.DUMMYFUNCTION("GOOGLETRANSLATE(B1460,""en"",""hy"")"),"Անգլիայում օգտագործվող արժույթը բրիտանական ֆունտն է (£):")</f>
        <v>Անգլիայում օգտագործվող արժույթը բրիտանական ֆունտն է (£):</v>
      </c>
    </row>
    <row r="1461">
      <c r="A1461" s="1" t="s">
        <v>2906</v>
      </c>
      <c r="B1461" s="2" t="s">
        <v>2907</v>
      </c>
      <c r="C1461" s="3" t="str">
        <f>IFERROR(__xludf.DUMMYFUNCTION("GOOGLETRANSLATE(A1461,""en"",""hy"")"),"ում հետ ամուսնացավ Քորի Ֆելդմանը:")</f>
        <v>ում հետ ամուսնացավ Քորի Ֆելդմանը:</v>
      </c>
      <c r="D1461" s="3" t="str">
        <f>IFERROR(__xludf.DUMMYFUNCTION("GOOGLETRANSLATE(B1461,""en"",""hy"")"),"Քորի Ֆելդմանը ամուսնացավ Քորթնի Էնն Միտչելի հետ։")</f>
        <v>Քորի Ֆելդմանը ամուսնացավ Քորթնի Էնն Միտչելի հետ։</v>
      </c>
    </row>
    <row r="1462">
      <c r="A1462" s="1" t="s">
        <v>2908</v>
      </c>
      <c r="B1462" s="2" t="s">
        <v>2110</v>
      </c>
      <c r="C1462" s="3" t="str">
        <f>IFERROR(__xludf.DUMMYFUNCTION("GOOGLETRANSLATE(A1462,""en"",""hy"")"),"ով է Լոյի ձայնը ընտանիքի տղայից:")</f>
        <v>ով է Լոյի ձայնը ընտանիքի տղայից:</v>
      </c>
      <c r="D1462" s="3" t="str">
        <f>IFERROR(__xludf.DUMMYFUNCTION("GOOGLETRANSLATE(B1462,""en"",""hy"")"),"Ալեքս Բորշտեյն.")</f>
        <v>Ալեքս Բորշտեյն.</v>
      </c>
    </row>
    <row r="1463">
      <c r="A1463" s="1" t="s">
        <v>2909</v>
      </c>
      <c r="B1463" s="2" t="s">
        <v>2910</v>
      </c>
      <c r="C1463" s="3" t="str">
        <f>IFERROR(__xludf.DUMMYFUNCTION("GOOGLETRANSLATE(A1463,""en"",""hy"")"),"ինչպես է կոչվել Ուոլթ Դիսնեյի առաջին մուլտֆիլմը:")</f>
        <v>ինչպես է կոչվել Ուոլթ Դիսնեյի առաջին մուլտֆիլմը:</v>
      </c>
      <c r="D1463" s="3" t="str">
        <f>IFERROR(__xludf.DUMMYFUNCTION("GOOGLETRANSLATE(B1463,""en"",""hy"")"),"Ուոլթ Դիսնեյի առաջին մուլտֆիլմը կոչվում էր «Շոգենավ Վիլի»։")</f>
        <v>Ուոլթ Դիսնեյի առաջին մուլտֆիլմը կոչվում էր «Շոգենավ Վիլի»։</v>
      </c>
    </row>
    <row r="1464">
      <c r="A1464" s="1" t="s">
        <v>2911</v>
      </c>
      <c r="B1464" s="2" t="s">
        <v>2912</v>
      </c>
      <c r="C1464" s="3" t="str">
        <f>IFERROR(__xludf.DUMMYFUNCTION("GOOGLETRANSLATE(A1464,""en"",""hy"")"),"Ի՞նչ է արել Մերի Հարիս Ջոնսը:")</f>
        <v>Ի՞նչ է արել Մերի Հարիս Ջոնսը:</v>
      </c>
      <c r="D1464" s="3" t="str">
        <f>IFERROR(__xludf.DUMMYFUNCTION("GOOGLETRANSLATE(B1464,""en"",""hy"")"),"Մերի Հարիս Ջոնսը, որը նաև հայտնի է որպես Մայր Ջոնս, ականավոր աշխատավոր և համայնքային կազմակերպիչ էր, ով պայքարում էր աշխատողների իրավունքների և աշխատանքային պայմանների բարելավման համար 19-րդ դարի վերջին և 20-րդ դարի սկզբին:")</f>
        <v>Մերի Հարիս Ջոնսը, որը նաև հայտնի է որպես Մայր Ջոնս, ականավոր աշխատավոր և համայնքային կազմակերպիչ էր, ով պայքարում էր աշխատողների իրավունքների և աշխատանքային պայմանների բարելավման համար 19-րդ դարի վերջին և 20-րդ դարի սկզբին:</v>
      </c>
    </row>
    <row r="1465">
      <c r="A1465" s="1" t="s">
        <v>2913</v>
      </c>
      <c r="B1465" s="2" t="s">
        <v>2914</v>
      </c>
      <c r="C1465" s="3" t="str">
        <f>IFERROR(__xludf.DUMMYFUNCTION("GOOGLETRANSLATE(A1465,""en"",""hy"")"),"ինչ արժույթ է ինձ անհրաժեշտ Եգիպտոսում:")</f>
        <v>ինչ արժույթ է ինձ անհրաժեշտ Եգիպտոսում:</v>
      </c>
      <c r="D1465" s="3" t="str">
        <f>IFERROR(__xludf.DUMMYFUNCTION("GOOGLETRANSLATE(B1465,""en"",""hy"")"),"Եգիպտոսում ձեզ անհրաժեշտ արժույթը եգիպտական ​​ֆունտն է:")</f>
        <v>Եգիպտոսում ձեզ անհրաժեշտ արժույթը եգիպտական ​​ֆունտն է:</v>
      </c>
    </row>
    <row r="1466">
      <c r="A1466" s="1" t="s">
        <v>2915</v>
      </c>
      <c r="B1466" s="2" t="s">
        <v>2916</v>
      </c>
      <c r="C1466" s="3" t="str">
        <f>IFERROR(__xludf.DUMMYFUNCTION("GOOGLETRANSLATE(A1466,""en"",""hy"")"),"ով էր Վիրջինիայի գաղութի հիմնադիրը:")</f>
        <v>ով էր Վիրջինիայի գաղութի հիմնադիրը:</v>
      </c>
      <c r="D1466" s="3" t="str">
        <f>IFERROR(__xludf.DUMMYFUNCTION("GOOGLETRANSLATE(B1466,""en"",""hy"")"),"Վիրջինիայի գաղութի հիմնադիրը սըր Ուոլթեր Ռալեյն էր։")</f>
        <v>Վիրջինիայի գաղութի հիմնադիրը սըր Ուոլթեր Ռալեյն էր։</v>
      </c>
    </row>
    <row r="1467">
      <c r="A1467" s="1" t="s">
        <v>2917</v>
      </c>
      <c r="B1467" s="2" t="s">
        <v>2918</v>
      </c>
      <c r="C1467" s="3" t="str">
        <f>IFERROR(__xludf.DUMMYFUNCTION("GOOGLETRANSLATE(A1467,""en"",""hy"")"),"որտեղ է Էլլիս Պարկ ռեգբիի մարզադաշտը:")</f>
        <v>որտեղ է Էլլիս Պարկ ռեգբիի մարզադաշտը:</v>
      </c>
      <c r="D1467" s="3" t="str">
        <f>IFERROR(__xludf.DUMMYFUNCTION("GOOGLETRANSLATE(B1467,""en"",""hy"")"),"Էլլիս Պարկ Ռեգբիի մարզադաշտը գտնվում է Յոհանեսբուրգում, Հարավային Աֆրիկա:")</f>
        <v>Էլլիս Պարկ Ռեգբիի մարզադաշտը գտնվում է Յոհանեսբուրգում, Հարավային Աֆրիկա:</v>
      </c>
    </row>
    <row r="1468">
      <c r="A1468" s="1" t="s">
        <v>2919</v>
      </c>
      <c r="B1468" s="2" t="s">
        <v>2920</v>
      </c>
      <c r="C1468" s="3" t="str">
        <f>IFERROR(__xludf.DUMMYFUNCTION("GOOGLETRANSLATE(A1468,""en"",""hy"")"),"ինչ են նշանակում eu տառերը:")</f>
        <v>ինչ են նշանակում eu տառերը:</v>
      </c>
      <c r="D1468" s="3" t="str">
        <f>IFERROR(__xludf.DUMMYFUNCTION("GOOGLETRANSLATE(B1468,""en"",""hy"")"),"Եվրոպական Միություն.")</f>
        <v>Եվրոպական Միություն.</v>
      </c>
    </row>
    <row r="1469">
      <c r="A1469" s="1" t="s">
        <v>2921</v>
      </c>
      <c r="B1469" s="2" t="s">
        <v>2922</v>
      </c>
      <c r="C1469" s="3" t="str">
        <f>IFERROR(__xludf.DUMMYFUNCTION("GOOGLETRANSLATE(A1469,""en"",""hy"")"),"որո՞նք են Միացյալ Թագավորության 5 երկրները:")</f>
        <v>որո՞նք են Միացյալ Թագավորության 5 երկրները:</v>
      </c>
      <c r="D1469" s="3" t="str">
        <f>IFERROR(__xludf.DUMMYFUNCTION("GOOGLETRANSLATE(B1469,""en"",""hy"")"),"Միացյալ Թագավորության 5 երկրներն են՝ Անգլիան, Շոտլանդիան, Ուելսը, Հյուսիսային Իռլանդիան և Կորնուոլը։")</f>
        <v>Միացյալ Թագավորության 5 երկրներն են՝ Անգլիան, Շոտլանդիան, Ուելսը, Հյուսիսային Իռլանդիան և Կորնուոլը։</v>
      </c>
    </row>
    <row r="1470">
      <c r="A1470" s="1" t="s">
        <v>2923</v>
      </c>
      <c r="B1470" s="2" t="s">
        <v>2924</v>
      </c>
      <c r="C1470" s="3" t="str">
        <f>IFERROR(__xludf.DUMMYFUNCTION("GOOGLETRANSLATE(A1470,""en"",""hy"")"),"ինչ պիտակի վրա է ստորագրված jojo-ն:")</f>
        <v>ինչ պիտակի վրա է ստորագրված jojo-ն:</v>
      </c>
      <c r="D1470" s="3" t="str">
        <f>IFERROR(__xludf.DUMMYFUNCTION("GOOGLETRANSLATE(B1470,""en"",""hy"")"),"JoJo-ն այժմ պայմանագիր ունի Warner Records-ի հետ:")</f>
        <v>JoJo-ն այժմ պայմանագիր ունի Warner Records-ի հետ:</v>
      </c>
    </row>
    <row r="1471">
      <c r="A1471" s="1" t="s">
        <v>2925</v>
      </c>
      <c r="B1471" s="2" t="s">
        <v>2926</v>
      </c>
      <c r="C1471" s="3" t="str">
        <f>IFERROR(__xludf.DUMMYFUNCTION("GOOGLETRANSLATE(A1471,""en"",""hy"")"),"ով է Կենտուկի նահանգի սենատորը:")</f>
        <v>ով է Կենտուկի նահանգի սենատորը:</v>
      </c>
      <c r="D1471" s="3" t="str">
        <f>IFERROR(__xludf.DUMMYFUNCTION("GOOGLETRANSLATE(B1471,""en"",""hy"")"),"Կենտուկի նահանգի ներկայիս սենատորը Միթչ Մաքքոնելն է։")</f>
        <v>Կենտուկի նահանգի ներկայիս սենատորը Միթչ Մաքքոնելն է։</v>
      </c>
    </row>
    <row r="1472">
      <c r="A1472" s="1" t="s">
        <v>2927</v>
      </c>
      <c r="B1472" s="2" t="s">
        <v>2928</v>
      </c>
      <c r="C1472" s="3" t="str">
        <f>IFERROR(__xludf.DUMMYFUNCTION("GOOGLETRANSLATE(A1472,""en"",""hy"")"),"որտեղ է մահացել Դուգլաս Մակարտուրը")</f>
        <v>որտեղ է մահացել Դուգլաս Մակարտուրը</v>
      </c>
      <c r="D1472" s="3" t="str">
        <f>IFERROR(__xludf.DUMMYFUNCTION("GOOGLETRANSLATE(B1472,""en"",""hy"")"),"Դուգլաս ՄաքԱրթուրը մահացել է Վաշինգտոնում, ԱՄՆ:")</f>
        <v>Դուգլաս ՄաքԱրթուրը մահացել է Վաշինգտոնում, ԱՄՆ:</v>
      </c>
    </row>
    <row r="1473">
      <c r="A1473" s="1" t="s">
        <v>2929</v>
      </c>
      <c r="B1473" s="2" t="s">
        <v>2930</v>
      </c>
      <c r="C1473" s="3" t="str">
        <f>IFERROR(__xludf.DUMMYFUNCTION("GOOGLETRANSLATE(A1473,""en"",""hy"")"),"ինչ են խոսում ռուսները")</f>
        <v>ինչ են խոսում ռուսները</v>
      </c>
      <c r="D1473" s="3" t="str">
        <f>IFERROR(__xludf.DUMMYFUNCTION("GOOGLETRANSLATE(B1473,""en"",""hy"")"),"ռուսերեն.")</f>
        <v>ռուսերեն.</v>
      </c>
    </row>
    <row r="1474">
      <c r="A1474" s="1" t="s">
        <v>2931</v>
      </c>
      <c r="B1474" s="2" t="s">
        <v>2932</v>
      </c>
      <c r="C1474" s="3" t="str">
        <f>IFERROR(__xludf.DUMMYFUNCTION("GOOGLETRANSLATE(A1474,""en"",""hy"")"),"ով է խաղում Ջեյսոն Մորգանը ընդհանուր հիվանդանոցում:")</f>
        <v>ով է խաղում Ջեյսոն Մորգանը ընդհանուր հիվանդանոցում:</v>
      </c>
      <c r="D1474" s="3" t="str">
        <f>IFERROR(__xludf.DUMMYFUNCTION("GOOGLETRANSLATE(B1474,""en"",""hy"")"),"Սթիվ Բարթոնն այժմ խաղում է Ջեյսոն Մորգանի դերը Գլխավոր հիվանդանոցում։")</f>
        <v>Սթիվ Բարթոնն այժմ խաղում է Ջեյսոն Մորգանի դերը Գլխավոր հիվանդանոցում։</v>
      </c>
    </row>
    <row r="1475">
      <c r="A1475" s="1" t="s">
        <v>2933</v>
      </c>
      <c r="B1475" s="2" t="s">
        <v>2934</v>
      </c>
      <c r="C1475" s="3" t="str">
        <f>IFERROR(__xludf.DUMMYFUNCTION("GOOGLETRANSLATE(A1475,""en"",""hy"")"),"որտեղ է Հոնկոնգ Չինաստանը")</f>
        <v>որտեղ է Հոնկոնգ Չինաստանը</v>
      </c>
      <c r="D1475" s="3" t="str">
        <f>IFERROR(__xludf.DUMMYFUNCTION("GOOGLETRANSLATE(B1475,""en"",""hy"")"),"Հոնկոնգը Չինաստանի հատուկ վարչական շրջան է։")</f>
        <v>Հոնկոնգը Չինաստանի հատուկ վարչական շրջան է։</v>
      </c>
    </row>
    <row r="1476">
      <c r="A1476" s="1" t="s">
        <v>2935</v>
      </c>
      <c r="B1476" s="2" t="s">
        <v>2936</v>
      </c>
      <c r="C1476" s="3" t="str">
        <f>IFERROR(__xludf.DUMMYFUNCTION("GOOGLETRANSLATE(A1476,""en"",""hy"")"),"ո՞ր երկրներում են նրանք խոսում իտալերեն:")</f>
        <v>ո՞ր երկրներում են նրանք խոսում իտալերեն:</v>
      </c>
      <c r="D1476" s="3" t="str">
        <f>IFERROR(__xludf.DUMMYFUNCTION("GOOGLETRANSLATE(B1476,""en"",""hy"")"),"Իտալիան հիմնական երկիրն է, որտեղ խոսում են իտալերեն։ Բացի այդ, իտալերենը խոսում են Վատիկանում, Սան Մարինոյում և Շվեյցարիայի և Խորվաթիայի որոշ մասերում։")</f>
        <v>Իտալիան հիմնական երկիրն է, որտեղ խոսում են իտալերեն։ Բացի այդ, իտալերենը խոսում են Վատիկանում, Սան Մարինոյում և Շվեյցարիայի և Խորվաթիայի որոշ մասերում։</v>
      </c>
    </row>
    <row r="1477">
      <c r="A1477" s="1" t="s">
        <v>2937</v>
      </c>
      <c r="B1477" s="2" t="s">
        <v>583</v>
      </c>
      <c r="C1477" s="3" t="str">
        <f>IFERROR(__xludf.DUMMYFUNCTION("GOOGLETRANSLATE(A1477,""en"",""hy"")"),"ո՞ւմ համար է խաղում Դեյվիդ Բեքհեմը 2013 թվականին:")</f>
        <v>ո՞ւմ համար է խաղում Դեյվիդ Բեքհեմը 2013 թվականին:</v>
      </c>
      <c r="D1477" s="3" t="str">
        <f>IFERROR(__xludf.DUMMYFUNCTION("GOOGLETRANSLATE(B1477,""en"",""hy"")"),"Դևիդ Բեքհեմը 2013 թվականին հանդես է եկել ՊՍԺ-ում:")</f>
        <v>Դևիդ Բեքհեմը 2013 թվականին հանդես է եկել ՊՍԺ-ում:</v>
      </c>
    </row>
    <row r="1478">
      <c r="A1478" s="1" t="s">
        <v>2938</v>
      </c>
      <c r="B1478" s="2" t="s">
        <v>2939</v>
      </c>
      <c r="C1478" s="3" t="str">
        <f>IFERROR(__xludf.DUMMYFUNCTION("GOOGLETRANSLATE(A1478,""en"",""hy"")"),"ո՞վ է Նիկի Ռիդը խաղում մթնշաղին:")</f>
        <v>ո՞վ է Նիկի Ռիդը խաղում մթնշաղին:</v>
      </c>
      <c r="D1478" s="3" t="str">
        <f>IFERROR(__xludf.DUMMYFUNCTION("GOOGLETRANSLATE(B1478,""en"",""hy"")"),"Նիկի Ռիդը «Մթնշաղ» սերիալում մարմնավորել է Ռոզալի Հեյլին։")</f>
        <v>Նիկի Ռիդը «Մթնշաղ» սերիալում մարմնավորել է Ռոզալի Հեյլին։</v>
      </c>
    </row>
    <row r="1479">
      <c r="A1479" s="1" t="s">
        <v>2940</v>
      </c>
      <c r="B1479" s="2" t="s">
        <v>2941</v>
      </c>
      <c r="C1479" s="3" t="str">
        <f>IFERROR(__xludf.DUMMYFUNCTION("GOOGLETRANSLATE(A1479,""en"",""hy"")"),"ո՞ւմ համար է խաղում Բլեյք Գրիֆինը nba-ում:")</f>
        <v>ո՞ւմ համար է խաղում Բլեյք Գրիֆինը nba-ում:</v>
      </c>
      <c r="D1479" s="3" t="str">
        <f>IFERROR(__xludf.DUMMYFUNCTION("GOOGLETRANSLATE(B1479,""en"",""hy"")"),"Բլեյք Գրիֆինը ներկայումս խաղում է Բրուքլին Նեթսում NBA-ում։")</f>
        <v>Բլեյք Գրիֆինը ներկայումս խաղում է Բրուքլին Նեթսում NBA-ում։</v>
      </c>
    </row>
    <row r="1480">
      <c r="A1480" s="1" t="s">
        <v>2942</v>
      </c>
      <c r="B1480" s="2" t="s">
        <v>2943</v>
      </c>
      <c r="C1480" s="3" t="str">
        <f>IFERROR(__xludf.DUMMYFUNCTION("GOOGLETRANSLATE(A1480,""en"",""hy"")"),"ով է մուլդեր խաղացել x ֆայլերում:")</f>
        <v>ով է մուլդեր խաղացել x ֆայլերում:</v>
      </c>
      <c r="D1480" s="3" t="str">
        <f>IFERROR(__xludf.DUMMYFUNCTION("GOOGLETRANSLATE(B1480,""en"",""hy"")"),"Դեյվիդ Դուխովնի.")</f>
        <v>Դեյվիդ Դուխովնի.</v>
      </c>
    </row>
    <row r="1481">
      <c r="A1481" s="1" t="s">
        <v>2944</v>
      </c>
      <c r="B1481" s="2" t="s">
        <v>2945</v>
      </c>
      <c r="C1481" s="3" t="str">
        <f>IFERROR(__xludf.DUMMYFUNCTION("GOOGLETRANSLATE(A1481,""en"",""hy"")"),"ինչ են Բրիջիթ Մենդլերի ծնողների անունները:")</f>
        <v>ինչ են Բրիջիթ Մենդլերի ծնողների անունները:</v>
      </c>
      <c r="D1481" s="3" t="str">
        <f>IFERROR(__xludf.DUMMYFUNCTION("GOOGLETRANSLATE(B1481,""en"",""hy"")"),"Բրիջիթ Մենդլերի ծնողների անուններն են Հարի Մենդլեր և Լիա Մենդլեր։")</f>
        <v>Բրիջիթ Մենդլերի ծնողների անուններն են Հարի Մենդլեր և Լիա Մենդլեր։</v>
      </c>
    </row>
    <row r="1482">
      <c r="A1482" s="1" t="s">
        <v>2946</v>
      </c>
      <c r="B1482" s="2" t="s">
        <v>2947</v>
      </c>
      <c r="C1482" s="3" t="str">
        <f>IFERROR(__xludf.DUMMYFUNCTION("GOOGLETRANSLATE(A1482,""en"",""hy"")"),"Ինչ զբոսաշրջային վայրեր կան Հյուսթոն Տեխասում:")</f>
        <v>Ինչ զբոսաշրջային վայրեր կան Հյուսթոն Տեխասում:</v>
      </c>
      <c r="D1482" s="3" t="str">
        <f>IFERROR(__xludf.DUMMYFUNCTION("GOOGLETRANSLATE(B1482,""en"",""hy"")"),"Տեխաս նահանգի Հյուսթոնի որոշ հայտնի զբոսաշրջային վայրերն են Հյուսթոնի տիեզերական կենտրոնը, կերպարվեստի թանգարանը, Հյուսթոնի կենդանաբանական այգին, Հյուսթոնի բնական գիտությունների թանգարանը և Բուֆալո Բայու այգին:")</f>
        <v>Տեխաս նահանգի Հյուսթոնի որոշ հայտնի զբոսաշրջային վայրերն են Հյուսթոնի տիեզերական կենտրոնը, կերպարվեստի թանգարանը, Հյուսթոնի կենդանաբանական այգին, Հյուսթոնի բնական գիտությունների թանգարանը և Բուֆալո Բայու այգին:</v>
      </c>
    </row>
    <row r="1483">
      <c r="A1483" s="1" t="s">
        <v>2948</v>
      </c>
      <c r="B1483" s="2" t="s">
        <v>2949</v>
      </c>
      <c r="C1483" s="3" t="str">
        <f>IFERROR(__xludf.DUMMYFUNCTION("GOOGLETRANSLATE(A1483,""en"",""hy"")"),"ովքեր են Մերիլենդի ներկայիս սենատորները:")</f>
        <v>ովքեր են Մերիլենդի ներկայիս սենատորները:</v>
      </c>
      <c r="D1483" s="3" t="str">
        <f>IFERROR(__xludf.DUMMYFUNCTION("GOOGLETRANSLATE(B1483,""en"",""hy"")"),"Մերիլենդի ներկայիս սենատորներն են Քրիս Վան Հոլենը և Բեն Քարդինը:")</f>
        <v>Մերիլենդի ներկայիս սենատորներն են Քրիս Վան Հոլենը և Բեն Քարդինը:</v>
      </c>
    </row>
    <row r="1484">
      <c r="A1484" s="1" t="s">
        <v>2950</v>
      </c>
      <c r="B1484" s="2" t="s">
        <v>2951</v>
      </c>
      <c r="C1484" s="3" t="str">
        <f>IFERROR(__xludf.DUMMYFUNCTION("GOOGLETRANSLATE(A1484,""en"",""hy"")"),"որտեղ է գտնվում Կանադայի մայրաքաղաքը քարտեզի վրա.")</f>
        <v>որտեղ է գտնվում Կանադայի մայրաքաղաքը քարտեզի վրա.</v>
      </c>
      <c r="D1484" s="3" t="str">
        <f>IFERROR(__xludf.DUMMYFUNCTION("GOOGLETRANSLATE(B1484,""en"",""hy"")"),"Օտտավա.")</f>
        <v>Օտտավա.</v>
      </c>
    </row>
    <row r="1485">
      <c r="A1485" s="1" t="s">
        <v>2952</v>
      </c>
      <c r="B1485" s="2" t="s">
        <v>2953</v>
      </c>
      <c r="C1485" s="3" t="str">
        <f>IFERROR(__xludf.DUMMYFUNCTION("GOOGLETRANSLATE(A1485,""en"",""hy"")"),"քանի՞ ժամն է շաբաթ օրը փակվում Barnes and Noble-ը:")</f>
        <v>քանի՞ ժամն է շաբաթ օրը փակվում Barnes and Noble-ը:</v>
      </c>
      <c r="D1485" s="3" t="str">
        <f>IFERROR(__xludf.DUMMYFUNCTION("GOOGLETRANSLATE(B1485,""en"",""hy"")"),"Barnes and Noble-ը սովորաբար փակվում է շաբաթ օրերին երեկոյան ժամը 22-ին:")</f>
        <v>Barnes and Noble-ը սովորաբար փակվում է շաբաթ օրերին երեկոյան ժամը 22-ին:</v>
      </c>
    </row>
    <row r="1486">
      <c r="A1486" s="1" t="s">
        <v>2954</v>
      </c>
      <c r="B1486" s="2" t="s">
        <v>2955</v>
      </c>
      <c r="C1486" s="3" t="str">
        <f>IFERROR(__xludf.DUMMYFUNCTION("GOOGLETRANSLATE(A1486,""en"",""hy"")"),"ինչպիսի՞ նկարներ է արել Ֆրիդա Կալոն:")</f>
        <v>ինչպիսի՞ նկարներ է արել Ֆրիդա Կալոն:</v>
      </c>
      <c r="D1486" s="3" t="str">
        <f>IFERROR(__xludf.DUMMYFUNCTION("GOOGLETRANSLATE(B1486,""en"",""hy"")"),"Ֆրիդա Կալոյի նկարները հաճախ ինքնադիմանկարներ էին և սյուրռեալիզմ, սիմվոլիզմ և ցավի ու ինքնության արտահայտություններ։")</f>
        <v>Ֆրիդա Կալոյի նկարները հաճախ ինքնադիմանկարներ էին և սյուրռեալիզմ, սիմվոլիզմ և ցավի ու ինքնության արտահայտություններ։</v>
      </c>
    </row>
    <row r="1487">
      <c r="A1487" s="1" t="s">
        <v>2956</v>
      </c>
      <c r="B1487" s="2" t="s">
        <v>2957</v>
      </c>
      <c r="C1487" s="3" t="str">
        <f>IFERROR(__xludf.DUMMYFUNCTION("GOOGLETRANSLATE(A1487,""en"",""hy"")"),"ինչո՞վ էր հայտնի Ֆրանցիսկո Վասկես դե Կորոնադոն:")</f>
        <v>ինչո՞վ էր հայտնի Ֆրանցիսկո Վասկես դե Կորոնադոն:</v>
      </c>
      <c r="D1487" s="3" t="str">
        <f>IFERROR(__xludf.DUMMYFUNCTION("GOOGLETRANSLATE(B1487,""en"",""hy"")"),"Ֆրանցիսկո Վասկես դե Կորոնադոն հայտնի էր նրանով, որ ղեկավարում էր արշավախումբը, որը փնտրում էր ոսկու յոթ քաղաքները Միացյալ Նահանգների հարավ-արևմուտքում:")</f>
        <v>Ֆրանցիսկո Վասկես դե Կորոնադոն հայտնի էր նրանով, որ ղեկավարում էր արշավախումբը, որը փնտրում էր ոսկու յոթ քաղաքները Միացյալ Նահանգների հարավ-արևմուտքում:</v>
      </c>
    </row>
    <row r="1488">
      <c r="A1488" s="1" t="s">
        <v>2958</v>
      </c>
      <c r="B1488" s="2" t="s">
        <v>2959</v>
      </c>
      <c r="C1488" s="3" t="str">
        <f>IFERROR(__xludf.DUMMYFUNCTION("GOOGLETRANSLATE(A1488,""en"",""hy"")"),"Կառավարության ո՞ր ձևն է օգտագործում Հունաստանը.")</f>
        <v>Կառավարության ո՞ր ձևն է օգտագործում Հունաստանը.</v>
      </c>
      <c r="D1488" s="3" t="str">
        <f>IFERROR(__xludf.DUMMYFUNCTION("GOOGLETRANSLATE(B1488,""en"",""hy"")"),"Հունաստանն օգտագործում է խորհրդարանական հանրապետության կառավարման ձևը:")</f>
        <v>Հունաստանն օգտագործում է խորհրդարանական հանրապետության կառավարման ձևը:</v>
      </c>
    </row>
    <row r="1489">
      <c r="A1489" s="1" t="s">
        <v>2960</v>
      </c>
      <c r="B1489" s="2" t="s">
        <v>2961</v>
      </c>
      <c r="C1489" s="3" t="str">
        <f>IFERROR(__xludf.DUMMYFUNCTION("GOOGLETRANSLATE(A1489,""en"",""hy"")"),"որտեղից է սկսվել Կոլումբիա գետը:")</f>
        <v>որտեղից է սկսվել Կոլումբիա գետը:</v>
      </c>
      <c r="D1489" s="3" t="str">
        <f>IFERROR(__xludf.DUMMYFUNCTION("GOOGLETRANSLATE(B1489,""en"",""hy"")"),"Կոլումբիա գետը սկիզբ է առնում Կանադայի Բրիտանական Կոլումբիայում:")</f>
        <v>Կոլումբիա գետը սկիզբ է առնում Կանադայի Բրիտանական Կոլումբիայում:</v>
      </c>
    </row>
    <row r="1490">
      <c r="A1490" s="1" t="s">
        <v>2962</v>
      </c>
      <c r="B1490" s="2" t="s">
        <v>663</v>
      </c>
      <c r="C1490" s="3" t="str">
        <f>IFERROR(__xludf.DUMMYFUNCTION("GOOGLETRANSLATE(A1490,""en"",""hy"")"),"ով է եղել ընտանիքի տղայի Մեգի բնօրինակ ձայնը:")</f>
        <v>ով է եղել ընտանիքի տղայի Մեգի բնօրինակ ձայնը:</v>
      </c>
      <c r="D1490" s="3" t="str">
        <f>IFERROR(__xludf.DUMMYFUNCTION("GOOGLETRANSLATE(B1490,""en"",""hy"")"),"Լեյսի Չաբերտ.")</f>
        <v>Լեյսի Չաբերտ.</v>
      </c>
    </row>
    <row r="1491">
      <c r="A1491" s="1" t="s">
        <v>2963</v>
      </c>
      <c r="B1491" s="2" t="s">
        <v>2964</v>
      </c>
      <c r="C1491" s="3" t="str">
        <f>IFERROR(__xludf.DUMMYFUNCTION("GOOGLETRANSLATE(A1491,""en"",""hy"")"),"ինչ ֆիլմերում է նկարահանվել Մայքլ Քլարկ Դանքանը")</f>
        <v>ինչ ֆիլմերում է նկարահանվել Մայքլ Քլարկ Դանքանը</v>
      </c>
      <c r="D1491" s="3" t="str">
        <f>IFERROR(__xludf.DUMMYFUNCTION("GOOGLETRANSLATE(B1491,""en"",""hy"")"),"Մի քանի ֆիլմեր, որոնցում նկարահանվել է Մայքլ Քլարկ Դունկանը, ներառում են «Կանաչ մղոն», «Արմագեդոն», «Կտրիճ» և «Կարիճ արքան»:")</f>
        <v>Մի քանի ֆիլմեր, որոնցում նկարահանվել է Մայքլ Քլարկ Դունկանը, ներառում են «Կանաչ մղոն», «Արմագեդոն», «Կտրիճ» և «Կարիճ արքան»:</v>
      </c>
    </row>
    <row r="1492">
      <c r="A1492" s="1" t="s">
        <v>2965</v>
      </c>
      <c r="B1492" s="2" t="s">
        <v>2966</v>
      </c>
      <c r="C1492" s="3" t="str">
        <f>IFERROR(__xludf.DUMMYFUNCTION("GOOGLETRANSLATE(A1492,""en"",""hy"")"),"ով է ամուսնացել Մեթ Բարնսը:")</f>
        <v>ով է ամուսնացել Մեթ Բարնսը:</v>
      </c>
      <c r="D1492" s="3" t="str">
        <f>IFERROR(__xludf.DUMMYFUNCTION("GOOGLETRANSLATE(B1492,""en"",""hy"")"),"Մեթ Բարնսն ամուսնացավ Գլորիա Գովանի հետ։")</f>
        <v>Մեթ Բարնսն ամուսնացավ Գլորիա Գովանի հետ։</v>
      </c>
    </row>
    <row r="1493">
      <c r="A1493" s="1" t="s">
        <v>2967</v>
      </c>
      <c r="B1493" s="2" t="s">
        <v>2968</v>
      </c>
      <c r="C1493" s="3" t="str">
        <f>IFERROR(__xludf.DUMMYFUNCTION("GOOGLETRANSLATE(A1493,""en"",""hy"")"),"ով 2011 թվականին արժանացավ խաղաղության Նոբելյան մրցանակի ֆիզիկայի համար:")</f>
        <v>ով 2011 թվականին արժանացավ խաղաղության Նոբելյան մրցանակի ֆիզիկայի համար:</v>
      </c>
      <c r="D1493" s="3" t="str">
        <f>IFERROR(__xludf.DUMMYFUNCTION("GOOGLETRANSLATE(B1493,""en"",""hy"")"),"2011 թվականին ոչ ոք ֆիզիկայի բնագավառում Խաղաղության Նոբելյան մրցանակի չի արժանացել։ Խաղաղության Նոբելյան մրցանակը շնորհվում է ոչ թե գիտական ​​հայտնագործությունների, այլ խաղաղության խթանման գործում ձեռքբերումների համար:")</f>
        <v>2011 թվականին ոչ ոք ֆիզիկայի բնագավառում Խաղաղության Նոբելյան մրցանակի չի արժանացել։ Խաղաղության Նոբելյան մրցանակը շնորհվում է ոչ թե գիտական ​​հայտնագործությունների, այլ խաղաղության խթանման գործում ձեռքբերումների համար:</v>
      </c>
    </row>
    <row r="1494">
      <c r="A1494" s="1" t="s">
        <v>2969</v>
      </c>
      <c r="B1494" s="2" t="s">
        <v>2970</v>
      </c>
      <c r="C1494" s="3" t="str">
        <f>IFERROR(__xludf.DUMMYFUNCTION("GOOGLETRANSLATE(A1494,""en"",""hy"")"),"ինչ է jessica ennis սպորտը:")</f>
        <v>ինչ է jessica ennis սպորտը:</v>
      </c>
      <c r="D1494" s="3" t="str">
        <f>IFERROR(__xludf.DUMMYFUNCTION("GOOGLETRANSLATE(B1494,""en"",""hy"")"),"Ջեսիկա Էնիսը թոշակի անցած բրիտանացի թեթեւ աթլետիկայի մարզուհի է:")</f>
        <v>Ջեսիկա Էնիսը թոշակի անցած բրիտանացի թեթեւ աթլետիկայի մարզուհի է:</v>
      </c>
    </row>
    <row r="1495">
      <c r="A1495" s="1" t="s">
        <v>2971</v>
      </c>
      <c r="B1495" s="2" t="s">
        <v>2972</v>
      </c>
      <c r="C1495" s="3" t="str">
        <f>IFERROR(__xludf.DUMMYFUNCTION("GOOGLETRANSLATE(A1495,""en"",""hy"")"),"որտեղ է Թաիթի Բորա Բորան:")</f>
        <v>որտեղ է Թաիթի Բորա Բորան:</v>
      </c>
      <c r="D1495" s="3" t="str">
        <f>IFERROR(__xludf.DUMMYFUNCTION("GOOGLETRANSLATE(B1495,""en"",""hy"")"),"Թաիթին գտնվում է Ֆրանսիական Պոլինեզիայում, որը արշիպելագ է Խաղաղ օվկիանոսի հարավում։ Բորա Բորան Ֆրանսիական Պոլինեզիայի կղզիներից մեկն է, որը գտնվում է Թաիթիից հյուսիս-արևմուտք:")</f>
        <v>Թաիթին գտնվում է Ֆրանսիական Պոլինեզիայում, որը արշիպելագ է Խաղաղ օվկիանոսի հարավում։ Բորա Բորան Ֆրանսիական Պոլինեզիայի կղզիներից մեկն է, որը գտնվում է Թաիթիից հյուսիս-արևմուտք:</v>
      </c>
    </row>
    <row r="1496">
      <c r="A1496" s="1" t="s">
        <v>2973</v>
      </c>
      <c r="B1496" s="2" t="s">
        <v>2974</v>
      </c>
      <c r="C1496" s="3" t="str">
        <f>IFERROR(__xludf.DUMMYFUNCTION("GOOGLETRANSLATE(A1496,""en"",""hy"")"),"ինչ են բոլոր Մայքլ Ջեքսոնի ալբոմները:")</f>
        <v>ինչ են բոլոր Մայքլ Ջեքսոնի ալբոմները:</v>
      </c>
      <c r="D1496" s="3" t="str">
        <f>IFERROR(__xludf.DUMMYFUNCTION("GOOGLETRANSLATE(B1496,""en"",""hy"")"),"Մայքլ Ջեքսոնը թողարկել է ընդհանուր առմամբ տասը ստուդիական ալբոմ՝ «Got to Be There» (1972), «Ben» (1972), «Music &amp; Me» (1973), «Forever, Michael» (1975), «Off the Wall» (1979), «Թրիլլեր» (1982), «Վատ» (1987), «Վտանգավոր» (1991), «ՊԱՏՄՈՒԹՅՈՒՆ. անցյալ, ներկա"&amp;" և ապագա, գիրք I» (1995), «Անհաղթ» (2001):")</f>
        <v>Մայքլ Ջեքսոնը թողարկել է ընդհանուր առմամբ տասը ստուդիական ալբոմ՝ «Got to Be There» (1972), «Ben» (1972), «Music &amp; Me» (1973), «Forever, Michael» (1975), «Off the Wall» (1979), «Թրիլլեր» (1982), «Վատ» (1987), «Վտանգավոր» (1991), «ՊԱՏՄՈՒԹՅՈՒՆ. անցյալ, ներկա և ապագա, գիրք I» (1995), «Անհաղթ» (2001):</v>
      </c>
    </row>
    <row r="1497">
      <c r="A1497" s="1" t="s">
        <v>2975</v>
      </c>
      <c r="B1497" s="2" t="s">
        <v>2976</v>
      </c>
      <c r="C1497" s="3" t="str">
        <f>IFERROR(__xludf.DUMMYFUNCTION("GOOGLETRANSLATE(A1497,""en"",""hy"")"),"որտեղ էր ապրում Ջո Նամաթը")</f>
        <v>որտեղ էր ապրում Ջո Նամաթը</v>
      </c>
      <c r="D1497" s="3" t="str">
        <f>IFERROR(__xludf.DUMMYFUNCTION("GOOGLETRANSLATE(B1497,""en"",""hy"")"),"Ջո Նամաթը իր կյանքի ընթացքում հիմնականում ապրել է տարբեր վայրերում, այդ թվում՝ Բիվեր Ֆոլսում, Փենսիլվանիա, իսկ ավելի ուշ՝ Նյու Յորքում՝ Նյու Յորք Ջեթսում իր NFL կարիերայի ընթացքում:")</f>
        <v>Ջո Նամաթը իր կյանքի ընթացքում հիմնականում ապրել է տարբեր վայրերում, այդ թվում՝ Բիվեր Ֆոլսում, Փենսիլվանիա, իսկ ավելի ուշ՝ Նյու Յորքում՝ Նյու Յորք Ջեթսում իր NFL կարիերայի ընթացքում:</v>
      </c>
    </row>
    <row r="1498">
      <c r="A1498" s="1" t="s">
        <v>2977</v>
      </c>
      <c r="B1498" s="2" t="s">
        <v>2978</v>
      </c>
      <c r="C1498" s="3" t="str">
        <f>IFERROR(__xludf.DUMMYFUNCTION("GOOGLETRANSLATE(A1498,""en"",""hy"")"),"ով է իմ նահանգի սենատորը և Մինեսոտայի ներկայացուցիչը:")</f>
        <v>ով է իմ նահանգի սենատորը և Մինեսոտայի ներկայացուցիչը:</v>
      </c>
      <c r="D1498" s="3" t="str">
        <f>IFERROR(__xludf.DUMMYFUNCTION("GOOGLETRANSLATE(B1498,""en"",""hy"")"),"Ես AI-ի լեզվական մոդել եմ և իրական ժամանակի տվյալների հասանելիություն չունեմ: Ձեր նահանգի ներկայացուցիչները կարող են տարբեր լինել՝ կախված ձեր կոնկրետ հասցեից: Պարզելու համար, թե ով է ձեր նահանգի սենատորը և ներկայացուցիչը Մինեսոտայում, կարող եք այցելել Մին"&amp;"եսոտայի օրենսդիր մարմնի կայքը կամ դիմել ձեր տեղական ընտրական գրասենյակ:")</f>
        <v>Ես AI-ի լեզվական մոդել եմ և իրական ժամանակի տվյալների հասանելիություն չունեմ: Ձեր նահանգի ներկայացուցիչները կարող են տարբեր լինել՝ կախված ձեր կոնկրետ հասցեից: Պարզելու համար, թե ով է ձեր նահանգի սենատորը և ներկայացուցիչը Մինեսոտայում, կարող եք այցելել Մինեսոտայի օրենսդիր մարմնի կայքը կամ դիմել ձեր տեղական ընտրական գրասենյակ:</v>
      </c>
    </row>
    <row r="1499">
      <c r="A1499" s="1" t="s">
        <v>2979</v>
      </c>
      <c r="B1499" s="2" t="s">
        <v>2980</v>
      </c>
      <c r="C1499" s="3" t="str">
        <f>IFERROR(__xludf.DUMMYFUNCTION("GOOGLETRANSLATE(A1499,""en"",""hy"")"),"ո՞ր ֆիլմերում է նկարահանվել Քրիստեն Ստյուարտը")</f>
        <v>ո՞ր ֆիլմերում է նկարահանվել Քրիստեն Ստյուարտը</v>
      </c>
      <c r="D1499" s="3" t="str">
        <f>IFERROR(__xludf.DUMMYFUNCTION("GOOGLETRANSLATE(B1499,""en"",""hy"")"),"Որոշ ֆիլմեր, որոնցում նկարահանվել է Քրիստեն Ստյուարտը, ներառում են «Մթնշաղ», «Սպիտակաձյունիկը և որսորդը», «Խուճապի սենյակ» և «Չարլիի հրեշտակները»:")</f>
        <v>Որոշ ֆիլմեր, որոնցում նկարահանվել է Քրիստեն Ստյուարտը, ներառում են «Մթնշաղ», «Սպիտակաձյունիկը և որսորդը», «Խուճապի սենյակ» և «Չարլիի հրեշտակները»:</v>
      </c>
    </row>
    <row r="1500">
      <c r="A1500" s="1" t="s">
        <v>2981</v>
      </c>
      <c r="B1500" s="2" t="s">
        <v>2982</v>
      </c>
      <c r="C1500" s="3" t="str">
        <f>IFERROR(__xludf.DUMMYFUNCTION("GOOGLETRANSLATE(A1500,""en"",""hy"")"),"որտեղ են խաղում samsung առյուծները")</f>
        <v>որտեղ են խաղում samsung առյուծները</v>
      </c>
      <c r="D1500" s="3" t="str">
        <f>IFERROR(__xludf.DUMMYFUNCTION("GOOGLETRANSLATE(B1500,""en"",""hy"")"),"Samsung Lions-ը խաղում է Daegu Samsung Lions Park-ում Հարավային Կորեայի Դաեգու քաղաքում:")</f>
        <v>Samsung Lions-ը խաղում է Daegu Samsung Lions Park-ում Հարավային Կորեայի Դաեգու քաղաքում:</v>
      </c>
    </row>
    <row r="1501">
      <c r="A1501" s="1" t="s">
        <v>2983</v>
      </c>
      <c r="B1501" s="2" t="s">
        <v>2984</v>
      </c>
      <c r="C1501" s="3" t="str">
        <f>IFERROR(__xludf.DUMMYFUNCTION("GOOGLETRANSLATE(A1501,""en"",""hy"")"),"որտե՞ղ է Լին հանձնվել քաղաքացիական պատերազմին վերջ տալու դրամաշնորհին:")</f>
        <v>որտե՞ղ է Լին հանձնվել քաղաքացիական պատերազմին վերջ տալու դրամաշնորհին:</v>
      </c>
      <c r="D1501" s="3" t="str">
        <f>IFERROR(__xludf.DUMMYFUNCTION("GOOGLETRANSLATE(B1501,""en"",""hy"")"),"Լին հանձնվեց Գրանթին Ապոմատոքսի դատարանում՝ քաղաքացիական պատերազմին վերջ տալու համար:")</f>
        <v>Լին հանձնվեց Գրանթին Ապոմատոքսի դատարանում՝ քաղաքացիական պատերազմին վերջ տալու համար:</v>
      </c>
    </row>
    <row r="1502">
      <c r="A1502" s="1" t="s">
        <v>2985</v>
      </c>
      <c r="B1502" s="2" t="s">
        <v>2986</v>
      </c>
      <c r="C1502" s="3" t="str">
        <f>IFERROR(__xludf.DUMMYFUNCTION("GOOGLETRANSLATE(A1502,""en"",""hy"")"),"ինչ է անում Էննի Լեյբովիցը")</f>
        <v>ինչ է անում Էննի Լեյբովիցը</v>
      </c>
      <c r="D1502" s="3" t="str">
        <f>IFERROR(__xludf.DUMMYFUNCTION("GOOGLETRANSLATE(B1502,""en"",""hy"")"),"Էննի Լեյբովիցը լուսանկարիչ է։")</f>
        <v>Էննի Լեյբովիցը լուսանկարիչ է։</v>
      </c>
    </row>
    <row r="1503">
      <c r="A1503" s="1" t="s">
        <v>2987</v>
      </c>
      <c r="B1503" s="2" t="s">
        <v>2988</v>
      </c>
      <c r="C1503" s="3" t="str">
        <f>IFERROR(__xludf.DUMMYFUNCTION("GOOGLETRANSLATE(A1503,""en"",""hy"")"),"Ո՞ր թիմերում է Դերեկ Ֆիշերը խաղացել nba-ում:")</f>
        <v>Ո՞ր թիմերում է Դերեկ Ֆիշերը խաղացել nba-ում:</v>
      </c>
      <c r="D1503" s="3" t="str">
        <f>IFERROR(__xludf.DUMMYFUNCTION("GOOGLETRANSLATE(B1503,""en"",""hy"")"),"Դերեկ Ֆիշերը NBA-ում խաղացել է Լոս Անջելես Լեյքերսում, Գոլդեն Սթեյթ Ուորիորսում, Յուտա Ջազում, Օկլահոմա Սիթի Թանդերում և Դալլաս Մավերիկսում։")</f>
        <v>Դերեկ Ֆիշերը NBA-ում խաղացել է Լոս Անջելես Լեյքերսում, Գոլդեն Սթեյթ Ուորիորսում, Յուտա Ջազում, Օկլահոմա Սիթի Թանդերում և Դալլաս Մավերիկսում։</v>
      </c>
    </row>
    <row r="1504">
      <c r="A1504" s="1" t="s">
        <v>2989</v>
      </c>
      <c r="B1504" s="2" t="s">
        <v>2990</v>
      </c>
      <c r="C1504" s="3" t="str">
        <f>IFERROR(__xludf.DUMMYFUNCTION("GOOGLETRANSLATE(A1504,""en"",""hy"")"),"ո՞ւմ համար է խաղացել Մայք Թոմլինը")</f>
        <v>ո՞ւմ համար է խաղացել Մայք Թոմլինը</v>
      </c>
      <c r="D1504" s="3" t="str">
        <f>IFERROR(__xludf.DUMMYFUNCTION("GOOGLETRANSLATE(B1504,""en"",""hy"")"),"Մայք Թոմլինը խաղում էր որպես լայն ընդունիչ Ուիլյամ և Մերի քոլեջի համար:")</f>
        <v>Մայք Թոմլինը խաղում էր որպես լայն ընդունիչ Ուիլյամ և Մերի քոլեջի համար:</v>
      </c>
    </row>
    <row r="1505">
      <c r="A1505" s="1" t="s">
        <v>2991</v>
      </c>
      <c r="B1505" s="2" t="s">
        <v>2992</v>
      </c>
      <c r="C1505" s="3" t="str">
        <f>IFERROR(__xludf.DUMMYFUNCTION("GOOGLETRANSLATE(A1505,""en"",""hy"")"),"ինչ արժույթ է օգտագործում Կուբան:")</f>
        <v>ինչ արժույթ է օգտագործում Կուբան:</v>
      </c>
      <c r="D1505" s="3" t="str">
        <f>IFERROR(__xludf.DUMMYFUNCTION("GOOGLETRANSLATE(B1505,""en"",""hy"")"),"Կուբան որպես արժույթ օգտագործում է Կուբայական պեսոն (CUP):")</f>
        <v>Կուբան որպես արժույթ օգտագործում է Կուբայական պեսոն (CUP):</v>
      </c>
    </row>
    <row r="1506">
      <c r="A1506" s="1" t="s">
        <v>2993</v>
      </c>
      <c r="B1506" s="2" t="s">
        <v>2994</v>
      </c>
      <c r="C1506" s="3" t="str">
        <f>IFERROR(__xludf.DUMMYFUNCTION("GOOGLETRANSLATE(A1506,""en"",""hy"")"),"ովքե՞ր են Բեն Ռոթլիսբերգերի ծնողները:")</f>
        <v>ովքե՞ր են Բեն Ռոթլիսբերգերի ծնողները:</v>
      </c>
      <c r="D1506" s="3" t="str">
        <f>IFERROR(__xludf.DUMMYFUNCTION("GOOGLETRANSLATE(B1506,""en"",""hy"")"),"Քեն և Բրենդա Ռեթլիսբերգեր.")</f>
        <v>Քեն և Բրենդա Ռեթլիսբերգեր.</v>
      </c>
    </row>
    <row r="1507">
      <c r="A1507" s="1" t="s">
        <v>2995</v>
      </c>
      <c r="B1507" s="2" t="s">
        <v>2996</v>
      </c>
      <c r="C1507" s="3" t="str">
        <f>IFERROR(__xludf.DUMMYFUNCTION("GOOGLETRANSLATE(A1507,""en"",""hy"")"),"ո՞ր ֆիլմերում է նկարահանվել Ռոբերտ Պատինսոնը:")</f>
        <v>ո՞ր ֆիլմերում է նկարահանվել Ռոբերտ Պատինսոնը:</v>
      </c>
      <c r="D1507" s="3" t="str">
        <f>IFERROR(__xludf.DUMMYFUNCTION("GOOGLETRANSLATE(B1507,""en"",""hy"")"),"«Մթնշաղի սագա», «Հարի Փոթերը և կրակի գավաթը», «Լավ ժամանակ», «Փարոսը» և այլն:")</f>
        <v>«Մթնշաղի սագա», «Հարի Փոթերը և կրակի գավաթը», «Լավ ժամանակ», «Փարոսը» և այլն:</v>
      </c>
    </row>
    <row r="1508">
      <c r="A1508" s="1" t="s">
        <v>2997</v>
      </c>
      <c r="B1508" s="2" t="s">
        <v>2998</v>
      </c>
      <c r="C1508" s="3" t="str">
        <f>IFERROR(__xludf.DUMMYFUNCTION("GOOGLETRANSLATE(A1508,""en"",""hy"")"),"ինչպես են կոչվում զրադաշտական ​​սուրբ գրությունները:")</f>
        <v>ինչպես են կոչվում զրադաշտական ​​սուրբ գրությունները:</v>
      </c>
      <c r="D1508" s="3" t="str">
        <f>IFERROR(__xludf.DUMMYFUNCTION("GOOGLETRANSLATE(B1508,""en"",""hy"")"),"Զրադաշտական ​​սուրբ գրությունները կոչվում են Ավեստա։")</f>
        <v>Զրադաշտական ​​սուրբ գրությունները կոչվում են Ավեստա։</v>
      </c>
    </row>
    <row r="1509">
      <c r="A1509" s="1" t="s">
        <v>2999</v>
      </c>
      <c r="B1509" s="2" t="s">
        <v>3000</v>
      </c>
      <c r="C1509" s="3" t="str">
        <f>IFERROR(__xludf.DUMMYFUNCTION("GOOGLETRANSLATE(A1509,""en"",""hy"")"),"Ո՞ր քաղաքական կուսակցությունից է Բարաք Օբաման")</f>
        <v>Ո՞ր քաղաքական կուսակցությունից է Բարաք Օբաման</v>
      </c>
      <c r="D1509" s="3" t="str">
        <f>IFERROR(__xludf.DUMMYFUNCTION("GOOGLETRANSLATE(B1509,""en"",""hy"")"),"Բարաք Օբաման Դեմոկրատական ​​կուսակցությունից է։")</f>
        <v>Բարաք Օբաման Դեմոկրատական ​​կուսակցությունից է։</v>
      </c>
    </row>
    <row r="1510">
      <c r="A1510" s="1" t="s">
        <v>3001</v>
      </c>
      <c r="B1510" s="2" t="s">
        <v>3002</v>
      </c>
      <c r="C1510" s="3" t="str">
        <f>IFERROR(__xludf.DUMMYFUNCTION("GOOGLETRANSLATE(A1510,""en"",""hy"")"),"ի՞նչ կազմակերպություն է ղեկավարել Մարտին Լյութեր Քինգը:")</f>
        <v>ի՞նչ կազմակերպություն է ղեկավարել Մարտին Լյութեր Քինգը:</v>
      </c>
      <c r="D1510" s="3" t="str">
        <f>IFERROR(__xludf.DUMMYFUNCTION("GOOGLETRANSLATE(B1510,""en"",""hy"")"),"Մարտին Լյութեր Քինգը ղեկավարել է Հարավային քրիստոնեական առաջնորդության համաժողովը (SCLC):")</f>
        <v>Մարտին Լյութեր Քինգը ղեկավարել է Հարավային քրիստոնեական առաջնորդության համաժողովը (SCLC):</v>
      </c>
    </row>
    <row r="1511">
      <c r="A1511" s="1" t="s">
        <v>3003</v>
      </c>
      <c r="B1511" s="2" t="s">
        <v>3004</v>
      </c>
      <c r="C1511" s="3" t="str">
        <f>IFERROR(__xludf.DUMMYFUNCTION("GOOGLETRANSLATE(A1511,""en"",""hy"")"),"որտեղի՞ց է առաջացել նազի անունը:")</f>
        <v>որտեղի՞ց է առաջացել նազի անունը:</v>
      </c>
      <c r="D1511" s="3" t="str">
        <f>IFERROR(__xludf.DUMMYFUNCTION("GOOGLETRANSLATE(B1511,""en"",""hy"")"),"«Նացիստ» անվանումը առաջացել է «Nationalsozialist» բառի գերմանական կրճատ արտասանությունից, որը նշանակում է նացիոնալ-սոցիալիստ:")</f>
        <v>«Նացիստ» անվանումը առաջացել է «Nationalsozialist» բառի գերմանական կրճատ արտասանությունից, որը նշանակում է նացիոնալ-սոցիալիստ:</v>
      </c>
    </row>
    <row r="1512">
      <c r="A1512" s="1" t="s">
        <v>3005</v>
      </c>
      <c r="B1512" s="2" t="s">
        <v>3006</v>
      </c>
      <c r="C1512" s="3" t="str">
        <f>IFERROR(__xludf.DUMMYFUNCTION("GOOGLETRANSLATE(A1512,""en"",""hy"")"),"ինչով էր հայտնի Արթուր Կոնան Դոյլը.")</f>
        <v>ինչով էր հայտնի Արթուր Կոնան Դոյլը.</v>
      </c>
      <c r="D1512" s="3" t="str">
        <f>IFERROR(__xludf.DUMMYFUNCTION("GOOGLETRANSLATE(B1512,""en"",""hy"")"),"Արթուր Կոնան Դոյլը հայտնի էր Շերլոկ Հոլմսի կերպարը ստեղծելով։")</f>
        <v>Արթուր Կոնան Դոյլը հայտնի էր Շերլոկ Հոլմսի կերպարը ստեղծելով։</v>
      </c>
    </row>
    <row r="1513">
      <c r="A1513" s="1" t="s">
        <v>3007</v>
      </c>
      <c r="B1513" s="2" t="s">
        <v>3008</v>
      </c>
      <c r="C1513" s="3" t="str">
        <f>IFERROR(__xludf.DUMMYFUNCTION("GOOGLETRANSLATE(A1513,""en"",""hy"")"),"ո՞ր տարին է սկսել իր կարիերան Մայքլ Ջորդանը:")</f>
        <v>ո՞ր տարին է սկսել իր կարիերան Մայքլ Ջորդանը:</v>
      </c>
      <c r="D1513" s="3" t="str">
        <f>IFERROR(__xludf.DUMMYFUNCTION("GOOGLETRANSLATE(B1513,""en"",""hy"")"),"Մայքլ Ջորդանը կարիերան սկսել է 1984 թվականին։")</f>
        <v>Մայքլ Ջորդանը կարիերան սկսել է 1984 թվականին։</v>
      </c>
    </row>
    <row r="1514">
      <c r="A1514" s="1" t="s">
        <v>3009</v>
      </c>
      <c r="B1514" s="2" t="s">
        <v>3010</v>
      </c>
      <c r="C1514" s="3" t="str">
        <f>IFERROR(__xludf.DUMMYFUNCTION("GOOGLETRANSLATE(A1514,""en"",""hy"")"),"ինչ արժույթ պետք է տանել Թաիլանդ:")</f>
        <v>ինչ արժույթ պետք է տանել Թաիլանդ:</v>
      </c>
      <c r="D1514" s="3" t="str">
        <f>IFERROR(__xludf.DUMMYFUNCTION("GOOGLETRANSLATE(B1514,""en"",""hy"")"),"Թայերեն Բահ.")</f>
        <v>Թայերեն Բահ.</v>
      </c>
    </row>
    <row r="1515">
      <c r="A1515" s="1" t="s">
        <v>3011</v>
      </c>
      <c r="B1515" s="2" t="s">
        <v>3012</v>
      </c>
      <c r="C1515" s="3" t="str">
        <f>IFERROR(__xludf.DUMMYFUNCTION("GOOGLETRANSLATE(A1515,""en"",""hy"")"),"ինչ կիթառ է նվագում Ջեմեյն Կլեմենտը:")</f>
        <v>ինչ կիթառ է նվագում Ջեմեյն Կլեմենտը:</v>
      </c>
      <c r="D1515" s="3" t="str">
        <f>IFERROR(__xludf.DUMMYFUNCTION("GOOGLETRANSLATE(B1515,""en"",""hy"")"),"Ջեմեյն Կլեմենտը ակուստիկ կիթառ է նվագում։")</f>
        <v>Ջեմեյն Կլեմենտը ակուստիկ կիթառ է նվագում։</v>
      </c>
    </row>
    <row r="1516">
      <c r="A1516" s="1" t="s">
        <v>3013</v>
      </c>
      <c r="B1516" s="2" t="s">
        <v>3014</v>
      </c>
      <c r="C1516" s="3" t="str">
        <f>IFERROR(__xludf.DUMMYFUNCTION("GOOGLETRANSLATE(A1516,""en"",""hy"")"),"որտեղ է գտնվում Greyhound կայանը Վաշինգտոնում:")</f>
        <v>որտեղ է գտնվում Greyhound կայանը Վաշինգտոնում:</v>
      </c>
      <c r="D1516" s="3" t="str">
        <f>IFERROR(__xludf.DUMMYFUNCTION("GOOGLETRANSLATE(B1516,""en"",""hy"")"),"The Greyhound կայարանը Վաշինգտոնում գտնվում է 1005 1st St NE հասցեում:")</f>
        <v>The Greyhound կայարանը Վաշինգտոնում գտնվում է 1005 1st St NE հասցեում:</v>
      </c>
    </row>
    <row r="1517">
      <c r="A1517" s="1" t="s">
        <v>3015</v>
      </c>
      <c r="B1517" s="2" t="s">
        <v>3016</v>
      </c>
      <c r="C1517" s="3" t="str">
        <f>IFERROR(__xludf.DUMMYFUNCTION("GOOGLETRANSLATE(A1517,""en"",""hy"")"),"որտեղ է ծնվել Լենս Արմսթրոնգը և որ թվականին:")</f>
        <v>որտեղ է ծնվել Լենս Արմսթրոնգը և որ թվականին:</v>
      </c>
      <c r="D1517" s="3" t="str">
        <f>IFERROR(__xludf.DUMMYFUNCTION("GOOGLETRANSLATE(B1517,""en"",""hy"")"),"Լենս Արմսթրոնգը ծնվել է Տեխաս նահանգի Պլանո քաղաքում 1971 թվականին։")</f>
        <v>Լենս Արմսթրոնգը ծնվել է Տեխաս նահանգի Պլանո քաղաքում 1971 թվականին։</v>
      </c>
    </row>
    <row r="1518">
      <c r="A1518" s="1" t="s">
        <v>3017</v>
      </c>
      <c r="B1518" s="2" t="s">
        <v>3018</v>
      </c>
      <c r="C1518" s="3" t="str">
        <f>IFERROR(__xludf.DUMMYFUNCTION("GOOGLETRANSLATE(A1518,""en"",""hy"")"),"ինչ փողեր են օգտագործվում Իսրայելում.")</f>
        <v>ինչ փողեր են օգտագործվում Իսրայելում.</v>
      </c>
      <c r="D1518" s="3" t="str">
        <f>IFERROR(__xludf.DUMMYFUNCTION("GOOGLETRANSLATE(B1518,""en"",""hy"")"),"Իսրայելում օգտագործվող արժույթը իսրայելական շեքելն է։")</f>
        <v>Իսրայելում օգտագործվող արժույթը իսրայելական շեքելն է։</v>
      </c>
    </row>
    <row r="1519">
      <c r="A1519" s="1" t="s">
        <v>3019</v>
      </c>
      <c r="B1519" s="2" t="s">
        <v>3020</v>
      </c>
      <c r="C1519" s="3" t="str">
        <f>IFERROR(__xludf.DUMMYFUNCTION("GOOGLETRANSLATE(A1519,""en"",""hy"")"),"որտեղից է Ջորջ Բուշը")</f>
        <v>որտեղից է Ջորջ Բուշը</v>
      </c>
      <c r="D1519" s="3" t="str">
        <f>IFERROR(__xludf.DUMMYFUNCTION("GOOGLETRANSLATE(B1519,""en"",""hy"")"),"Ջորջ Բուշը Ամերիկայի Միացյալ Նահանգներից է։")</f>
        <v>Ջորջ Բուշը Ամերիկայի Միացյալ Նահանգներից է։</v>
      </c>
    </row>
    <row r="1520">
      <c r="A1520" s="1" t="s">
        <v>3021</v>
      </c>
      <c r="B1520" s="2" t="s">
        <v>3022</v>
      </c>
      <c r="C1520" s="3" t="str">
        <f>IFERROR(__xludf.DUMMYFUNCTION("GOOGLETRANSLATE(A1520,""en"",""hy"")"),"ի՞նչ արեց Ուիլյամը հեղափոխական պատերազմում.")</f>
        <v>ի՞նչ արեց Ուիլյամը հեղափոխական պատերազմում.</v>
      </c>
      <c r="D1520" s="3" t="str">
        <f>IFERROR(__xludf.DUMMYFUNCTION("GOOGLETRANSLATE(B1520,""en"",""hy"")"),"Ուիլյամ Հոուն բրիտանացի գեներալ էր, ով ղեկավարում էր բրիտանական զորքերը Հեղափոխական պատերազմի ժամանակ։")</f>
        <v>Ուիլյամ Հոուն բրիտանացի գեներալ էր, ով ղեկավարում էր բրիտանական զորքերը Հեղափոխական պատերազմի ժամանակ։</v>
      </c>
    </row>
    <row r="1521">
      <c r="A1521" s="1" t="s">
        <v>3023</v>
      </c>
      <c r="B1521" s="2" t="s">
        <v>3024</v>
      </c>
      <c r="C1521" s="3" t="str">
        <f>IFERROR(__xludf.DUMMYFUNCTION("GOOGLETRANSLATE(A1521,""en"",""hy"")"),"ով է Falcons Quarterback 2012?")</f>
        <v>ով է Falcons Quarterback 2012?</v>
      </c>
      <c r="D1521" s="3" t="str">
        <f>IFERROR(__xludf.DUMMYFUNCTION("GOOGLETRANSLATE(B1521,""en"",""hy"")"),"Մեթ Ռայան.")</f>
        <v>Մեթ Ռայան.</v>
      </c>
    </row>
    <row r="1522">
      <c r="A1522" s="1" t="s">
        <v>3025</v>
      </c>
      <c r="B1522" s="2" t="s">
        <v>3026</v>
      </c>
      <c r="C1522" s="3" t="str">
        <f>IFERROR(__xludf.DUMMYFUNCTION("GOOGLETRANSLATE(A1522,""en"",""hy"")"),"ո՞րն է Տրենտոն Օհիոյի փոստային կոդը:")</f>
        <v>ո՞րն է Տրենտոն Օհիոյի փոստային կոդը:</v>
      </c>
      <c r="D1522" s="3" t="str">
        <f>IFERROR(__xludf.DUMMYFUNCTION("GOOGLETRANSLATE(B1522,""en"",""hy"")"),"Օհայո նահանգի Տրենտոն քաղաքի փոստային կոդը 45067 է։")</f>
        <v>Օհայո նահանգի Տրենտոն քաղաքի փոստային կոդը 45067 է։</v>
      </c>
    </row>
    <row r="1523">
      <c r="A1523" s="1" t="s">
        <v>3027</v>
      </c>
      <c r="B1523" s="2" t="s">
        <v>3028</v>
      </c>
      <c r="C1523" s="3" t="str">
        <f>IFERROR(__xludf.DUMMYFUNCTION("GOOGLETRANSLATE(A1523,""en"",""hy"")"),"ո՞րն է Հյուսիսային Դակոտա նահանգի թալիսմանը:")</f>
        <v>ո՞րն է Հյուսիսային Դակոտա նահանգի թալիսմանը:</v>
      </c>
      <c r="D1523" s="3" t="str">
        <f>IFERROR(__xludf.DUMMYFUNCTION("GOOGLETRANSLATE(B1523,""en"",""hy"")"),"Հյուսիսային Դակոտա նահանգի թալիսմանը Բիզոնն է։")</f>
        <v>Հյուսիսային Դակոտա նահանգի թալիսմանը Բիզոնն է։</v>
      </c>
    </row>
    <row r="1524">
      <c r="A1524" s="1" t="s">
        <v>3029</v>
      </c>
      <c r="B1524" s="2" t="s">
        <v>3030</v>
      </c>
      <c r="C1524" s="3" t="str">
        <f>IFERROR(__xludf.DUMMYFUNCTION("GOOGLETRANSLATE(A1524,""en"",""hy"")"),"ո՞րն է Չարլզ Դարվինի աշխատանքը:")</f>
        <v>ո՞րն է Չարլզ Դարվինի աշխատանքը:</v>
      </c>
      <c r="D1524" s="3" t="str">
        <f>IFERROR(__xludf.DUMMYFUNCTION("GOOGLETRANSLATE(B1524,""en"",""hy"")"),"Չարլզ Դարվինը առավել հայտնի է բնական ընտրության միջոցով էվոլյուցիայի իր տեսությամբ, որը նա ներկայացրել է իր «Տեսակների ծագման մասին» բեկումնային գրքում:")</f>
        <v>Չարլզ Դարվինը առավել հայտնի է բնական ընտրության միջոցով էվոլյուցիայի իր տեսությամբ, որը նա ներկայացրել է իր «Տեսակների ծագման մասին» բեկումնային գրքում:</v>
      </c>
    </row>
    <row r="1525">
      <c r="A1525" s="1" t="s">
        <v>3031</v>
      </c>
      <c r="B1525" s="2" t="s">
        <v>3032</v>
      </c>
      <c r="C1525" s="3" t="str">
        <f>IFERROR(__xludf.DUMMYFUNCTION("GOOGLETRANSLATE(A1525,""en"",""hy"")"),"ինչ ֆիլմերում է նկարահանվել Ադամ Սենդլերը")</f>
        <v>ինչ ֆիլմերում է նկարահանվել Ադամ Սենդլերը</v>
      </c>
      <c r="D1525" s="3" t="str">
        <f>IFERROR(__xludf.DUMMYFUNCTION("GOOGLETRANSLATE(B1525,""en"",""hy"")"),"Ադամ Սենդլերը նկարահանվել է բազմաթիվ ֆիլմերում, այդ թվում՝ Happy Gilmore, Billy Madison, The Wedding Singer, Grown Ups և շատ ուրիշներ:")</f>
        <v>Ադամ Սենդլերը նկարահանվել է բազմաթիվ ֆիլմերում, այդ թվում՝ Happy Gilmore, Billy Madison, The Wedding Singer, Grown Ups և շատ ուրիշներ:</v>
      </c>
    </row>
    <row r="1526">
      <c r="A1526" s="1" t="s">
        <v>3033</v>
      </c>
      <c r="B1526" s="2" t="s">
        <v>3034</v>
      </c>
      <c r="C1526" s="3" t="str">
        <f>IFERROR(__xludf.DUMMYFUNCTION("GOOGLETRANSLATE(A1526,""en"",""hy"")"),"ո՞րն էր Բենջամին Ֆրանկլինի գյուտերից մեկը:")</f>
        <v>ո՞րն էր Բենջամին Ֆրանկլինի գյուտերից մեկը:</v>
      </c>
      <c r="D1526" s="3" t="str">
        <f>IFERROR(__xludf.DUMMYFUNCTION("GOOGLETRANSLATE(B1526,""en"",""hy"")"),"Բենջամին Ֆրանկլինի հայտնագործություններից մեկը կայծակն էր:")</f>
        <v>Բենջամին Ֆրանկլինի հայտնագործություններից մեկը կայծակն էր:</v>
      </c>
    </row>
    <row r="1527">
      <c r="A1527" s="1" t="s">
        <v>3035</v>
      </c>
      <c r="B1527" s="2" t="s">
        <v>3036</v>
      </c>
      <c r="C1527" s="3" t="str">
        <f>IFERROR(__xludf.DUMMYFUNCTION("GOOGLETRANSLATE(A1527,""en"",""hy"")"),"որտե՞ղ է Ֆիլ Միքելսոնը գնացել քոլեջ:")</f>
        <v>որտե՞ղ է Ֆիլ Միքելսոնը գնացել քոլեջ:</v>
      </c>
      <c r="D1527" s="3" t="str">
        <f>IFERROR(__xludf.DUMMYFUNCTION("GOOGLETRANSLATE(B1527,""en"",""hy"")"),"Ֆիլ Միքելսոնը հաճախել է Արիզոնայի պետական ​​համալսարան:")</f>
        <v>Ֆիլ Միքելսոնը հաճախել է Արիզոնայի պետական ​​համալսարան:</v>
      </c>
    </row>
    <row r="1528">
      <c r="A1528" s="1" t="s">
        <v>3037</v>
      </c>
      <c r="B1528" s="2" t="s">
        <v>3038</v>
      </c>
      <c r="C1528" s="3" t="str">
        <f>IFERROR(__xludf.DUMMYFUNCTION("GOOGLETRANSLATE(A1528,""en"",""hy"")"),"ո՞րն է մեզանում ամենաշատ կիրառվող կրոնը:")</f>
        <v>ո՞րն է մեզանում ամենաշատ կիրառվող կրոնը:</v>
      </c>
      <c r="D1528" s="3" t="str">
        <f>IFERROR(__xludf.DUMMYFUNCTION("GOOGLETRANSLATE(B1528,""en"",""hy"")"),"Քրիստոնեություն.")</f>
        <v>Քրիստոնեություն.</v>
      </c>
    </row>
    <row r="1529">
      <c r="A1529" s="1" t="s">
        <v>3039</v>
      </c>
      <c r="B1529" s="2" t="s">
        <v>3040</v>
      </c>
      <c r="C1529" s="3" t="str">
        <f>IFERROR(__xludf.DUMMYFUNCTION("GOOGLETRANSLATE(A1529,""en"",""hy"")"),"ինչ է երգում Դաֆին")</f>
        <v>ինչ է երգում Դաֆին</v>
      </c>
      <c r="D1529" s="3" t="str">
        <f>IFERROR(__xludf.DUMMYFUNCTION("GOOGLETRANSLATE(B1529,""en"",""hy"")"),"Դաֆին երգում է փոփ և սոուլ երաժշտություն։")</f>
        <v>Դաֆին երգում է փոփ և սոուլ երաժշտություն։</v>
      </c>
    </row>
    <row r="1530">
      <c r="A1530" s="1" t="s">
        <v>3041</v>
      </c>
      <c r="B1530" s="2" t="s">
        <v>3042</v>
      </c>
      <c r="C1530" s="3" t="str">
        <f>IFERROR(__xludf.DUMMYFUNCTION("GOOGLETRANSLATE(A1530,""en"",""hy"")"),"ինչ դպրոց է սովորել Թուփակը")</f>
        <v>ինչ դպրոց է սովորել Թուփակը</v>
      </c>
      <c r="D1530" s="3" t="str">
        <f>IFERROR(__xludf.DUMMYFUNCTION("GOOGLETRANSLATE(B1530,""en"",""hy"")"),"Թուփակը սովորել է Բալթիմորի արվեստի դպրոց:")</f>
        <v>Թուփակը սովորել է Բալթիմորի արվեստի դպրոց:</v>
      </c>
    </row>
    <row r="1531">
      <c r="A1531" s="1" t="s">
        <v>3043</v>
      </c>
      <c r="B1531" s="2" t="s">
        <v>3044</v>
      </c>
      <c r="C1531" s="3" t="str">
        <f>IFERROR(__xludf.DUMMYFUNCTION("GOOGLETRANSLATE(A1531,""en"",""hy"")"),"ինչ է խոսում Գայանան")</f>
        <v>ինչ է խոսում Գայանան</v>
      </c>
      <c r="D1531" s="3" t="str">
        <f>IFERROR(__xludf.DUMMYFUNCTION("GOOGLETRANSLATE(B1531,""en"",""hy"")"),"Գայանան խոսում է անգլերեն։")</f>
        <v>Գայանան խոսում է անգլերեն։</v>
      </c>
    </row>
    <row r="1532">
      <c r="A1532" s="1" t="s">
        <v>3045</v>
      </c>
      <c r="B1532" s="2" t="s">
        <v>3046</v>
      </c>
      <c r="C1532" s="3" t="str">
        <f>IFERROR(__xludf.DUMMYFUNCTION("GOOGLETRANSLATE(A1532,""en"",""hy"")"),"որտե՞ղ է ապրել ֆլամանդը:")</f>
        <v>որտե՞ղ է ապրել ֆլամանդը:</v>
      </c>
      <c r="D1532" s="3" t="str">
        <f>IFERROR(__xludf.DUMMYFUNCTION("GOOGLETRANSLATE(B1532,""en"",""hy"")"),"Ֆլամանդացիները ապրում էին Ֆլանդրիայում, որը ներկայիս Բելգիայի շրջանն է։")</f>
        <v>Ֆլամանդացիները ապրում էին Ֆլանդրիայում, որը ներկայիս Բելգիայի շրջանն է։</v>
      </c>
    </row>
    <row r="1533">
      <c r="A1533" s="1" t="s">
        <v>3047</v>
      </c>
      <c r="B1533" s="2">
        <v>1994.0</v>
      </c>
      <c r="C1533" s="3" t="str">
        <f>IFERROR(__xludf.DUMMYFUNCTION("GOOGLETRANSLATE(A1533,""en"",""hy"")"),"Ո՞ր տարում են Հյուսթոնի հրթիռները հաղթել իրենց առաջին առաջնությունում:")</f>
        <v>Ո՞ր տարում են Հյուսթոնի հրթիռները հաղթել իրենց առաջին առաջնությունում:</v>
      </c>
      <c r="D1533" s="3" t="str">
        <f>IFERROR(__xludf.DUMMYFUNCTION("GOOGLETRANSLATE(B1533,""en"",""hy"")"),"1994 թ")</f>
        <v>1994 թ</v>
      </c>
    </row>
    <row r="1534">
      <c r="A1534" s="1" t="s">
        <v>3048</v>
      </c>
      <c r="B1534" s="2" t="s">
        <v>3049</v>
      </c>
      <c r="C1534" s="3" t="str">
        <f>IFERROR(__xludf.DUMMYFUNCTION("GOOGLETRANSLATE(A1534,""en"",""hy"")"),"ինչ քոլեջ է արել Հարրի Ս. Թրումենը մասնակցել?")</f>
        <v>ինչ քոլեջ է արել Հարրի Ս. Թրումենը մասնակցել?</v>
      </c>
      <c r="D1534" s="3" t="str">
        <f>IFERROR(__xludf.DUMMYFUNCTION("GOOGLETRANSLATE(B1534,""en"",""hy"")"),"Հարի Ս. Թրումանը հաճախել է Միսսուրիի համալսարան-Կանզաս քաղաքի իրավաբանական դպրոց:")</f>
        <v>Հարի Ս. Թրումանը հաճախել է Միսսուրիի համալսարան-Կանզաս քաղաքի իրավաբանական դպրոց:</v>
      </c>
    </row>
    <row r="1535">
      <c r="A1535" s="1" t="s">
        <v>3050</v>
      </c>
      <c r="B1535" s="2" t="s">
        <v>2267</v>
      </c>
      <c r="C1535" s="3" t="str">
        <f>IFERROR(__xludf.DUMMYFUNCTION("GOOGLETRANSLATE(A1535,""en"",""hy"")"),"ո՞րն է պաշտոնական լեզուն Մեքսիկայում:")</f>
        <v>ո՞րն է պաշտոնական լեզուն Մեքսիկայում:</v>
      </c>
      <c r="D1535" s="3" t="str">
        <f>IFERROR(__xludf.DUMMYFUNCTION("GOOGLETRANSLATE(B1535,""en"",""hy"")"),"իսպաներեն.")</f>
        <v>իսպաներեն.</v>
      </c>
    </row>
    <row r="1536">
      <c r="A1536" s="1" t="s">
        <v>3051</v>
      </c>
      <c r="B1536" s="2" t="s">
        <v>3052</v>
      </c>
      <c r="C1536" s="3" t="str">
        <f>IFERROR(__xludf.DUMMYFUNCTION("GOOGLETRANSLATE(A1536,""en"",""hy"")"),"Ո՞ր կոմսությունում է գտնվում Մինեապոլիսը:")</f>
        <v>Ո՞ր կոմսությունում է գտնվում Մինեապոլիսը:</v>
      </c>
      <c r="D1536" s="3" t="str">
        <f>IFERROR(__xludf.DUMMYFUNCTION("GOOGLETRANSLATE(B1536,""en"",""hy"")"),"Հենեպին շրջան.")</f>
        <v>Հենեպին շրջան.</v>
      </c>
    </row>
    <row r="1537">
      <c r="A1537" s="1" t="s">
        <v>3053</v>
      </c>
      <c r="B1537" s="2" t="s">
        <v>3054</v>
      </c>
      <c r="C1537" s="3" t="str">
        <f>IFERROR(__xludf.DUMMYFUNCTION("GOOGLETRANSLATE(A1537,""en"",""hy"")"),"ինչ կրոն Թաիլանդում")</f>
        <v>ինչ կրոն Թաիլանդում</v>
      </c>
      <c r="D1537" s="3" t="str">
        <f>IFERROR(__xludf.DUMMYFUNCTION("GOOGLETRANSLATE(B1537,""en"",""hy"")"),"Թաիլանդում հիմնական կրոնը բուդդայականությունն է։")</f>
        <v>Թաիլանդում հիմնական կրոնը բուդդայականությունն է։</v>
      </c>
    </row>
    <row r="1538">
      <c r="A1538" s="1" t="s">
        <v>3055</v>
      </c>
      <c r="B1538" s="2" t="s">
        <v>3056</v>
      </c>
      <c r="C1538" s="3" t="str">
        <f>IFERROR(__xludf.DUMMYFUNCTION("GOOGLETRANSLATE(A1538,""en"",""hy"")"),"ով է Եղիսաբեթ 1-ին թագուհու հայրը:")</f>
        <v>ով է Եղիսաբեթ 1-ին թագուհու հայրը:</v>
      </c>
      <c r="D1538" s="3" t="str">
        <f>IFERROR(__xludf.DUMMYFUNCTION("GOOGLETRANSLATE(B1538,""en"",""hy"")"),"Եղիսաբեթ I թագուհու հայրը թագավոր Հենրի VIII-ն էր։")</f>
        <v>Եղիսաբեթ I թագուհու հայրը թագավոր Հենրի VIII-ն էր։</v>
      </c>
    </row>
    <row r="1539">
      <c r="A1539" s="1" t="s">
        <v>3057</v>
      </c>
      <c r="B1539" s="2" t="s">
        <v>3058</v>
      </c>
      <c r="C1539" s="3" t="str">
        <f>IFERROR(__xludf.DUMMYFUNCTION("GOOGLETRANSLATE(A1539,""en"",""hy"")"),"ինչ այլ լեզուներով է խոսում Շվեյցարիան:")</f>
        <v>ինչ այլ լեզուներով է խոսում Շվեյցարիան:</v>
      </c>
      <c r="D1539" s="3" t="str">
        <f>IFERROR(__xludf.DUMMYFUNCTION("GOOGLETRANSLATE(B1539,""en"",""hy"")"),"Շվեյցարիան խոսում է չորս պաշտոնական լեզուներով՝ գերմաներեն, ֆրանսերեն, իտալերեն և ռոմանշերեն։")</f>
        <v>Շվեյցարիան խոսում է չորս պաշտոնական լեզուներով՝ գերմաներեն, ֆրանսերեն, իտալերեն և ռոմանշերեն։</v>
      </c>
    </row>
    <row r="1540">
      <c r="A1540" s="1" t="s">
        <v>3059</v>
      </c>
      <c r="B1540" s="2" t="s">
        <v>3060</v>
      </c>
      <c r="C1540" s="3" t="str">
        <f>IFERROR(__xludf.DUMMYFUNCTION("GOOGLETRANSLATE(A1540,""en"",""hy"")"),"ո՞ր թիմում է Ռոնալդինյոն")</f>
        <v>ո՞ր թիմում է Ռոնալդինյոն</v>
      </c>
      <c r="D1540" s="3" t="str">
        <f>IFERROR(__xludf.DUMMYFUNCTION("GOOGLETRANSLATE(B1540,""en"",""hy"")"),"Այս պահի դրությամբ Ռոնալդինյոն ոչ մի թիմում չէ։")</f>
        <v>Այս պահի դրությամբ Ռոնալդինյոն ոչ մի թիմում չէ։</v>
      </c>
    </row>
    <row r="1541">
      <c r="A1541" s="1" t="s">
        <v>3061</v>
      </c>
      <c r="B1541" s="2" t="s">
        <v>3062</v>
      </c>
      <c r="C1541" s="3" t="str">
        <f>IFERROR(__xludf.DUMMYFUNCTION("GOOGLETRANSLATE(A1541,""en"",""hy"")"),"ով է խաղում Փոլ Բլարտ")</f>
        <v>ով է խաղում Փոլ Բլարտ</v>
      </c>
      <c r="D1541" s="3" t="str">
        <f>IFERROR(__xludf.DUMMYFUNCTION("GOOGLETRANSLATE(B1541,""en"",""hy"")"),"Քևին Ջեյմս")</f>
        <v>Քևին Ջեյմս</v>
      </c>
    </row>
    <row r="1542">
      <c r="A1542" s="1" t="s">
        <v>3063</v>
      </c>
      <c r="B1542" s="2" t="s">
        <v>3064</v>
      </c>
      <c r="C1542" s="3" t="str">
        <f>IFERROR(__xludf.DUMMYFUNCTION("GOOGLETRANSLATE(A1542,""en"",""hy"")"),"ով է Քոբի Բրայանթի կինը կենսագրություն")</f>
        <v>ով է Քոբի Բրայանթի կինը կենսագրություն</v>
      </c>
      <c r="D1542" s="3" t="str">
        <f>IFERROR(__xludf.DUMMYFUNCTION("GOOGLETRANSLATE(B1542,""en"",""hy"")"),"Կոբի Բրայանթի կինը Վանեսա Բրայանտն է։")</f>
        <v>Կոբի Բրայանթի կինը Վանեսա Բրայանտն է։</v>
      </c>
    </row>
    <row r="1543">
      <c r="A1543" s="1" t="s">
        <v>3065</v>
      </c>
      <c r="B1543" s="2" t="s">
        <v>3066</v>
      </c>
      <c r="C1543" s="3" t="str">
        <f>IFERROR(__xludf.DUMMYFUNCTION("GOOGLETRANSLATE(A1543,""en"",""hy"")"),"ինչպիսի՞ կառավարման համակարգ ունի Կանադան:")</f>
        <v>ինչպիսի՞ կառավարման համակարգ ունի Կանադան:</v>
      </c>
      <c r="D1543" s="3" t="str">
        <f>IFERROR(__xludf.DUMMYFUNCTION("GOOGLETRANSLATE(B1543,""en"",""hy"")"),"Կանադան ունի խորհրդարանական ժողովրդավարություն։")</f>
        <v>Կանադան ունի խորհրդարանական ժողովրդավարություն։</v>
      </c>
    </row>
    <row r="1544">
      <c r="A1544" s="1" t="s">
        <v>3067</v>
      </c>
      <c r="B1544" s="2" t="s">
        <v>3068</v>
      </c>
      <c r="C1544" s="3" t="str">
        <f>IFERROR(__xludf.DUMMYFUNCTION("GOOGLETRANSLATE(A1544,""en"",""hy"")"),"ինչպիսի՞ կառավարություն ուներ Սպարտա Հունաստանը:")</f>
        <v>ինչպիսի՞ կառավարություն ուներ Սպարտա Հունաստանը:</v>
      </c>
      <c r="D1544" s="3" t="str">
        <f>IFERROR(__xludf.DUMMYFUNCTION("GOOGLETRANSLATE(B1544,""en"",""hy"")"),"Սպարտան ուներ խառը կառավարություն՝ միապետության, օլիգարխիայի և ժողովրդավարության տարրերով։")</f>
        <v>Սպարտան ուներ խառը կառավարություն՝ միապետության, օլիգարխիայի և ժողովրդավարության տարրերով։</v>
      </c>
    </row>
    <row r="1545">
      <c r="A1545" s="1" t="s">
        <v>3069</v>
      </c>
      <c r="B1545" s="2" t="s">
        <v>3070</v>
      </c>
      <c r="C1545" s="3" t="str">
        <f>IFERROR(__xludf.DUMMYFUNCTION("GOOGLETRANSLATE(A1545,""en"",""hy"")"),"որտեղ հանգստանալ Իտալիայում օգոստոսին:")</f>
        <v>որտեղ հանգստանալ Իտալիայում օգոստոսին:</v>
      </c>
      <c r="D1545" s="3" t="str">
        <f>IFERROR(__xludf.DUMMYFUNCTION("GOOGLETRANSLATE(B1545,""en"",""hy"")"),"Օգոստոսին Իտալիայում հանգստի հանրաճանաչ ուղղությունները ներառում են այնպիսի քաղաքներ, ինչպիսիք են Հռոմը, Ֆլորենցիան և Վենետիկը, ինչպես նաև ափամերձ տարածքները, ինչպիսիք են Ամալֆիի ափը, Չինկե Տերը և Սարդինիան:")</f>
        <v>Օգոստոսին Իտալիայում հանգստի հանրաճանաչ ուղղությունները ներառում են այնպիսի քաղաքներ, ինչպիսիք են Հռոմը, Ֆլորենցիան և Վենետիկը, ինչպես նաև ափամերձ տարածքները, ինչպիսիք են Ամալֆիի ափը, Չինկե Տերը և Սարդինիան:</v>
      </c>
    </row>
    <row r="1546">
      <c r="A1546" s="1" t="s">
        <v>3071</v>
      </c>
      <c r="B1546" s="2" t="s">
        <v>3072</v>
      </c>
      <c r="C1546" s="3" t="str">
        <f>IFERROR(__xludf.DUMMYFUNCTION("GOOGLETRANSLATE(A1546,""en"",""hy"")"),"ի՞նչ մշակույթ է ապրել տեոտիուականում:")</f>
        <v>ի՞նչ մշակույթ է ապրել տեոտիուականում:</v>
      </c>
      <c r="D1546" s="3" t="str">
        <f>IFERROR(__xludf.DUMMYFUNCTION("GOOGLETRANSLATE(B1546,""en"",""hy"")"),"Տեոտիուականի հնագույն մշակույթն ապրել է Թեոտիուականում։")</f>
        <v>Տեոտիուականի հնագույն մշակույթն ապրել է Թեոտիուականում։</v>
      </c>
    </row>
    <row r="1547">
      <c r="A1547" s="1" t="s">
        <v>3073</v>
      </c>
      <c r="B1547" s="2" t="s">
        <v>3074</v>
      </c>
      <c r="C1547" s="3" t="str">
        <f>IFERROR(__xludf.DUMMYFUNCTION("GOOGLETRANSLATE(A1547,""en"",""hy"")"),"ինչպիսի՞ քվեարկության համակարգ ունի Ճապոնիան։")</f>
        <v>ինչպիսի՞ քվեարկության համակարգ ունի Ճապոնիան։</v>
      </c>
      <c r="D1547" s="3" t="str">
        <f>IFERROR(__xludf.DUMMYFUNCTION("GOOGLETRANSLATE(B1547,""en"",""hy"")"),"Ճապոնիայում գործում է քվեարկության զուգահեռ համակարգ՝ միամանդատ ընտրատարածքների և համամասնական ընտրակարգով:")</f>
        <v>Ճապոնիայում գործում է քվեարկության զուգահեռ համակարգ՝ միամանդատ ընտրատարածքների և համամասնական ընտրակարգով:</v>
      </c>
    </row>
    <row r="1548">
      <c r="A1548" s="1" t="s">
        <v>3075</v>
      </c>
      <c r="B1548" s="2" t="s">
        <v>3076</v>
      </c>
      <c r="C1548" s="3" t="str">
        <f>IFERROR(__xludf.DUMMYFUNCTION("GOOGLETRANSLATE(A1548,""en"",""hy"")"),"ինչ են Աֆրիկայի բոլոր երկրների անունները:")</f>
        <v>ինչ են Աֆրիկայի բոլոր երկրների անունները:</v>
      </c>
      <c r="D1548" s="3" t="str">
        <f>IFERROR(__xludf.DUMMYFUNCTION("GOOGLETRANSLATE(B1548,""en"",""hy"")"),"Աֆրիկայում կա 54 երկիր։")</f>
        <v>Աֆրիկայում կա 54 երկիր։</v>
      </c>
    </row>
    <row r="1549">
      <c r="A1549" s="1" t="s">
        <v>3077</v>
      </c>
      <c r="B1549" s="2" t="s">
        <v>3078</v>
      </c>
      <c r="C1549" s="3" t="str">
        <f>IFERROR(__xludf.DUMMYFUNCTION("GOOGLETRANSLATE(A1549,""en"",""hy"")"),"ո՞վ սկսեց Պարսից ծոցի առաջին պատերազմը:")</f>
        <v>ո՞վ սկսեց Պարսից ծոցի առաջին պատերազմը:</v>
      </c>
      <c r="D1549" s="3" t="str">
        <f>IFERROR(__xludf.DUMMYFUNCTION("GOOGLETRANSLATE(B1549,""en"",""hy"")"),"Պարսից ծոցի առաջին պատերազմը սկսել է Իրաքը Սադամ Հուսեյնի գլխավորությամբ։")</f>
        <v>Պարսից ծոցի առաջին պատերազմը սկսել է Իրաքը Սադամ Հուսեյնի գլխավորությամբ։</v>
      </c>
    </row>
    <row r="1550">
      <c r="A1550" s="1" t="s">
        <v>3079</v>
      </c>
      <c r="B1550" s="2" t="s">
        <v>3080</v>
      </c>
      <c r="C1550" s="3" t="str">
        <f>IFERROR(__xludf.DUMMYFUNCTION("GOOGLETRANSLATE(A1550,""en"",""hy"")"),"ինչպես է կոչվում Պիտսբուրգ Սթիլերս մարզադաշտը:")</f>
        <v>ինչպես է կոչվում Պիտսբուրգ Սթիլերս մարզադաշտը:</v>
      </c>
      <c r="D1550" s="3" t="str">
        <f>IFERROR(__xludf.DUMMYFUNCTION("GOOGLETRANSLATE(B1550,""en"",""hy"")"),"Հայնցի դաշտ.")</f>
        <v>Հայնցի դաշտ.</v>
      </c>
    </row>
    <row r="1551">
      <c r="A1551" s="1" t="s">
        <v>3081</v>
      </c>
      <c r="B1551" s="2" t="s">
        <v>3082</v>
      </c>
      <c r="C1551" s="3" t="str">
        <f>IFERROR(__xludf.DUMMYFUNCTION("GOOGLETRANSLATE(A1551,""en"",""hy"")"),"ով էր նաև Կլեոպատրան ամուսնացած:")</f>
        <v>ով էր նաև Կլեոպատրան ամուսնացած:</v>
      </c>
      <c r="D1551" s="3" t="str">
        <f>IFERROR(__xludf.DUMMYFUNCTION("GOOGLETRANSLATE(B1551,""en"",""hy"")"),"Կլեոպատրան ամուսնացած էր Մարկ Անտոնիի հետ։")</f>
        <v>Կլեոպատրան ամուսնացած էր Մարկ Անտոնիի հետ։</v>
      </c>
    </row>
    <row r="1552">
      <c r="A1552" s="1" t="s">
        <v>3083</v>
      </c>
      <c r="B1552" s="2" t="s">
        <v>3084</v>
      </c>
      <c r="C1552" s="3" t="str">
        <f>IFERROR(__xludf.DUMMYFUNCTION("GOOGLETRANSLATE(A1552,""en"",""hy"")"),"որտեղ է ծնվել Նիկի Մինաժը")</f>
        <v>որտեղ է ծնվել Նիկի Մինաժը</v>
      </c>
      <c r="D1552" s="3" t="str">
        <f>IFERROR(__xludf.DUMMYFUNCTION("GOOGLETRANSLATE(B1552,""en"",""hy"")"),"Նիկի Մինաժը ծնվել է Տրինիդադ և Տոբագոյի Սենթ Ջեյմս քաղաքում։")</f>
        <v>Նիկի Մինաժը ծնվել է Տրինիդադ և Տոբագոյի Սենթ Ջեյմս քաղաքում։</v>
      </c>
    </row>
    <row r="1553">
      <c r="A1553" s="1" t="s">
        <v>3085</v>
      </c>
      <c r="B1553" s="2" t="s">
        <v>3086</v>
      </c>
      <c r="C1553" s="3" t="str">
        <f>IFERROR(__xludf.DUMMYFUNCTION("GOOGLETRANSLATE(A1553,""en"",""hy"")"),"ինչ էր Ջեսի Ջեյմսի կնոջ անունը:")</f>
        <v>ինչ էր Ջեսի Ջեյմսի կնոջ անունը:</v>
      </c>
      <c r="D1553" s="3" t="str">
        <f>IFERROR(__xludf.DUMMYFUNCTION("GOOGLETRANSLATE(B1553,""en"",""hy"")"),"Ջեսսի Ջեյմսի կնոջ անունը Զերելդա Միմս էր։")</f>
        <v>Ջեսսի Ջեյմսի կնոջ անունը Զերելդա Միմս էր։</v>
      </c>
    </row>
    <row r="1554">
      <c r="A1554" s="1" t="s">
        <v>3087</v>
      </c>
      <c r="B1554" s="2" t="s">
        <v>3088</v>
      </c>
      <c r="C1554" s="3" t="str">
        <f>IFERROR(__xludf.DUMMYFUNCTION("GOOGLETRANSLATE(A1554,""en"",""hy"")"),"ով է խաղում «spike in buffy the vampire slayer»:")</f>
        <v>ով է խաղում «spike in buffy the vampire slayer»:</v>
      </c>
      <c r="D1554" s="3" t="str">
        <f>IFERROR(__xludf.DUMMYFUNCTION("GOOGLETRANSLATE(B1554,""en"",""hy"")"),"Ջեյմս Մարսթերս.")</f>
        <v>Ջեյմս Մարսթերս.</v>
      </c>
    </row>
    <row r="1555">
      <c r="A1555" s="1" t="s">
        <v>3089</v>
      </c>
      <c r="B1555" s="2" t="s">
        <v>3090</v>
      </c>
      <c r="C1555" s="3" t="str">
        <f>IFERROR(__xludf.DUMMYFUNCTION("GOOGLETRANSLATE(A1555,""en"",""hy"")"),"որտեղ է ծնվել Ադրիան կայսրը.")</f>
        <v>որտեղ է ծնվել Ադրիան կայսրը.</v>
      </c>
      <c r="D1555" s="3" t="str">
        <f>IFERROR(__xludf.DUMMYFUNCTION("GOOGLETRANSLATE(B1555,""en"",""hy"")"),"Կայսր Հադրիանը ծնվել է Իսպանիայի Իտալիկա քաղաքում։")</f>
        <v>Կայսր Հադրիանը ծնվել է Իսպանիայի Իտալիկա քաղաքում։</v>
      </c>
    </row>
    <row r="1556">
      <c r="A1556" s="1" t="s">
        <v>3091</v>
      </c>
      <c r="B1556" s="2" t="s">
        <v>3092</v>
      </c>
      <c r="C1556" s="3" t="str">
        <f>IFERROR(__xludf.DUMMYFUNCTION("GOOGLETRANSLATE(A1556,""en"",""hy"")"),"ե՞րբ է գարդասիլը թողարկվել հանրությանը.")</f>
        <v>ե՞րբ է գարդասիլը թողարկվել հանրությանը.</v>
      </c>
      <c r="D1556" s="3" t="str">
        <f>IFERROR(__xludf.DUMMYFUNCTION("GOOGLETRANSLATE(B1556,""en"",""hy"")"),"Գարդասիլը հանրությանը թողարկվել է 2006թ.")</f>
        <v>Գարդասիլը հանրությանը թողարկվել է 2006թ.</v>
      </c>
    </row>
    <row r="1557">
      <c r="A1557" s="1" t="s">
        <v>3093</v>
      </c>
      <c r="B1557" s="2" t="s">
        <v>3094</v>
      </c>
      <c r="C1557" s="3" t="str">
        <f>IFERROR(__xludf.DUMMYFUNCTION("GOOGLETRANSLATE(A1557,""en"",""hy"")"),"ով դարձավ նախագահ, երբ Ռուզվելտը մահացավ պաշտոնում:")</f>
        <v>ով դարձավ նախագահ, երբ Ռուզվելտը մահացավ պաշտոնում:</v>
      </c>
      <c r="D1557" s="3" t="str">
        <f>IFERROR(__xludf.DUMMYFUNCTION("GOOGLETRANSLATE(B1557,""en"",""hy"")"),"Հարրի Ս. Թրումեն")</f>
        <v>Հարրի Ս. Թրումեն</v>
      </c>
    </row>
    <row r="1558">
      <c r="A1558" s="1" t="s">
        <v>3095</v>
      </c>
      <c r="B1558" s="2" t="s">
        <v>3096</v>
      </c>
      <c r="C1558" s="3" t="str">
        <f>IFERROR(__xludf.DUMMYFUNCTION("GOOGLETRANSLATE(A1558,""en"",""hy"")"),"որտեղ էր Մարտին Լյութեր Քինգը դպրոց հաճախում:")</f>
        <v>որտեղ էր Մարտին Լյութեր Քինգը դպրոց հաճախում:</v>
      </c>
      <c r="D1558" s="3" t="str">
        <f>IFERROR(__xludf.DUMMYFUNCTION("GOOGLETRANSLATE(B1558,""en"",""hy"")"),"Մարտին Լյութեր Քինգը սովորել է Մորհաուս քոլեջում, Քրոզեր աստվածաբանական ճեմարանում և Բոստոնի համալսարանում:")</f>
        <v>Մարտին Լյութեր Քինգը սովորել է Մորհաուս քոլեջում, Քրոզեր աստվածաբանական ճեմարանում և Բոստոնի համալսարանում:</v>
      </c>
    </row>
    <row r="1559">
      <c r="A1559" s="1" t="s">
        <v>3097</v>
      </c>
      <c r="B1559" s="2" t="s">
        <v>3098</v>
      </c>
      <c r="C1559" s="3" t="str">
        <f>IFERROR(__xludf.DUMMYFUNCTION("GOOGLETRANSLATE(A1559,""en"",""hy"")"),"որտե՞ղ է Չարլզը նկարել քոլեջ:")</f>
        <v>որտե՞ղ է Չարլզը նկարել քոլեջ:</v>
      </c>
      <c r="D1559" s="3" t="str">
        <f>IFERROR(__xludf.DUMMYFUNCTION("GOOGLETRANSLATE(B1559,""en"",""hy"")"),"Չարլզ Դրյուն սովորել է Ամհերսթ քոլեջում իր բակալավրիատի համար:")</f>
        <v>Չարլզ Դրյուն սովորել է Ամհերսթ քոլեջում իր բակալավրիատի համար:</v>
      </c>
    </row>
    <row r="1560">
      <c r="A1560" s="1" t="s">
        <v>3099</v>
      </c>
      <c r="B1560" s="2" t="s">
        <v>3100</v>
      </c>
      <c r="C1560" s="3" t="str">
        <f>IFERROR(__xludf.DUMMYFUNCTION("GOOGLETRANSLATE(A1560,""en"",""hy"")"),"ինչի համար էր օգտագործվում Հռոմի կոլիզեյը:")</f>
        <v>ինչի համար էր օգտագործվում Հռոմի կոլիզեյը:</v>
      </c>
      <c r="D1560" s="3" t="str">
        <f>IFERROR(__xludf.DUMMYFUNCTION("GOOGLETRANSLATE(B1560,""en"",""hy"")"),"Հռոմի Կոլիզեյն օգտագործվում էր գլադիատորական մրցումների և հանրային դիտումների համար։")</f>
        <v>Հռոմի Կոլիզեյն օգտագործվում էր գլադիատորական մրցումների և հանրային դիտումների համար։</v>
      </c>
    </row>
    <row r="1561">
      <c r="A1561" s="1" t="s">
        <v>3101</v>
      </c>
      <c r="B1561" s="2" t="s">
        <v>673</v>
      </c>
      <c r="C1561" s="3" t="str">
        <f>IFERROR(__xludf.DUMMYFUNCTION("GOOGLETRANSLATE(A1561,""en"",""hy"")"),"ով է ձայնը կատարում Պիտեր Գրիֆին:")</f>
        <v>ով է ձայնը կատարում Պիտեր Գրիֆին:</v>
      </c>
      <c r="D1561" s="3" t="str">
        <f>IFERROR(__xludf.DUMMYFUNCTION("GOOGLETRANSLATE(B1561,""en"",""hy"")"),"Սեթ ՄակՖարլեյն.")</f>
        <v>Սեթ ՄակՖարլեյն.</v>
      </c>
    </row>
    <row r="1562">
      <c r="A1562" s="1" t="s">
        <v>3102</v>
      </c>
      <c r="B1562" s="2" t="s">
        <v>3103</v>
      </c>
      <c r="C1562" s="3" t="str">
        <f>IFERROR(__xludf.DUMMYFUNCTION("GOOGLETRANSLATE(A1562,""en"",""hy"")"),"ո՞ւմ հետ էր Չարլզ Դարվինը ամուսնացած:")</f>
        <v>ո՞ւմ հետ էր Չարլզ Դարվինը ամուսնացած:</v>
      </c>
      <c r="D1562" s="3" t="str">
        <f>IFERROR(__xludf.DUMMYFUNCTION("GOOGLETRANSLATE(B1562,""en"",""hy"")"),"Էմմա Ուեդգվուդ")</f>
        <v>Էմմա Ուեդգվուդ</v>
      </c>
    </row>
    <row r="1563">
      <c r="A1563" s="1" t="s">
        <v>3104</v>
      </c>
      <c r="B1563" s="2" t="s">
        <v>3105</v>
      </c>
      <c r="C1563" s="3" t="str">
        <f>IFERROR(__xludf.DUMMYFUNCTION("GOOGLETRANSLATE(A1563,""en"",""hy"")"),"ո՞վ է հուսահատ տնային տնտեսուհիների վրա լինետ նվագում:")</f>
        <v>ո՞վ է հուսահատ տնային տնտեսուհիների վրա լինետ նվագում:</v>
      </c>
      <c r="D1563" s="3" t="str">
        <f>IFERROR(__xludf.DUMMYFUNCTION("GOOGLETRANSLATE(B1563,""en"",""hy"")"),"Ֆելիսիթի Հաֆման.")</f>
        <v>Ֆելիսիթի Հաֆման.</v>
      </c>
    </row>
    <row r="1564">
      <c r="A1564" s="1" t="s">
        <v>3106</v>
      </c>
      <c r="B1564" s="2">
        <v>1984.0</v>
      </c>
      <c r="C1564" s="3" t="str">
        <f>IFERROR(__xludf.DUMMYFUNCTION("GOOGLETRANSLATE(A1564,""en"",""hy"")"),"ո՞ր տարին էր Մայքլ Ջորդանի նորեկի տարին:")</f>
        <v>ո՞ր տարին էր Մայքլ Ջորդանի նորեկի տարին:</v>
      </c>
      <c r="D1564" s="3" t="str">
        <f>IFERROR(__xludf.DUMMYFUNCTION("GOOGLETRANSLATE(B1564,""en"",""hy"")"),"1984 թ")</f>
        <v>1984 թ</v>
      </c>
    </row>
    <row r="1565">
      <c r="A1565" s="1" t="s">
        <v>3107</v>
      </c>
      <c r="B1565" s="2" t="s">
        <v>3108</v>
      </c>
      <c r="C1565" s="3" t="str">
        <f>IFERROR(__xludf.DUMMYFUNCTION("GOOGLETRANSLATE(A1565,""en"",""hy"")"),"Ո՞ր ժամային գոտում է գտնվում Տեխասի նահանգը:")</f>
        <v>Ո՞ր ժամային գոտում է գտնվում Տեխասի նահանգը:</v>
      </c>
      <c r="D1565" s="3" t="str">
        <f>IFERROR(__xludf.DUMMYFUNCTION("GOOGLETRANSLATE(B1565,""en"",""hy"")"),"Տեխաս նահանգը գտնվում է Կենտրոնական ժամային գոտում։")</f>
        <v>Տեխաս նահանգը գտնվում է Կենտրոնական ժամային գոտում։</v>
      </c>
    </row>
    <row r="1566">
      <c r="A1566" s="1" t="s">
        <v>3109</v>
      </c>
      <c r="B1566" s="2" t="s">
        <v>3110</v>
      </c>
      <c r="C1566" s="3" t="str">
        <f>IFERROR(__xludf.DUMMYFUNCTION("GOOGLETRANSLATE(A1566,""en"",""hy"")"),"ինչ է բացահայտել Չեդվիկը:")</f>
        <v>ինչ է բացահայտել Չեդվիկը:</v>
      </c>
      <c r="D1566" s="3" t="str">
        <f>IFERROR(__xludf.DUMMYFUNCTION("GOOGLETRANSLATE(B1566,""en"",""hy"")"),"Չեդվիքը հայտնաբերեց նեյտրոնը:")</f>
        <v>Չեդվիքը հայտնաբերեց նեյտրոնը:</v>
      </c>
    </row>
    <row r="1567">
      <c r="A1567" s="1" t="s">
        <v>3111</v>
      </c>
      <c r="B1567" s="2" t="s">
        <v>3112</v>
      </c>
      <c r="C1567" s="3" t="str">
        <f>IFERROR(__xludf.DUMMYFUNCTION("GOOGLETRANSLATE(A1567,""en"",""hy"")"),"Ո՞ր օդանավակայանն է ամենամոտ Ithaca ny:")</f>
        <v>Ո՞ր օդանավակայանն է ամենամոտ Ithaca ny:</v>
      </c>
      <c r="D1567" s="3" t="str">
        <f>IFERROR(__xludf.DUMMYFUNCTION("GOOGLETRANSLATE(B1567,""en"",""hy"")"),"Նյու Յորքի Իթաքային ամենամոտ օդանավակայանը Ithaca Tompkins տարածաշրջանային օդանավակայանն է:")</f>
        <v>Նյու Յորքի Իթաքային ամենամոտ օդանավակայանը Ithaca Tompkins տարածաշրջանային օդանավակայանն է:</v>
      </c>
    </row>
    <row r="1568">
      <c r="A1568" s="1" t="s">
        <v>3113</v>
      </c>
      <c r="B1568" s="2" t="s">
        <v>3114</v>
      </c>
      <c r="C1568" s="3" t="str">
        <f>IFERROR(__xludf.DUMMYFUNCTION("GOOGLETRANSLATE(A1568,""en"",""hy"")"),"որտեղ է մահացել Քուրթ Քոբեյնը")</f>
        <v>որտեղ է մահացել Քուրթ Քոբեյնը</v>
      </c>
      <c r="D1568" s="3" t="str">
        <f>IFERROR(__xludf.DUMMYFUNCTION("GOOGLETRANSLATE(B1568,""en"",""hy"")"),"Քուրթ Քոբեյնը մահացել է Վաշինգտոն նահանգի Սիեթլ քաղաքում։")</f>
        <v>Քուրթ Քոբեյնը մահացել է Վաշինգտոն նահանգի Սիեթլ քաղաքում։</v>
      </c>
    </row>
    <row r="1569">
      <c r="A1569" s="1" t="s">
        <v>3115</v>
      </c>
      <c r="B1569" s="2" t="s">
        <v>3116</v>
      </c>
      <c r="C1569" s="3" t="str">
        <f>IFERROR(__xludf.DUMMYFUNCTION("GOOGLETRANSLATE(A1569,""en"",""hy"")"),"Ո՞ր կոմսությունում է գտնվում Ջեքսոն Միչիգանը:")</f>
        <v>Ո՞ր կոմսությունում է գտնվում Ջեքսոն Միչիգանը:</v>
      </c>
      <c r="D1569" s="3" t="str">
        <f>IFERROR(__xludf.DUMMYFUNCTION("GOOGLETRANSLATE(B1569,""en"",""hy"")"),"Jackson, Michigan գտնվում է Ջեքսոն շրջան։")</f>
        <v>Jackson, Michigan գտնվում է Ջեքսոն շրջան։</v>
      </c>
    </row>
    <row r="1570">
      <c r="A1570" s="1" t="s">
        <v>3117</v>
      </c>
      <c r="B1570" s="2" t="s">
        <v>3118</v>
      </c>
      <c r="C1570" s="3" t="str">
        <f>IFERROR(__xludf.DUMMYFUNCTION("GOOGLETRANSLATE(A1570,""en"",""hy"")"),"որտեղ է տեղի ունեցել Վերդենի ճակատամարտը.")</f>
        <v>որտեղ է տեղի ունեցել Վերդենի ճակատամարտը.</v>
      </c>
      <c r="D1570" s="3" t="str">
        <f>IFERROR(__xludf.DUMMYFUNCTION("GOOGLETRANSLATE(B1570,""en"",""hy"")"),"Վերդենի ճակատամարտը տեղի է ունեցել Ֆրանսիայի Վերդուն քաղաքում։")</f>
        <v>Վերդենի ճակատամարտը տեղի է ունեցել Ֆրանսիայի Վերդուն քաղաքում։</v>
      </c>
    </row>
    <row r="1571">
      <c r="A1571" s="1" t="s">
        <v>3119</v>
      </c>
      <c r="B1571" s="2" t="s">
        <v>3120</v>
      </c>
      <c r="C1571" s="3" t="str">
        <f>IFERROR(__xludf.DUMMYFUNCTION("GOOGLETRANSLATE(A1571,""en"",""hy"")"),"ինչ կառավարման համակարգ ունի Նիգերիան:")</f>
        <v>ինչ կառավարման համակարգ ունի Նիգերիան:</v>
      </c>
      <c r="D1571" s="3" t="str">
        <f>IFERROR(__xludf.DUMMYFUNCTION("GOOGLETRANSLATE(B1571,""en"",""hy"")"),"Նիգերիան ունի դաշնային նախագահական կառավարման համակարգ։")</f>
        <v>Նիգերիան ունի դաշնային նախագահական կառավարման համակարգ։</v>
      </c>
    </row>
    <row r="1572">
      <c r="A1572" s="1" t="s">
        <v>3121</v>
      </c>
      <c r="B1572" s="2" t="s">
        <v>3122</v>
      </c>
      <c r="C1572" s="3" t="str">
        <f>IFERROR(__xludf.DUMMYFUNCTION("GOOGLETRANSLATE(A1572,""en"",""hy"")"),"ով է խաղացել վտանգի բոս հոգգ հերցոգները:")</f>
        <v>ով է խաղացել վտանգի բոս հոգգ հերցոգները:</v>
      </c>
      <c r="D1572" s="3" t="str">
        <f>IFERROR(__xludf.DUMMYFUNCTION("GOOGLETRANSLATE(B1572,""en"",""hy"")"),"Սորել Բուկը խաղացել է Բոս Հոգգի դերը «Հազարդի դքսերը» ֆիլմում:")</f>
        <v>Սորել Բուկը խաղացել է Բոս Հոգգի դերը «Հազարդի դքսերը» ֆիլմում:</v>
      </c>
    </row>
    <row r="1573">
      <c r="A1573" s="1" t="s">
        <v>3123</v>
      </c>
      <c r="B1573" s="2" t="s">
        <v>3124</v>
      </c>
      <c r="C1573" s="3" t="str">
        <f>IFERROR(__xludf.DUMMYFUNCTION("GOOGLETRANSLATE(A1573,""en"",""hy"")"),"ով է խաղացել kitt knight rider-ում:")</f>
        <v>ով է խաղացել kitt knight rider-ում:</v>
      </c>
      <c r="D1573" s="3" t="str">
        <f>IFERROR(__xludf.DUMMYFUNCTION("GOOGLETRANSLATE(B1573,""en"",""hy"")"),"Ուիլյամ Դենիելսը Knight Rider-ում խաղացել է Քիթթի ձայնը:")</f>
        <v>Ուիլյամ Դենիելսը Knight Rider-ում խաղացել է Քիթթի ձայնը:</v>
      </c>
    </row>
    <row r="1574">
      <c r="A1574" s="1" t="s">
        <v>3125</v>
      </c>
      <c r="B1574" s="2" t="s">
        <v>3126</v>
      </c>
      <c r="C1574" s="3" t="str">
        <f>IFERROR(__xludf.DUMMYFUNCTION("GOOGLETRANSLATE(A1574,""en"",""hy"")"),"ի՞նչ կրոնի էին հետևում օսմանյան թուրքերը.")</f>
        <v>ի՞նչ կրոնի էին հետևում օսմանյան թուրքերը.</v>
      </c>
      <c r="D1574" s="3" t="str">
        <f>IFERROR(__xludf.DUMMYFUNCTION("GOOGLETRANSLATE(B1574,""en"",""hy"")"),"Օսմանյան թուրքերը հետևել են իսլամի կրոնին:")</f>
        <v>Օսմանյան թուրքերը հետևել են իսլամի կրոնին:</v>
      </c>
    </row>
    <row r="1575">
      <c r="A1575" s="1" t="s">
        <v>3127</v>
      </c>
      <c r="B1575" s="2" t="s">
        <v>3128</v>
      </c>
      <c r="C1575" s="3" t="str">
        <f>IFERROR(__xludf.DUMMYFUNCTION("GOOGLETRANSLATE(A1575,""en"",""hy"")"),"ինչո՞վ է հայտնի Վանդերբիլտի համալսարանը:")</f>
        <v>ինչո՞վ է հայտնի Վանդերբիլտի համալսարանը:</v>
      </c>
      <c r="D1575" s="3" t="str">
        <f>IFERROR(__xludf.DUMMYFUNCTION("GOOGLETRANSLATE(B1575,""en"",""hy"")"),"Վանդերբիլտի համալսարանը հայտնի է իր ուժեղ ակադեմիական ծրագրերով, հեղինակավոր հեղինակությամբ և գեղեցիկ համալսարանով:")</f>
        <v>Վանդերբիլտի համալսարանը հայտնի է իր ուժեղ ակադեմիական ծրագրերով, հեղինակավոր հեղինակությամբ և գեղեցիկ համալսարանով:</v>
      </c>
    </row>
    <row r="1576">
      <c r="A1576" s="1" t="s">
        <v>3129</v>
      </c>
      <c r="B1576" s="2" t="s">
        <v>3130</v>
      </c>
      <c r="C1576" s="3" t="str">
        <f>IFERROR(__xludf.DUMMYFUNCTION("GOOGLETRANSLATE(A1576,""en"",""hy"")"),"ո՞ր ժամային գոտին է տորոնտո gmt:")</f>
        <v>ո՞ր ժամային գոտին է տորոնտո gmt:</v>
      </c>
      <c r="D1576" s="3" t="str">
        <f>IFERROR(__xludf.DUMMYFUNCTION("GOOGLETRANSLATE(B1576,""en"",""hy"")"),"Տորոնտոյի ժամային գոտին GMT-4 է:")</f>
        <v>Տորոնտոյի ժամային գոտին GMT-4 է:</v>
      </c>
    </row>
    <row r="1577">
      <c r="A1577" s="1" t="s">
        <v>3131</v>
      </c>
      <c r="B1577" s="2" t="s">
        <v>3132</v>
      </c>
      <c r="C1577" s="3" t="str">
        <f>IFERROR(__xludf.DUMMYFUNCTION("GOOGLETRANSLATE(A1577,""en"",""hy"")"),"Ի՞նչ կրոն է Հենրի VIII թագավորը:")</f>
        <v>Ի՞նչ կրոն է Հենրի VIII թագավորը:</v>
      </c>
      <c r="D1577" s="3" t="str">
        <f>IFERROR(__xludf.DUMMYFUNCTION("GOOGLETRANSLATE(B1577,""en"",""hy"")"),"Թագավոր Հենրի VIII-ը սկզբում եղել է հավատացյալ կաթոլիկ, սակայն հետագայում բաժանվել է կաթոլիկ եկեղեցուց և հիմնել Անգլիայի եկեղեցին:")</f>
        <v>Թագավոր Հենրի VIII-ը սկզբում եղել է հավատացյալ կաթոլիկ, սակայն հետագայում բաժանվել է կաթոլիկ եկեղեցուց և հիմնել Անգլիայի եկեղեցին:</v>
      </c>
    </row>
    <row r="1578">
      <c r="A1578" s="1" t="s">
        <v>3133</v>
      </c>
      <c r="B1578" s="2" t="s">
        <v>3134</v>
      </c>
      <c r="C1578" s="3" t="str">
        <f>IFERROR(__xludf.DUMMYFUNCTION("GOOGLETRANSLATE(A1578,""en"",""hy"")"),"Ո՞ր երկրներն է գրավել Գերմանիան Երկրորդ համաշխարհային պատերազմի ժամանակ:")</f>
        <v>Ո՞ր երկրներն է գրավել Գերմանիան Երկրորդ համաշխարհային պատերազմի ժամանակ:</v>
      </c>
      <c r="D1578" s="3" t="str">
        <f>IFERROR(__xludf.DUMMYFUNCTION("GOOGLETRANSLATE(B1578,""en"",""hy"")"),"Երկրորդ համաշխարհային պատերազմի ժամանակ Գերմանիան գրավեց մի քանի երկրներ, այդ թվում՝ Լեհաստանը, Ֆրանսիան, Բելգիան, Նիդեռլանդները, Նորվեգիան, Դանիան, Լյուքսեմբուրգը և Խորհրդային Միության մի մասը:")</f>
        <v>Երկրորդ համաշխարհային պատերազմի ժամանակ Գերմանիան գրավեց մի քանի երկրներ, այդ թվում՝ Լեհաստանը, Ֆրանսիան, Բելգիան, Նիդեռլանդները, Նորվեգիան, Դանիան, Լյուքսեմբուրգը և Խորհրդային Միության մի մասը:</v>
      </c>
    </row>
    <row r="1579">
      <c r="A1579" s="1" t="s">
        <v>3135</v>
      </c>
      <c r="B1579" s="2" t="s">
        <v>3136</v>
      </c>
      <c r="C1579" s="3" t="str">
        <f>IFERROR(__xludf.DUMMYFUNCTION("GOOGLETRANSLATE(A1579,""en"",""hy"")"),"որտե՞ղ է Ջեյմս Բոլդուինը դպրոց հաճախել:")</f>
        <v>որտե՞ղ է Ջեյմս Բոլդուինը դպրոց հաճախել:</v>
      </c>
      <c r="D1579" s="3" t="str">
        <f>IFERROR(__xludf.DUMMYFUNCTION("GOOGLETRANSLATE(B1579,""en"",""hy"")"),"Ջեյմս Բոլդուինը սովորել է Նյու Յորք նահանգի Բրոնքս քաղաքի DeWitt Clinton ավագ դպրոցում:")</f>
        <v>Ջեյմս Բոլդուինը սովորել է Նյու Յորք նահանգի Բրոնքս քաղաքի DeWitt Clinton ավագ դպրոցում:</v>
      </c>
    </row>
    <row r="1580">
      <c r="A1580" s="1" t="s">
        <v>3137</v>
      </c>
      <c r="B1580" s="2" t="s">
        <v>3138</v>
      </c>
      <c r="C1580" s="3" t="str">
        <f>IFERROR(__xludf.DUMMYFUNCTION("GOOGLETRANSLATE(A1580,""en"",""hy"")"),"ով էր Ջոզեֆ Պուլիտցերը և ինչ արեց:")</f>
        <v>ով էր Ջոզեֆ Պուլիտցերը և ինչ արեց:</v>
      </c>
      <c r="D1580" s="3" t="str">
        <f>IFERROR(__xludf.DUMMYFUNCTION("GOOGLETRANSLATE(B1580,""en"",""hy"")"),"Ջոզեֆ Պուլիտցերը հունգարա-ամերիկյան թերթի հրատարակիչ և լրագրող էր։ Նա առավել հայտնի է Պուլիտցերյան մրցանակի հաստատմամբ, որը հարգված մրցանակ է գրելու, լրագրության և երաժշտական ​​ստեղծագործության բնագավառում նվաճումների համար:")</f>
        <v>Ջոզեֆ Պուլիտցերը հունգարա-ամերիկյան թերթի հրատարակիչ և լրագրող էր։ Նա առավել հայտնի է Պուլիտցերյան մրցանակի հաստատմամբ, որը հարգված մրցանակ է գրելու, լրագրության և երաժշտական ​​ստեղծագործության բնագավառում նվաճումների համար:</v>
      </c>
    </row>
    <row r="1581">
      <c r="A1581" s="1" t="s">
        <v>3139</v>
      </c>
      <c r="B1581" s="2" t="s">
        <v>3140</v>
      </c>
      <c r="C1581" s="3" t="str">
        <f>IFERROR(__xludf.DUMMYFUNCTION("GOOGLETRANSLATE(A1581,""en"",""hy"")"),"ուր եք թռչում դեպի ճակատագիր:")</f>
        <v>ուր եք թռչում դեպի ճակատագիր:</v>
      </c>
      <c r="D1581" s="3" t="str">
        <f>IFERROR(__xludf.DUMMYFUNCTION("GOOGLETRANSLATE(B1581,""en"",""hy"")"),"Դեստինի մոտակա օդանավակայանը Destin-Fort Walton Beach օդանավակայանն է (VPS):")</f>
        <v>Դեստինի մոտակա օդանավակայանը Destin-Fort Walton Beach օդանավակայանն է (VPS):</v>
      </c>
    </row>
    <row r="1582">
      <c r="A1582" s="1" t="s">
        <v>3141</v>
      </c>
      <c r="B1582" s="2" t="s">
        <v>3142</v>
      </c>
      <c r="C1582" s="3" t="str">
        <f>IFERROR(__xludf.DUMMYFUNCTION("GOOGLETRANSLATE(A1582,""en"",""hy"")"),"որտեղ է մեծացել Ջեյն Օսթինը")</f>
        <v>որտեղ է մեծացել Ջեյն Օսթինը</v>
      </c>
      <c r="D1582" s="3" t="str">
        <f>IFERROR(__xludf.DUMMYFUNCTION("GOOGLETRANSLATE(B1582,""en"",""hy"")"),"Ջեյն Օսթենը մեծացել է Սթիվենտոնում, Հեմփշիր, Անգլիա:")</f>
        <v>Ջեյն Օսթենը մեծացել է Սթիվենտոնում, Հեմփշիր, Անգլիա:</v>
      </c>
    </row>
    <row r="1583">
      <c r="A1583" s="1" t="s">
        <v>3143</v>
      </c>
      <c r="B1583" s="2" t="s">
        <v>3144</v>
      </c>
      <c r="C1583" s="3" t="str">
        <f>IFERROR(__xludf.DUMMYFUNCTION("GOOGLETRANSLATE(A1583,""en"",""hy"")"),"ո՞րն էր բասկետբոլիստ Մայքլ Ջորդանի մասնագիտությունը քոլեջում:")</f>
        <v>ո՞րն էր բասկետբոլիստ Մայքլ Ջորդանի մասնագիտությունը քոլեջում:</v>
      </c>
      <c r="D1583" s="3" t="str">
        <f>IFERROR(__xludf.DUMMYFUNCTION("GOOGLETRANSLATE(B1583,""en"",""hy"")"),"Քոլեջում Մայքլ Ջորդանի մասնագիտությունը մշակութային աշխարհագրություն էր:")</f>
        <v>Քոլեջում Մայքլ Ջորդանի մասնագիտությունը մշակութային աշխարհագրություն էր:</v>
      </c>
    </row>
    <row r="1584">
      <c r="A1584" s="1" t="s">
        <v>3145</v>
      </c>
      <c r="B1584" s="2" t="s">
        <v>3146</v>
      </c>
      <c r="C1584" s="3" t="str">
        <f>IFERROR(__xludf.DUMMYFUNCTION("GOOGLETRANSLATE(A1584,""en"",""hy"")"),"ով է արել ամերիկյան կարմիր խաչը")</f>
        <v>ով է արել ամերիկյան կարմիր խաչը</v>
      </c>
      <c r="D1584" s="3" t="str">
        <f>IFERROR(__xludf.DUMMYFUNCTION("GOOGLETRANSLATE(B1584,""en"",""hy"")"),"Ամերիկյան Կարմիր Խաչը հիմնադրել է Կլարա Բարտոնը։")</f>
        <v>Ամերիկյան Կարմիր Խաչը հիմնադրել է Կլարա Բարտոնը։</v>
      </c>
    </row>
    <row r="1585">
      <c r="A1585" s="1" t="s">
        <v>3147</v>
      </c>
      <c r="B1585" s="2" t="s">
        <v>3148</v>
      </c>
      <c r="C1585" s="3" t="str">
        <f>IFERROR(__xludf.DUMMYFUNCTION("GOOGLETRANSLATE(A1585,""en"",""hy"")"),"ինչպիսի՞ կառավարություն ունի Կանադան:")</f>
        <v>ինչպիսի՞ կառավարություն ունի Կանադան:</v>
      </c>
      <c r="D1585" s="3" t="str">
        <f>IFERROR(__xludf.DUMMYFUNCTION("GOOGLETRANSLATE(B1585,""en"",""hy"")"),"Կանադան ունի խորհրդարանական ժողովրդավարություն և սահմանադրական միապետություն:")</f>
        <v>Կանադան ունի խորհրդարանական ժողովրդավարություն և սահմանադրական միապետություն:</v>
      </c>
    </row>
    <row r="1586">
      <c r="A1586" s="1" t="s">
        <v>3149</v>
      </c>
      <c r="B1586" s="2" t="s">
        <v>3150</v>
      </c>
      <c r="C1586" s="3" t="str">
        <f>IFERROR(__xludf.DUMMYFUNCTION("GOOGLETRANSLATE(A1586,""en"",""hy"")"),"որտեղ է դր. սանջայ գուպտայի պրակտիկա?")</f>
        <v>որտեղ է դր. սանջայ գուպտայի պրակտիկա?</v>
      </c>
      <c r="D1586" s="3" t="str">
        <f>IFERROR(__xludf.DUMMYFUNCTION("GOOGLETRANSLATE(B1586,""en"",""hy"")"),"Դոկտոր Սանջայ Գուպտան աշխատում է Ատլանտայում, Ջորջիա, Միացյալ Նահանգներ:")</f>
        <v>Դոկտոր Սանջայ Գուպտան աշխատում է Ատլանտայում, Ջորջիա, Միացյալ Նահանգներ:</v>
      </c>
    </row>
    <row r="1587">
      <c r="A1587" s="1" t="s">
        <v>3151</v>
      </c>
      <c r="B1587" s="2" t="s">
        <v>3152</v>
      </c>
      <c r="C1587" s="3" t="str">
        <f>IFERROR(__xludf.DUMMYFUNCTION("GOOGLETRANSLATE(A1587,""en"",""hy"")"),"ի՞նչ է հայտնաբերել կամ հորինել Նյուտոնը:")</f>
        <v>ի՞նչ է հայտնաբերել կամ հորինել Նյուտոնը:</v>
      </c>
      <c r="D1587" s="3" t="str">
        <f>IFERROR(__xludf.DUMMYFUNCTION("GOOGLETRANSLATE(B1587,""en"",""hy"")"),"Նյուտոնը հայտնաբերեց շարժման և համընդհանուր ձգողության օրենքները և հորինեց հաշվարկը:")</f>
        <v>Նյուտոնը հայտնաբերեց շարժման և համընդհանուր ձգողության օրենքները և հորինեց հաշվարկը:</v>
      </c>
    </row>
    <row r="1588">
      <c r="A1588" s="1" t="s">
        <v>3153</v>
      </c>
      <c r="B1588" s="2" t="s">
        <v>3154</v>
      </c>
      <c r="C1588" s="3" t="str">
        <f>IFERROR(__xludf.DUMMYFUNCTION("GOOGLETRANSLATE(A1588,""en"",""hy"")"),"ով խաղաց Դանիել Լառուսո")</f>
        <v>ով խաղաց Դանիել Լառուսո</v>
      </c>
      <c r="D1588" s="3" t="str">
        <f>IFERROR(__xludf.DUMMYFUNCTION("GOOGLETRANSLATE(B1588,""en"",""hy"")"),"Ռալֆ Մաչիոն մարմնավորել է Դանիել Լառուսոյին։")</f>
        <v>Ռալֆ Մաչիոն մարմնավորել է Դանիել Լառուսոյին։</v>
      </c>
    </row>
    <row r="1589">
      <c r="A1589" s="1" t="s">
        <v>3155</v>
      </c>
      <c r="B1589" s="2" t="s">
        <v>3156</v>
      </c>
      <c r="C1589" s="3" t="str">
        <f>IFERROR(__xludf.DUMMYFUNCTION("GOOGLETRANSLATE(A1589,""en"",""hy"")"),"ինչ եղավ umaga wwe-ի հետ:")</f>
        <v>ինչ եղավ umaga wwe-ի հետ:</v>
      </c>
      <c r="D1589" s="3" t="str">
        <f>IFERROR(__xludf.DUMMYFUNCTION("GOOGLETRANSLATE(B1589,""en"",""hy"")"),"Ումագան, նույն ինքը՝ Էդի Ֆաթուն, մահացել է 2009 թվականի դեկտեմբերի 4-ին սրտի կաթվածից։")</f>
        <v>Ումագան, նույն ինքը՝ Էդի Ֆաթուն, մահացել է 2009 թվականի դեկտեմբերի 4-ին սրտի կաթվածից։</v>
      </c>
    </row>
    <row r="1590">
      <c r="A1590" s="1" t="s">
        <v>3157</v>
      </c>
      <c r="B1590" s="2" t="s">
        <v>3158</v>
      </c>
      <c r="C1590" s="3" t="str">
        <f>IFERROR(__xludf.DUMMYFUNCTION("GOOGLETRANSLATE(A1590,""en"",""hy"")"),"ե՞րբ է լինելու Ժնևի հաջորդ ավտոսրահը:")</f>
        <v>ե՞րբ է լինելու Ժնևի հաջորդ ավտոսրահը:</v>
      </c>
      <c r="D1590" s="3" t="str">
        <f>IFERROR(__xludf.DUMMYFUNCTION("GOOGLETRANSLATE(B1590,""en"",""hy"")"),"Ժնևի հաջորդ ավտոսրահը նախատեսված է 2022 թվականի մարտին։")</f>
        <v>Ժնևի հաջորդ ավտոսրահը նախատեսված է 2022 թվականի մարտին։</v>
      </c>
    </row>
    <row r="1591">
      <c r="A1591" s="1" t="s">
        <v>3159</v>
      </c>
      <c r="B1591" s="2" t="s">
        <v>3160</v>
      </c>
      <c r="C1591" s="3" t="str">
        <f>IFERROR(__xludf.DUMMYFUNCTION("GOOGLETRANSLATE(A1591,""en"",""hy"")"),"ո՞ւմ համար է խաղում Դեյվիդ Բեքհեմը 2012 թվականին:")</f>
        <v>ո՞ւմ համար է խաղում Դեյվիդ Բեքհեմը 2012 թվականին:</v>
      </c>
      <c r="D1591" s="3" t="str">
        <f>IFERROR(__xludf.DUMMYFUNCTION("GOOGLETRANSLATE(B1591,""en"",""hy"")"),"Դեյվիդ Բեքհեմը «Լոս Անջելես Գելեքսիում» հանդես է եկել 2012 թվականին։")</f>
        <v>Դեյվիդ Բեքհեմը «Լոս Անջելես Գելեքսիում» հանդես է եկել 2012 թվականին։</v>
      </c>
    </row>
    <row r="1592">
      <c r="A1592" s="1" t="s">
        <v>3161</v>
      </c>
      <c r="B1592" s="2" t="s">
        <v>3162</v>
      </c>
      <c r="C1592" s="3" t="str">
        <f>IFERROR(__xludf.DUMMYFUNCTION("GOOGLETRANSLATE(A1592,""en"",""hy"")"),"ե՞րբ և որտե՞ղ է տեղի ունեցել հակաէթամի ճակատամարտը:")</f>
        <v>ե՞րբ և որտե՞ղ է տեղի ունեցել հակաէթամի ճակատամարտը:</v>
      </c>
      <c r="D1592" s="3" t="str">
        <f>IFERROR(__xludf.DUMMYFUNCTION("GOOGLETRANSLATE(B1592,""en"",""hy"")"),"Անտիետամի ճակատամարտը տեղի է ունեցել 1862 թվականի սեպտեմբերի 17-ին Մերիլենդ նահանգի Շարպսբուրգ քաղաքում։")</f>
        <v>Անտիետամի ճակատամարտը տեղի է ունեցել 1862 թվականի սեպտեմբերի 17-ին Մերիլենդ նահանգի Շարպսբուրգ քաղաքում։</v>
      </c>
    </row>
    <row r="1593">
      <c r="A1593" s="1" t="s">
        <v>3163</v>
      </c>
      <c r="B1593" s="2" t="s">
        <v>3164</v>
      </c>
      <c r="C1593" s="3" t="str">
        <f>IFERROR(__xludf.DUMMYFUNCTION("GOOGLETRANSLATE(A1593,""en"",""hy"")"),"ինչ ֆիլմեր է նկարահանել Ջեյ Աբրամսը:")</f>
        <v>ինչ ֆիլմեր է նկարահանել Ջեյ Աբրամսը:</v>
      </c>
      <c r="D1593" s="3" t="str">
        <f>IFERROR(__xludf.DUMMYFUNCTION("GOOGLETRANSLATE(B1593,""en"",""hy"")"),"Ջեյ Ջեյ Աբրամսը նկարահանել է այնպիսի ֆիլմեր, ինչպիսիք են «Աստղային պատերազմներ. ուժը արթնանում է», «Աստղային ճանապարհ» և «Սուպեր 8»:")</f>
        <v>Ջեյ Ջեյ Աբրամսը նկարահանել է այնպիսի ֆիլմեր, ինչպիսիք են «Աստղային պատերազմներ. ուժը արթնանում է», «Աստղային ճանապարհ» և «Սուպեր 8»:</v>
      </c>
    </row>
    <row r="1594">
      <c r="A1594" s="1" t="s">
        <v>3165</v>
      </c>
      <c r="B1594" s="2" t="s">
        <v>3166</v>
      </c>
      <c r="C1594" s="3" t="str">
        <f>IFERROR(__xludf.DUMMYFUNCTION("GOOGLETRANSLATE(A1594,""en"",""hy"")"),"ո՞ր երկրներին է սահմանակից Հայաստանը")</f>
        <v>ո՞ր երկրներին է սահմանակից Հայաստանը</v>
      </c>
      <c r="D1594" s="3" t="str">
        <f>IFERROR(__xludf.DUMMYFUNCTION("GOOGLETRANSLATE(B1594,""en"",""hy"")"),"Հայաստանը սահմանակից է Վրաստանին, Ադրբեջանին, Իրանին և Թուրքիային։")</f>
        <v>Հայաստանը սահմանակից է Վրաստանին, Ադրբեջանին, Իրանին և Թուրքիային։</v>
      </c>
    </row>
    <row r="1595">
      <c r="A1595" s="1" t="s">
        <v>3167</v>
      </c>
      <c r="B1595" s="2" t="s">
        <v>3168</v>
      </c>
      <c r="C1595" s="3" t="str">
        <f>IFERROR(__xludf.DUMMYFUNCTION("GOOGLETRANSLATE(A1595,""en"",""hy"")"),"Ո՞ր սեզոնին է Հեյլին ունենում իր երկրորդ երեխան:")</f>
        <v>Ո՞ր սեզոնին է Հեյլին ունենում իր երկրորդ երեխան:</v>
      </c>
      <c r="D1595" s="3" t="str">
        <f>IFERROR(__xludf.DUMMYFUNCTION("GOOGLETRANSLATE(B1595,""en"",""hy"")"),"8-րդ սեզոնում.")</f>
        <v>8-րդ սեզոնում.</v>
      </c>
    </row>
    <row r="1596">
      <c r="A1596" s="1" t="s">
        <v>3169</v>
      </c>
      <c r="B1596" s="2" t="s">
        <v>3170</v>
      </c>
      <c r="C1596" s="3" t="str">
        <f>IFERROR(__xludf.DUMMYFUNCTION("GOOGLETRANSLATE(A1596,""en"",""hy"")"),"ո՞ր երկու երկրներն են խոսում իտալերեն:")</f>
        <v>ո՞ր երկու երկրներն են խոսում իտալերեն:</v>
      </c>
      <c r="D1596" s="3" t="str">
        <f>IFERROR(__xludf.DUMMYFUNCTION("GOOGLETRANSLATE(B1596,""en"",""hy"")"),"Իտալիան և Սան Մարինոն երկուսն էլ խոսում են իտալերեն:")</f>
        <v>Իտալիան և Սան Մարինոն երկուսն էլ խոսում են իտալերեն:</v>
      </c>
    </row>
    <row r="1597">
      <c r="A1597" s="1" t="s">
        <v>3171</v>
      </c>
      <c r="B1597" s="2" t="s">
        <v>3172</v>
      </c>
      <c r="C1597" s="3" t="str">
        <f>IFERROR(__xludf.DUMMYFUNCTION("GOOGLETRANSLATE(A1597,""en"",""hy"")"),"երբ Ռիչարդ Նիքսոնը նախագահ էր:")</f>
        <v>երբ Ռիչարդ Նիքսոնը նախագահ էր:</v>
      </c>
      <c r="D1597" s="3" t="str">
        <f>IFERROR(__xludf.DUMMYFUNCTION("GOOGLETRANSLATE(B1597,""en"",""hy"")"),"Ռիչարդ Նիքսոնը նախագահ է եղել 1969 թվականի հունվարի 20-ից մինչև 1974 թվականի օգոստոսի 9-ը։")</f>
        <v>Ռիչարդ Նիքսոնը նախագահ է եղել 1969 թվականի հունվարի 20-ից մինչև 1974 թվականի օգոստոսի 9-ը։</v>
      </c>
    </row>
    <row r="1598">
      <c r="A1598" s="1" t="s">
        <v>3173</v>
      </c>
      <c r="B1598" s="2" t="s">
        <v>3174</v>
      </c>
      <c r="C1598" s="3" t="str">
        <f>IFERROR(__xludf.DUMMYFUNCTION("GOOGLETRANSLATE(A1598,""en"",""hy"")"),"ի՞նչ աշխատանք ուներ Մարտին Լյութեր Քինգ կրտսերը:")</f>
        <v>ի՞նչ աշխատանք ուներ Մարտին Լյութեր Քինգ կրտսերը:</v>
      </c>
      <c r="D1598" s="3" t="str">
        <f>IFERROR(__xludf.DUMMYFUNCTION("GOOGLETRANSLATE(B1598,""en"",""hy"")"),"Մարտին Լյութեր Քինգ կրտսերը քաղաքացիական իրավունքների ակտիվիստ էր և Միացյալ Նահանգներում ռասայական հավասարության համար ոչ բռնի շարժման առաջնորդ:")</f>
        <v>Մարտին Լյութեր Քինգ կրտսերը քաղաքացիական իրավունքների ակտիվիստ էր և Միացյալ Նահանգներում ռասայական հավասարության համար ոչ բռնի շարժման առաջնորդ:</v>
      </c>
    </row>
    <row r="1599">
      <c r="A1599" s="1" t="s">
        <v>3175</v>
      </c>
      <c r="B1599" s="2" t="s">
        <v>3176</v>
      </c>
      <c r="C1599" s="3" t="str">
        <f>IFERROR(__xludf.DUMMYFUNCTION("GOOGLETRANSLATE(A1599,""en"",""hy"")"),"ի՞նչ կերպարներ է հնչեցնում Սեթ Մակֆարլեյնը:")</f>
        <v>ի՞նչ կերպարներ է հնչեցնում Սեթ Մակֆարլեյնը:</v>
      </c>
      <c r="D1599" s="3" t="str">
        <f>IFERROR(__xludf.DUMMYFUNCTION("GOOGLETRANSLATE(B1599,""en"",""hy"")"),"Սեթ Մաքֆարլեյնը հնչյունավորում է այնպիսի կերպարների, ինչպիսիք են Փիթեր Գրիֆինը, Սթիվի Գրիֆինը և Բրայան Գրիֆինը «Family Guy» անիմացիոն սերիալում։")</f>
        <v>Սեթ Մաքֆարլեյնը հնչյունավորում է այնպիսի կերպարների, ինչպիսիք են Փիթեր Գրիֆինը, Սթիվի Գրիֆինը և Բրայան Գրիֆինը «Family Guy» անիմացիոն սերիալում։</v>
      </c>
    </row>
    <row r="1600">
      <c r="A1600" s="1" t="s">
        <v>3177</v>
      </c>
      <c r="B1600" s="2" t="s">
        <v>3178</v>
      </c>
      <c r="C1600" s="3" t="str">
        <f>IFERROR(__xludf.DUMMYFUNCTION("GOOGLETRANSLATE(A1600,""en"",""hy"")"),"որտեղ է կրակել մաչո կամաչոյին:")</f>
        <v>որտեղ է կրակել մաչո կամաչոյին:</v>
      </c>
      <c r="D1600" s="3" t="str">
        <f>IFERROR(__xludf.DUMMYFUNCTION("GOOGLETRANSLATE(B1600,""en"",""hy"")"),"Մաչո Կամաչոն կրակել է դեմքին և պարանոցին.")</f>
        <v>Մաչո Կամաչոն կրակել է դեմքին և պարանոցին.</v>
      </c>
    </row>
    <row r="1601">
      <c r="A1601" s="1" t="s">
        <v>3179</v>
      </c>
      <c r="B1601" s="2" t="s">
        <v>3180</v>
      </c>
      <c r="C1601" s="3" t="str">
        <f>IFERROR(__xludf.DUMMYFUNCTION("GOOGLETRANSLATE(A1601,""en"",""hy"")"),"ինչում է խաղացել Իան Սոմերհոլդերը")</f>
        <v>ինչում է խաղացել Իան Սոմերհոլդերը</v>
      </c>
      <c r="D1601" s="3" t="str">
        <f>IFERROR(__xludf.DUMMYFUNCTION("GOOGLETRANSLATE(B1601,""en"",""hy"")"),"Յան Սոմերհոլդերը խաղացել է Դեյմոն Սալվատորեի դերը «Վամպիրի օրագրերը» հեռուստասերիալում։")</f>
        <v>Յան Սոմերհոլդերը խաղացել է Դեյմոն Սալվատորեի դերը «Վամպիրի օրագրերը» հեռուստասերիալում։</v>
      </c>
    </row>
    <row r="1602">
      <c r="A1602" s="1" t="s">
        <v>3181</v>
      </c>
      <c r="B1602" s="2" t="s">
        <v>3182</v>
      </c>
      <c r="C1602" s="3" t="str">
        <f>IFERROR(__xludf.DUMMYFUNCTION("GOOGLETRANSLATE(A1602,""en"",""hy"")"),"Ո՞ր ժամին է փակվում թիրախը Ալհամբրայում:")</f>
        <v>Ո՞ր ժամին է փակվում թիրախը Ալհամբրայում:</v>
      </c>
      <c r="D1602" s="3" t="str">
        <f>IFERROR(__xludf.DUMMYFUNCTION("GOOGLETRANSLATE(B1602,""en"",""hy"")"),"Ալհամբրայում Target-ի փակման ժամանակը կարող է տարբեր լինել, բայց սովորաբար այն փակվում է 22:00-ին: Խորհուրդ է տրվում ճշտել կոնկրետ խանութից դրանց փակման ճշգրիտ ժամանակը:")</f>
        <v>Ալհամբրայում Target-ի փակման ժամանակը կարող է տարբեր լինել, բայց սովորաբար այն փակվում է 22:00-ին: Խորհուրդ է տրվում ճշտել կոնկրետ խանութից դրանց փակման ճշգրիտ ժամանակը:</v>
      </c>
    </row>
    <row r="1603">
      <c r="A1603" s="1" t="s">
        <v>3183</v>
      </c>
      <c r="B1603" s="2" t="s">
        <v>3184</v>
      </c>
      <c r="C1603" s="3" t="str">
        <f>IFERROR(__xludf.DUMMYFUNCTION("GOOGLETRANSLATE(A1603,""en"",""hy"")"),"ով է Էնդրյու Քարնեգին և ինչ է նա արել:")</f>
        <v>ով է Էնդրյու Քարնեգին և ինչ է նա արել:</v>
      </c>
      <c r="D1603" s="3" t="str">
        <f>IFERROR(__xludf.DUMMYFUNCTION("GOOGLETRANSLATE(B1603,""en"",""hy"")"),"Էնդրյու Քարնեգին ամերիկացի արդյունաբերող և բարերար էր։ Նա կառուցեց հսկայական պողպատե կայսրություն և դարձավ պատմության ամենահարուստ մարդկանցից մեկը: Նա առավել հայտնի է իր բարեգործական ջանքերով, որոնք ներառում էին գրադարաններին, կրթությանը և խաղաղության նախ"&amp;"աձեռնություններին աջակցելը:")</f>
        <v>Էնդրյու Քարնեգին ամերիկացի արդյունաբերող և բարերար էր։ Նա կառուցեց հսկայական պողպատե կայսրություն և դարձավ պատմության ամենահարուստ մարդկանցից մեկը: Նա առավել հայտնի է իր բարեգործական ջանքերով, որոնք ներառում էին գրադարաններին, կրթությանը և խաղաղության նախաձեռնություններին աջակցելը:</v>
      </c>
    </row>
    <row r="1604">
      <c r="A1604" s="1" t="s">
        <v>3185</v>
      </c>
      <c r="B1604" s="2" t="s">
        <v>3186</v>
      </c>
      <c r="C1604" s="3" t="str">
        <f>IFERROR(__xludf.DUMMYFUNCTION("GOOGLETRANSLATE(A1604,""en"",""hy"")"),"ով է խաղում Լորն հրեշտակի վրա:")</f>
        <v>ով է խաղում Լորն հրեշտակի վրա:</v>
      </c>
      <c r="D1604" s="3" t="str">
        <f>IFERROR(__xludf.DUMMYFUNCTION("GOOGLETRANSLATE(B1604,""en"",""hy"")"),"Էնդի Հալեթ.")</f>
        <v>Էնդի Հալեթ.</v>
      </c>
    </row>
    <row r="1605">
      <c r="A1605" s="1" t="s">
        <v>3187</v>
      </c>
      <c r="B1605" s="2" t="s">
        <v>3188</v>
      </c>
      <c r="C1605" s="3" t="str">
        <f>IFERROR(__xludf.DUMMYFUNCTION("GOOGLETRANSLATE(A1605,""en"",""hy"")"),"ինչպիսի՞ կառավարման ձև կա Չինաստանում.")</f>
        <v>ինչպիսի՞ կառավարման ձև կա Չինաստանում.</v>
      </c>
      <c r="D1605" s="3" t="str">
        <f>IFERROR(__xludf.DUMMYFUNCTION("GOOGLETRANSLATE(B1605,""en"",""hy"")"),"Չինաստանում կառավարման ձևը միակուսակցական սոցիալիստական ​​պետություն է, որտեղ գերակշռում է Չինաստանի կոմունիստական ​​կուսակցությունը։")</f>
        <v>Չինաստանում կառավարման ձևը միակուսակցական սոցիալիստական ​​պետություն է, որտեղ գերակշռում է Չինաստանի կոմունիստական ​​կուսակցությունը։</v>
      </c>
    </row>
    <row r="1606">
      <c r="A1606" s="1" t="s">
        <v>3189</v>
      </c>
      <c r="B1606" s="2" t="s">
        <v>3190</v>
      </c>
      <c r="C1606" s="3" t="str">
        <f>IFERROR(__xludf.DUMMYFUNCTION("GOOGLETRANSLATE(A1606,""en"",""hy"")"),"ի՞նչն է ազդել Աբրահամ Լինքոլնի նախագահ դառնալու վրա:")</f>
        <v>ի՞նչն է ազդել Աբրահամ Լինքոլնի նախագահ դառնալու վրա:</v>
      </c>
      <c r="D1606" s="3" t="str">
        <f>IFERROR(__xludf.DUMMYFUNCTION("GOOGLETRANSLATE(B1606,""en"",""hy"")"),"Աբրահամ Լինքոլնի վրա նախագահ դառնալու վրա ազդել է Միությունը պահպանելու իր հավատը և ստրկությանը դեմ լինելը:")</f>
        <v>Աբրահամ Լինքոլնի վրա նախագահ դառնալու վրա ազդել է Միությունը պահպանելու իր հավատը և ստրկությանը դեմ լինելը:</v>
      </c>
    </row>
    <row r="1607">
      <c r="A1607" s="1" t="s">
        <v>3191</v>
      </c>
      <c r="B1607" s="2" t="s">
        <v>3192</v>
      </c>
      <c r="C1607" s="3" t="str">
        <f>IFERROR(__xludf.DUMMYFUNCTION("GOOGLETRANSLATE(A1607,""en"",""hy"")"),"ով է Ջերեմի Սամփթերը")</f>
        <v>ով է Ջերեմի Սամփթերը</v>
      </c>
      <c r="D1607" s="3" t="str">
        <f>IFERROR(__xludf.DUMMYFUNCTION("GOOGLETRANSLATE(B1607,""en"",""hy"")"),"Ջերեմի Սամփթերը ամերիկացի դերասան է։")</f>
        <v>Ջերեմի Սամփթերը ամերիկացի դերասան է։</v>
      </c>
    </row>
    <row r="1608">
      <c r="A1608" s="1" t="s">
        <v>3193</v>
      </c>
      <c r="B1608" s="2" t="s">
        <v>3194</v>
      </c>
      <c r="C1608" s="3" t="str">
        <f>IFERROR(__xludf.DUMMYFUNCTION("GOOGLETRANSLATE(A1608,""en"",""hy"")"),"Ե՞րբ է վերջին անգամ «Ռեալը» հաղթել Չեմպիոնների լիգան:")</f>
        <v>Ե՞րբ է վերջին անգամ «Ռեալը» հաղթել Չեմպիոնների լիգան:</v>
      </c>
      <c r="D1608" s="3" t="str">
        <f>IFERROR(__xludf.DUMMYFUNCTION("GOOGLETRANSLATE(B1608,""en"",""hy"")"),"«Ռեալը» վերջին անգամ Չեմպիոնների լիգայում հաղթել է 2017-2018 մրցաշրջանում։")</f>
        <v>«Ռեալը» վերջին անգամ Չեմպիոնների լիգայում հաղթել է 2017-2018 մրցաշրջանում։</v>
      </c>
    </row>
    <row r="1609">
      <c r="A1609" s="1" t="s">
        <v>3195</v>
      </c>
      <c r="B1609" s="2" t="s">
        <v>3196</v>
      </c>
      <c r="C1609" s="3" t="str">
        <f>IFERROR(__xludf.DUMMYFUNCTION("GOOGLETRANSLATE(A1609,""en"",""hy"")"),"ով էր 2009 թվականի Խաղաղության Նոբելյան մրցանակակիրը.")</f>
        <v>ով էր 2009 թվականի Խաղաղության Նոբելյան մրցանակակիրը.</v>
      </c>
      <c r="D1609" s="3" t="str">
        <f>IFERROR(__xludf.DUMMYFUNCTION("GOOGLETRANSLATE(B1609,""en"",""hy"")"),"Բարաք Օբամա.")</f>
        <v>Բարաք Օբամա.</v>
      </c>
    </row>
    <row r="1610">
      <c r="A1610" s="1" t="s">
        <v>3197</v>
      </c>
      <c r="B1610" s="2" t="s">
        <v>3198</v>
      </c>
      <c r="C1610" s="3" t="str">
        <f>IFERROR(__xludf.DUMMYFUNCTION("GOOGLETRANSLATE(A1610,""en"",""hy"")"),"ով է հիմա կառավարում Հյուսիսային Կորեան")</f>
        <v>ով է հիմա կառավարում Հյուսիսային Կորեան</v>
      </c>
      <c r="D1610" s="3" t="str">
        <f>IFERROR(__xludf.DUMMYFUNCTION("GOOGLETRANSLATE(B1610,""en"",""hy"")"),"Կիմ Չեն Ընը ներկայումս ղեկավարում է Հյուսիսային Կորեան։")</f>
        <v>Կիմ Չեն Ընը ներկայումս ղեկավարում է Հյուսիսային Կորեան։</v>
      </c>
    </row>
    <row r="1611">
      <c r="A1611" s="1" t="s">
        <v>3199</v>
      </c>
      <c r="B1611" s="2" t="s">
        <v>3200</v>
      </c>
      <c r="C1611" s="3" t="str">
        <f>IFERROR(__xludf.DUMMYFUNCTION("GOOGLETRANSLATE(A1611,""en"",""hy"")"),"ի՞նչ Աստվածաշունչ են օգտագործում ռաստաֆարները:")</f>
        <v>ի՞նչ Աստվածաշունչ են օգտագործում ռաստաֆարները:</v>
      </c>
      <c r="D1611" s="3" t="str">
        <f>IFERROR(__xludf.DUMMYFUNCTION("GOOGLETRANSLATE(B1611,""en"",""hy"")"),"Ռաստաֆարյանները հիմնականում օգտագործում են Աստվածաշնչի Թագավոր Ջեյմս տարբերակը։")</f>
        <v>Ռաստաֆարյանները հիմնականում օգտագործում են Աստվածաշնչի Թագավոր Ջեյմս տարբերակը։</v>
      </c>
    </row>
    <row r="1612">
      <c r="A1612" s="1" t="s">
        <v>3201</v>
      </c>
      <c r="B1612" s="2" t="s">
        <v>3202</v>
      </c>
      <c r="C1612" s="3" t="str">
        <f>IFERROR(__xludf.DUMMYFUNCTION("GOOGLETRANSLATE(A1612,""en"",""hy"")"),"ով է խաղում Կրիշտիանու Ռոնալդուն այժմ 2011 թ.")</f>
        <v>ով է խաղում Կրիշտիանու Ռոնալդուն այժմ 2011 թ.</v>
      </c>
      <c r="D1612" s="3" t="str">
        <f>IFERROR(__xludf.DUMMYFUNCTION("GOOGLETRANSLATE(B1612,""en"",""hy"")"),"Կրիշտիանու Ռոնալդուն Մադրիդի «Ռեալում» հանդես է գալիս 2011 թվականին։")</f>
        <v>Կրիշտիանու Ռոնալդուն Մադրիդի «Ռեալում» հանդես է գալիս 2011 թվականին։</v>
      </c>
    </row>
    <row r="1613">
      <c r="A1613" s="1" t="s">
        <v>3203</v>
      </c>
      <c r="B1613" s="2" t="s">
        <v>3204</v>
      </c>
      <c r="C1613" s="3" t="str">
        <f>IFERROR(__xludf.DUMMYFUNCTION("GOOGLETRANSLATE(A1613,""en"",""hy"")"),"ի՞նչ պետություն էր ներկայացնում Հենրի Քլեյը:")</f>
        <v>ի՞նչ պետություն էր ներկայացնում Հենրի Քլեյը:</v>
      </c>
      <c r="D1613" s="3" t="str">
        <f>IFERROR(__xludf.DUMMYFUNCTION("GOOGLETRANSLATE(B1613,""en"",""hy"")"),"Կենտուկի")</f>
        <v>Կենտուկի</v>
      </c>
    </row>
    <row r="1614">
      <c r="A1614" s="1" t="s">
        <v>3205</v>
      </c>
      <c r="B1614" s="2" t="s">
        <v>988</v>
      </c>
      <c r="C1614" s="3" t="str">
        <f>IFERROR(__xludf.DUMMYFUNCTION("GOOGLETRANSLATE(A1614,""en"",""hy"")"),"Ո՞ր երկրում է ծնվել Վասկո Նունես դե Բալբոան:")</f>
        <v>Ո՞ր երկրում է ծնվել Վասկո Նունես դե Բալբոան:</v>
      </c>
      <c r="D1614" s="3" t="str">
        <f>IFERROR(__xludf.DUMMYFUNCTION("GOOGLETRANSLATE(B1614,""en"",""hy"")"),"Իսպանիա")</f>
        <v>Իսպանիա</v>
      </c>
    </row>
    <row r="1615">
      <c r="A1615" s="1" t="s">
        <v>3206</v>
      </c>
      <c r="B1615" s="2" t="s">
        <v>3207</v>
      </c>
      <c r="C1615" s="3" t="str">
        <f>IFERROR(__xludf.DUMMYFUNCTION("GOOGLETRANSLATE(A1615,""en"",""hy"")"),"Ո՞ր նահանգներով է անցնում Միսիսիպի գետը:")</f>
        <v>Ո՞ր նահանգներով է անցնում Միսիսիպի գետը:</v>
      </c>
      <c r="D1615" s="3" t="str">
        <f>IFERROR(__xludf.DUMMYFUNCTION("GOOGLETRANSLATE(B1615,""en"",""hy"")"),"Միսիսիպի գետը անցնում է կամ սահմանակից է հետևյալ նահանգներին՝ Մինեսոտա, Վիսկոնսին, Այովա, Իլինոյս, Միսսուրի, Կենտուկի, Թենեսի, Արկանզաս, Միսիսիպի և Լուիզիանա։")</f>
        <v>Միսիսիպի գետը անցնում է կամ սահմանակից է հետևյալ նահանգներին՝ Մինեսոտա, Վիսկոնսին, Այովա, Իլինոյս, Միսսուրի, Կենտուկի, Թենեսի, Արկանզաս, Միսիսիպի և Լուիզիանա։</v>
      </c>
    </row>
    <row r="1616">
      <c r="A1616" s="1" t="s">
        <v>3208</v>
      </c>
      <c r="B1616" s="2" t="s">
        <v>3209</v>
      </c>
      <c r="C1616" s="3" t="str">
        <f>IFERROR(__xludf.DUMMYFUNCTION("GOOGLETRANSLATE(A1616,""en"",""hy"")"),"որտեղ էր գտնվում Սան Գաբրիել Արքանգելը:")</f>
        <v>որտեղ էր գտնվում Սան Գաբրիել Արքանգելը:</v>
      </c>
      <c r="D1616" s="3" t="str">
        <f>IFERROR(__xludf.DUMMYFUNCTION("GOOGLETRANSLATE(B1616,""en"",""hy"")"),"San Gabriel Arcangel-ը գտնվում էր Կալիֆորնիայի Սան Գաբրիել քաղաքում:")</f>
        <v>San Gabriel Arcangel-ը գտնվում էր Կալիֆորնիայի Սան Գաբրիել քաղաքում:</v>
      </c>
    </row>
    <row r="1617">
      <c r="A1617" s="1" t="s">
        <v>3210</v>
      </c>
      <c r="B1617" s="2" t="s">
        <v>3211</v>
      </c>
      <c r="C1617" s="3" t="str">
        <f>IFERROR(__xludf.DUMMYFUNCTION("GOOGLETRANSLATE(A1617,""en"",""hy"")"),"ով էր կայսրը ներոնից առաջ:")</f>
        <v>ով էր կայսրը ներոնից առաջ:</v>
      </c>
      <c r="D1617" s="3" t="str">
        <f>IFERROR(__xludf.DUMMYFUNCTION("GOOGLETRANSLATE(B1617,""en"",""hy"")"),"Ներոնից առաջ կայսրը Կլավդիոսն էր։")</f>
        <v>Ներոնից առաջ կայսրը Կլավդիոսն էր։</v>
      </c>
    </row>
    <row r="1618">
      <c r="A1618" s="1" t="s">
        <v>3212</v>
      </c>
      <c r="B1618" s="2" t="s">
        <v>3213</v>
      </c>
      <c r="C1618" s="3" t="str">
        <f>IFERROR(__xludf.DUMMYFUNCTION("GOOGLETRANSLATE(A1618,""en"",""hy"")"),"ի՞նչ տեսակի ստեղծագործություններ է ստեղծել Հենրի Մատիսը:")</f>
        <v>ի՞նչ տեսակի ստեղծագործություններ է ստեղծել Հենրի Մատիսը:</v>
      </c>
      <c r="D1618" s="3" t="str">
        <f>IFERROR(__xludf.DUMMYFUNCTION("GOOGLETRANSLATE(B1618,""en"",""hy"")"),"Անրի Մատիսը արտադրում էր տարբեր տեսակի արվեստի գործեր, այդ թվում՝ նկարներ, քանդակներ, գծանկարներ, տպագրություններ և թղթի կտորներ։")</f>
        <v>Անրի Մատիսը արտադրում էր տարբեր տեսակի արվեստի գործեր, այդ թվում՝ նկարներ, քանդակներ, գծանկարներ, տպագրություններ և թղթի կտորներ։</v>
      </c>
    </row>
    <row r="1619">
      <c r="A1619" s="1" t="s">
        <v>3214</v>
      </c>
      <c r="B1619" s="2" t="s">
        <v>3215</v>
      </c>
      <c r="C1619" s="3" t="str">
        <f>IFERROR(__xludf.DUMMYFUNCTION("GOOGLETRANSLATE(A1619,""en"",""hy"")"),"ինչ է Գիբիի մայրիկի անունը:")</f>
        <v>ինչ է Գիբիի մայրիկի անունը:</v>
      </c>
      <c r="D1619" s="3" t="str">
        <f>IFERROR(__xludf.DUMMYFUNCTION("GOOGLETRANSLATE(B1619,""en"",""hy"")"),"Գիբիի մայրիկի անունը Շառլոտ է:")</f>
        <v>Գիբիի մայրիկի անունը Շառլոտ է:</v>
      </c>
    </row>
    <row r="1620">
      <c r="A1620" s="1" t="s">
        <v>3216</v>
      </c>
      <c r="B1620" s="2" t="s">
        <v>3217</v>
      </c>
      <c r="C1620" s="3" t="str">
        <f>IFERROR(__xludf.DUMMYFUNCTION("GOOGLETRANSLATE(A1620,""en"",""hy"")"),"ի՞նչ երաժշտություն է երգում Էլլա Ֆիցջերալդը:")</f>
        <v>ի՞նչ երաժշտություն է երգում Էլլա Ֆիցջերալդը:</v>
      </c>
      <c r="D1620" s="3" t="str">
        <f>IFERROR(__xludf.DUMMYFUNCTION("GOOGLETRANSLATE(B1620,""en"",""hy"")"),"Էլլա Ֆիցջերալդը ջազային երաժշտություն է երգում։")</f>
        <v>Էլլա Ֆիցջերալդը ջազային երաժշտություն է երգում։</v>
      </c>
    </row>
    <row r="1621">
      <c r="A1621" s="1" t="s">
        <v>3218</v>
      </c>
      <c r="B1621" s="2" t="s">
        <v>3219</v>
      </c>
      <c r="C1621" s="3" t="str">
        <f>IFERROR(__xludf.DUMMYFUNCTION("GOOGLETRANSLATE(A1621,""en"",""hy"")"),"որտեղ են օրիոլները խաղում գարնանային մարզումներ:")</f>
        <v>որտեղ են օրիոլները խաղում գարնանային մարզումներ:</v>
      </c>
      <c r="D1621" s="3" t="str">
        <f>IFERROR(__xludf.DUMMYFUNCTION("GOOGLETRANSLATE(B1621,""en"",""hy"")"),"Օրիոլները գարնանային մարզումներ են անցկացնում Ֆլորիդայի Սարասոտա քաղաքում:")</f>
        <v>Օրիոլները գարնանային մարզումներ են անցկացնում Ֆլորիդայի Սարասոտա քաղաքում:</v>
      </c>
    </row>
    <row r="1622">
      <c r="A1622" s="1" t="s">
        <v>3220</v>
      </c>
      <c r="B1622" s="2" t="s">
        <v>3221</v>
      </c>
      <c r="C1622" s="3" t="str">
        <f>IFERROR(__xludf.DUMMYFUNCTION("GOOGLETRANSLATE(A1622,""en"",""hy"")"),"Որո՞նք են Գերմանիայում գնալու լավագույն վայրերը:")</f>
        <v>Որո՞նք են Գերմանիայում գնալու լավագույն վայրերը:</v>
      </c>
      <c r="D1622" s="3" t="str">
        <f>IFERROR(__xludf.DUMMYFUNCTION("GOOGLETRANSLATE(B1622,""en"",""hy"")"),"Գերմանիայում գնալու լավագույն վայրերն են Բեռլինը, Մյունխենը, Համբուրգը, Քյոլնը և Սև անտառը:")</f>
        <v>Գերմանիայում գնալու լավագույն վայրերն են Բեռլինը, Մյունխենը, Համբուրգը, Քյոլնը և Սև անտառը:</v>
      </c>
    </row>
    <row r="1623">
      <c r="A1623" s="1" t="s">
        <v>3222</v>
      </c>
      <c r="B1623" s="2" t="s">
        <v>3223</v>
      </c>
      <c r="C1623" s="3" t="str">
        <f>IFERROR(__xludf.DUMMYFUNCTION("GOOGLETRANSLATE(A1623,""en"",""hy"")"),"ինչ ֆիլմեր են ռեժիսոր Սթիվեն Սփիլբերգը")</f>
        <v>ինչ ֆիլմեր են ռեժիսոր Սթիվեն Սփիլբերգը</v>
      </c>
      <c r="D1623" s="3" t="str">
        <f>IFERROR(__xludf.DUMMYFUNCTION("GOOGLETRANSLATE(B1623,""en"",""hy"")"),"Սթիվեն Սփիլբերգի որոշ ֆիլմեր ներառում են E.T. արտաերկրյա, ծնոտներ, Յուրայի պարկ և Շինդլերի ցուցակը:")</f>
        <v>Սթիվեն Սփիլբերգի որոշ ֆիլմեր ներառում են E.T. արտաերկրյա, ծնոտներ, Յուրայի պարկ և Շինդլերի ցուցակը:</v>
      </c>
    </row>
    <row r="1624">
      <c r="A1624" s="1" t="s">
        <v>3224</v>
      </c>
      <c r="B1624" s="2" t="s">
        <v>3225</v>
      </c>
      <c r="C1624" s="3" t="str">
        <f>IFERROR(__xludf.DUMMYFUNCTION("GOOGLETRANSLATE(A1624,""en"",""hy"")"),"ինչ գործիք է նվագում Մայք Հակաբին:")</f>
        <v>ինչ գործիք է նվագում Մայք Հակաբին:</v>
      </c>
      <c r="D1624" s="3" t="str">
        <f>IFERROR(__xludf.DUMMYFUNCTION("GOOGLETRANSLATE(B1624,""en"",""hy"")"),"Մայք Հեքաբին կիթառ է նվագում։")</f>
        <v>Մայք Հեքաբին կիթառ է նվագում։</v>
      </c>
    </row>
    <row r="1625">
      <c r="A1625" s="1" t="s">
        <v>3226</v>
      </c>
      <c r="B1625" s="2" t="s">
        <v>3227</v>
      </c>
      <c r="C1625" s="3" t="str">
        <f>IFERROR(__xludf.DUMMYFUNCTION("GOOGLETRANSLATE(A1625,""en"",""hy"")"),"ինչ ֆիլմերում է խաղում Մեթ Դեյմոնը")</f>
        <v>ինչ ֆիլմերում է խաղում Մեթ Դեյմոնը</v>
      </c>
      <c r="D1625" s="3" t="str">
        <f>IFERROR(__xludf.DUMMYFUNCTION("GOOGLETRANSLATE(B1625,""en"",""hy"")"),"Մեթ Դեյմոնը նկարահանվել է այնպիսի ֆիլմերում, ինչպիսիք են «Good Will Hunting», «The Bourne Identity», «The Martian», «Ocean's Eleven» և «The Departed» և այլն:")</f>
        <v>Մեթ Դեյմոնը նկարահանվել է այնպիսի ֆիլմերում, ինչպիսիք են «Good Will Hunting», «The Bourne Identity», «The Martian», «Ocean's Eleven» և «The Departed» և այլն:</v>
      </c>
    </row>
    <row r="1626">
      <c r="A1626" s="1" t="s">
        <v>3228</v>
      </c>
      <c r="B1626" s="2" t="s">
        <v>3229</v>
      </c>
      <c r="C1626" s="3" t="str">
        <f>IFERROR(__xludf.DUMMYFUNCTION("GOOGLETRANSLATE(A1626,""en"",""hy"")"),"որտեղ է գտնվում Բասկան:")</f>
        <v>որտեղ է գտնվում Բասկան:</v>
      </c>
      <c r="D1626" s="3" t="str">
        <f>IFERROR(__xludf.DUMMYFUNCTION("GOOGLETRANSLATE(B1626,""en"",""hy"")"),"Բասկերեն գտնվում է արևմտյան Պիրենեյներում՝ Ֆրանսիայի և Իսպանիայի միջև։")</f>
        <v>Բասկերեն գտնվում է արևմտյան Պիրենեյներում՝ Ֆրանսիայի և Իսպանիայի միջև։</v>
      </c>
    </row>
    <row r="1627">
      <c r="A1627" s="1" t="s">
        <v>3230</v>
      </c>
      <c r="B1627" s="2" t="s">
        <v>3231</v>
      </c>
      <c r="C1627" s="3" t="str">
        <f>IFERROR(__xludf.DUMMYFUNCTION("GOOGLETRANSLATE(A1627,""en"",""hy"")"),"Ո՞ր ֆիլմերում է խաղում Էլիսոն Սթոները")</f>
        <v>Ո՞ր ֆիլմերում է խաղում Էլիսոն Սթոները</v>
      </c>
      <c r="D1627" s="3" t="str">
        <f>IFERROR(__xludf.DUMMYFUNCTION("GOOGLETRANSLATE(B1627,""en"",""hy"")"),"Ալիսոն Սթոները նկարահանվել է այնպիսի ֆիլմերում, ինչպիսիք են «Դասով ավելի էժանը», «Step Up» և «Camp Rock»:")</f>
        <v>Ալիսոն Սթոները նկարահանվել է այնպիսի ֆիլմերում, ինչպիսիք են «Դասով ավելի էժանը», «Step Up» և «Camp Rock»:</v>
      </c>
    </row>
    <row r="1628">
      <c r="A1628" s="1" t="s">
        <v>3232</v>
      </c>
      <c r="B1628" s="2" t="s">
        <v>3233</v>
      </c>
      <c r="C1628" s="3" t="str">
        <f>IFERROR(__xludf.DUMMYFUNCTION("GOOGLETRANSLATE(A1628,""en"",""hy"")"),"ում հետ ամուսնացավ Փոլ կրտսերը:")</f>
        <v>ում հետ ամուսնացավ Փոլ կրտսերը:</v>
      </c>
      <c r="D1628" s="3" t="str">
        <f>IFERROR(__xludf.DUMMYFUNCTION("GOOGLETRANSLATE(B1628,""en"",""hy"")"),"Փոլ կրտսերն ամուսնացել է Ռեյչել Բիսթերի հետ։")</f>
        <v>Փոլ կրտսերն ամուսնացել է Ռեյչել Բիսթերի հետ։</v>
      </c>
    </row>
    <row r="1629">
      <c r="A1629" s="1" t="s">
        <v>3234</v>
      </c>
      <c r="B1629" s="2" t="s">
        <v>3235</v>
      </c>
      <c r="C1629" s="3" t="str">
        <f>IFERROR(__xludf.DUMMYFUNCTION("GOOGLETRANSLATE(A1629,""en"",""hy"")"),"Ե՞րբ են դպրոցական արձակուրդները Մեծ Բրիտանիայում 2011 թ.")</f>
        <v>Ե՞րբ են դպրոցական արձակուրդները Մեծ Բրիտանիայում 2011 թ.</v>
      </c>
      <c r="D1629" s="3" t="str">
        <f>IFERROR(__xludf.DUMMYFUNCTION("GOOGLETRANSLATE(B1629,""en"",""hy"")"),"Մեծ Բրիտանիայում 2011թ.-ի դպրոցական արձակուրդները տարբեր են՝ կախված տարածաշրջանից և դպրոցական շրջանից: Ճշգրիտ տեղեկությունների համար լավագույնն է ճշտել կոնկրետ դպրոցներից կամ տեղական իշխանություններից:")</f>
        <v>Մեծ Բրիտանիայում 2011թ.-ի դպրոցական արձակուրդները տարբեր են՝ կախված տարածաշրջանից և դպրոցական շրջանից: Ճշգրիտ տեղեկությունների համար լավագույնն է ճշտել կոնկրետ դպրոցներից կամ տեղական իշխանություններից:</v>
      </c>
    </row>
    <row r="1630">
      <c r="A1630" s="1" t="s">
        <v>3236</v>
      </c>
      <c r="B1630" s="2" t="s">
        <v>3237</v>
      </c>
      <c r="C1630" s="3" t="str">
        <f>IFERROR(__xludf.DUMMYFUNCTION("GOOGLETRANSLATE(A1630,""en"",""hy"")"),"ո՞ր շրջանում է գտնվում Չեխիան:")</f>
        <v>ո՞ր շրջանում է գտնվում Չեխիան:</v>
      </c>
      <c r="D1630" s="3" t="str">
        <f>IFERROR(__xludf.DUMMYFUNCTION("GOOGLETRANSLATE(B1630,""en"",""hy"")"),"Չեխիան գտնվում է Կենտրոնական Եվրոպայում։")</f>
        <v>Չեխիան գտնվում է Կենտրոնական Եվրոպայում։</v>
      </c>
    </row>
    <row r="1631">
      <c r="A1631" s="1" t="s">
        <v>3238</v>
      </c>
      <c r="B1631" s="2" t="s">
        <v>3239</v>
      </c>
      <c r="C1631" s="3" t="str">
        <f>IFERROR(__xludf.DUMMYFUNCTION("GOOGLETRANSLATE(A1631,""en"",""hy"")"),"ո՞վ է Ջեք Սքելլինգթոնի ձայնը:")</f>
        <v>ո՞վ է Ջեք Սքելլինգթոնի ձայնը:</v>
      </c>
      <c r="D1631" s="3" t="str">
        <f>IFERROR(__xludf.DUMMYFUNCTION("GOOGLETRANSLATE(B1631,""en"",""hy"")"),"Ջեք Սքելինգթոնի ձայնը կատարում է Քրիս Սարանդոնը։")</f>
        <v>Ջեք Սքելինգթոնի ձայնը կատարում է Քրիս Սարանդոնը։</v>
      </c>
    </row>
    <row r="1632">
      <c r="A1632" s="1" t="s">
        <v>3240</v>
      </c>
      <c r="B1632" s="2" t="s">
        <v>3241</v>
      </c>
      <c r="C1632" s="3" t="str">
        <f>IFERROR(__xludf.DUMMYFUNCTION("GOOGLETRANSLATE(A1632,""en"",""hy"")"),"ով է մեծացրել թագուհի Վիկտորիան:")</f>
        <v>ով է մեծացրել թագուհի Վիկտորիան:</v>
      </c>
      <c r="D1632" s="3" t="str">
        <f>IFERROR(__xludf.DUMMYFUNCTION("GOOGLETRANSLATE(B1632,""en"",""hy"")"),"Վիկտորիա թագուհին հիմնականում մեծացել է իր մոր՝ Քենթի դքսուհի Վիկտորիայի և նրա մոր խորհրդական սըր Ջոն Քոնրոյի կողմից։")</f>
        <v>Վիկտորիա թագուհին հիմնականում մեծացել է իր մոր՝ Քենթի դքսուհի Վիկտորիայի և նրա մոր խորհրդական սըր Ջոն Քոնրոյի կողմից։</v>
      </c>
    </row>
    <row r="1633">
      <c r="A1633" s="1" t="s">
        <v>3242</v>
      </c>
      <c r="B1633" s="2" t="s">
        <v>3243</v>
      </c>
      <c r="C1633" s="3" t="str">
        <f>IFERROR(__xludf.DUMMYFUNCTION("GOOGLETRANSLATE(A1633,""en"",""hy"")"),"ովքեր են Քենիայի հայտնի մարզիկները:")</f>
        <v>ովքեր են Քենիայի հայտնի մարզիկները:</v>
      </c>
      <c r="D1633" s="3" t="str">
        <f>IFERROR(__xludf.DUMMYFUNCTION("GOOGLETRANSLATE(B1633,""en"",""hy"")"),"Քենիայում հայտնի մարզիկներից են Էլիուդ Կիպչոգեն (մարաթոնյան վազորդ), Դեյվիդ Ռուդիշան (800 մ վազորդ) և Հելեն Օբիրին (միջքաղաքային վազորդ):")</f>
        <v>Քենիայում հայտնի մարզիկներից են Էլիուդ Կիպչոգեն (մարաթոնյան վազորդ), Դեյվիդ Ռուդիշան (800 մ վազորդ) և Հելեն Օբիրին (միջքաղաքային վազորդ):</v>
      </c>
    </row>
    <row r="1634">
      <c r="A1634" s="1" t="s">
        <v>3244</v>
      </c>
      <c r="B1634" s="2" t="s">
        <v>3245</v>
      </c>
      <c r="C1634" s="3" t="str">
        <f>IFERROR(__xludf.DUMMYFUNCTION("GOOGLETRANSLATE(A1634,""en"",""hy"")"),"ի՞նչ տեսնել Նյու Յորք նահանգի պետական ​​կղզում:")</f>
        <v>ի՞նչ տեսնել Նյու Յորք նահանգի պետական ​​կղզում:</v>
      </c>
      <c r="D1634" s="3" t="str">
        <f>IFERROR(__xludf.DUMMYFUNCTION("GOOGLETRANSLATE(B1634,""en"",""hy"")"),"Նյու Յորքի Սթեյթեն Այլենդի որոշ հայտնի տեսարժան վայրերը ներառում են Սթեյթեն Այլենդ լաստանավը, Սնուգ Հարբոր մշակութային կենտրոնը և բուսաբանական այգին, Սթեյթն Այլենդ կենդանաբանական այգին և Սթեյթեն Այլենդ թանգարանը:")</f>
        <v>Նյու Յորքի Սթեյթեն Այլենդի որոշ հայտնի տեսարժան վայրերը ներառում են Սթեյթեն Այլենդ լաստանավը, Սնուգ Հարբոր մշակութային կենտրոնը և բուսաբանական այգին, Սթեյթն Այլենդ կենդանաբանական այգին և Սթեյթեն Այլենդ թանգարանը:</v>
      </c>
    </row>
    <row r="1635">
      <c r="A1635" s="1" t="s">
        <v>3246</v>
      </c>
      <c r="B1635" s="2" t="s">
        <v>1685</v>
      </c>
      <c r="C1635" s="3" t="str">
        <f>IFERROR(__xludf.DUMMYFUNCTION("GOOGLETRANSLATE(A1635,""en"",""hy"")"),"Ո՞ր մայրցամաքն է գտնվում Գրենլանդիան:")</f>
        <v>Ո՞ր մայրցամաքն է գտնվում Գրենլանդիան:</v>
      </c>
      <c r="D1635" s="3" t="str">
        <f>IFERROR(__xludf.DUMMYFUNCTION("GOOGLETRANSLATE(B1635,""en"",""hy"")"),"Հյուսիսային Ամերիկա")</f>
        <v>Հյուսիսային Ամերիկա</v>
      </c>
    </row>
    <row r="1636">
      <c r="A1636" s="1" t="s">
        <v>3247</v>
      </c>
      <c r="B1636" s="2" t="s">
        <v>3248</v>
      </c>
      <c r="C1636" s="3" t="str">
        <f>IFERROR(__xludf.DUMMYFUNCTION("GOOGLETRANSLATE(A1636,""en"",""hy"")"),"ի՞նչ լեզու են օգտագործում եգիպտացիները")</f>
        <v>ի՞նչ լեզու են օգտագործում եգիպտացիները</v>
      </c>
      <c r="D1636" s="3" t="str">
        <f>IFERROR(__xludf.DUMMYFUNCTION("GOOGLETRANSLATE(B1636,""en"",""hy"")"),"Եգիպտոսում խոսվող հիմնական լեզուն արաբերենն է։")</f>
        <v>Եգիպտոսում խոսվող հիմնական լեզուն արաբերենն է։</v>
      </c>
    </row>
    <row r="1637">
      <c r="A1637" s="1" t="s">
        <v>3249</v>
      </c>
      <c r="B1637" s="2" t="s">
        <v>3250</v>
      </c>
      <c r="C1637" s="3" t="str">
        <f>IFERROR(__xludf.DUMMYFUNCTION("GOOGLETRANSLATE(A1637,""en"",""hy"")"),"Ո՞ր թիմերում է խաղացել Գրեցկին:")</f>
        <v>Ո՞ր թիմերում է խաղացել Գրեցկին:</v>
      </c>
      <c r="D1637" s="3" t="str">
        <f>IFERROR(__xludf.DUMMYFUNCTION("GOOGLETRANSLATE(B1637,""en"",""hy"")"),"Գրեցկին իր կարիերայի ընթացքում խաղացել է մի քանի թիմերում, այդ թվում՝ Էդմոնթոն Օյլերս, Լոս Անջելես Քինգս, Սենթ Լուիս Բլյուզ և Նյու Յորք Ռեյնջերս։")</f>
        <v>Գրեցկին իր կարիերայի ընթացքում խաղացել է մի քանի թիմերում, այդ թվում՝ Էդմոնթոն Օյլերս, Լոս Անջելես Քինգս, Սենթ Լուիս Բլյուզ և Նյու Յորք Ռեյնջերս։</v>
      </c>
    </row>
    <row r="1638">
      <c r="A1638" s="1" t="s">
        <v>3251</v>
      </c>
      <c r="B1638" s="2" t="s">
        <v>3252</v>
      </c>
      <c r="C1638" s="3" t="str">
        <f>IFERROR(__xludf.DUMMYFUNCTION("GOOGLETRANSLATE(A1638,""en"",""hy"")"),"որտեղ է կրթություն ստացել Օբաման")</f>
        <v>որտեղ է կրթություն ստացել Օբաման</v>
      </c>
      <c r="D1638" s="3" t="str">
        <f>IFERROR(__xludf.DUMMYFUNCTION("GOOGLETRANSLATE(B1638,""en"",""hy"")"),"Օբաման կրթություն է ստացել Կոլումբիայի համալսարանում և Հարվարդի իրավաբանական դպրոցում։")</f>
        <v>Օբաման կրթություն է ստացել Կոլումբիայի համալսարանում և Հարվարդի իրավաբանական դպրոցում։</v>
      </c>
    </row>
    <row r="1639">
      <c r="A1639" s="1" t="s">
        <v>3253</v>
      </c>
      <c r="B1639" s="2" t="s">
        <v>3254</v>
      </c>
      <c r="C1639" s="3" t="str">
        <f>IFERROR(__xludf.DUMMYFUNCTION("GOOGLETRANSLATE(A1639,""en"",""hy"")"),"Ո՞վ խաղաց Ուեյն Գրեցկին 4:")</f>
        <v>Ո՞վ խաղաց Ուեյն Գրեցկին 4:</v>
      </c>
      <c r="D1639" s="3" t="str">
        <f>IFERROR(__xludf.DUMMYFUNCTION("GOOGLETRANSLATE(B1639,""en"",""hy"")"),"Ուեյն Գրեցկին խաղացել է Edmonton Oilers, Los Angeles Kings, St. Louis Blues և New York Rangers թիմերում։")</f>
        <v>Ուեյն Գրեցկին խաղացել է Edmonton Oilers, Los Angeles Kings, St. Louis Blues և New York Rangers թիմերում։</v>
      </c>
    </row>
    <row r="1640">
      <c r="A1640" s="1" t="s">
        <v>3255</v>
      </c>
      <c r="B1640" s="2" t="s">
        <v>3256</v>
      </c>
      <c r="C1640" s="3" t="str">
        <f>IFERROR(__xludf.DUMMYFUNCTION("GOOGLETRANSLATE(A1640,""en"",""hy"")"),"ով է խաղացել Շոնը սկրաբում:")</f>
        <v>ով է խաղացել Շոնը սկրաբում:</v>
      </c>
      <c r="D1640" s="3" t="str">
        <f>IFERROR(__xludf.DUMMYFUNCTION("GOOGLETRANSLATE(B1640,""en"",""hy"")"),"Մայքլ Մոսլի.")</f>
        <v>Մայքլ Մոսլի.</v>
      </c>
    </row>
    <row r="1641">
      <c r="A1641" s="1" t="s">
        <v>3257</v>
      </c>
      <c r="B1641" s="2" t="s">
        <v>661</v>
      </c>
      <c r="C1641" s="3" t="str">
        <f>IFERROR(__xludf.DUMMYFUNCTION("GOOGLETRANSLATE(A1641,""en"",""hy"")"),"ինչ է եղել այն գրքի անունը, որը գրել է Հիտլերը բանտում:")</f>
        <v>ինչ է եղել այն գրքի անունը, որը գրել է Հիտլերը բանտում:</v>
      </c>
      <c r="D1641" s="3" t="str">
        <f>IFERROR(__xludf.DUMMYFUNCTION("GOOGLETRANSLATE(B1641,""en"",""hy"")"),"Գրքի անունը, որը Հիտլերը գրել է բանտում գտնվելու ժամանակ, «Mein Kampf» է։")</f>
        <v>Գրքի անունը, որը Հիտլերը գրել է բանտում գտնվելու ժամանակ, «Mein Kampf» է։</v>
      </c>
    </row>
    <row r="1642">
      <c r="A1642" s="1" t="s">
        <v>3258</v>
      </c>
      <c r="B1642" s="2" t="s">
        <v>3259</v>
      </c>
      <c r="C1642" s="3" t="str">
        <f>IFERROR(__xludf.DUMMYFUNCTION("GOOGLETRANSLATE(A1642,""en"",""hy"")"),"որտեղ է վայրէջք կատարել Պիսարոն")</f>
        <v>որտեղ է վայրէջք կատարել Պիսարոն</v>
      </c>
      <c r="D1642" s="3" t="str">
        <f>IFERROR(__xludf.DUMMYFUNCTION("GOOGLETRANSLATE(B1642,""en"",""hy"")"),"Պիսարոն վայրէջք կատարեց Պերուում.")</f>
        <v>Պիսարոն վայրէջք կատարեց Պերուում.</v>
      </c>
    </row>
    <row r="1643">
      <c r="A1643" s="1" t="s">
        <v>3260</v>
      </c>
      <c r="B1643" s="2" t="s">
        <v>3261</v>
      </c>
      <c r="C1643" s="3" t="str">
        <f>IFERROR(__xludf.DUMMYFUNCTION("GOOGLETRANSLATE(A1643,""en"",""hy"")"),"ինչպես է կոչվում Սան Ֆրանցիսկոյի գլխավոր երկաթուղային կայարանը:")</f>
        <v>ինչպես է կոչվում Սան Ֆրանցիսկոյի գլխավոր երկաթուղային կայարանը:</v>
      </c>
      <c r="D1643" s="3" t="str">
        <f>IFERROR(__xludf.DUMMYFUNCTION("GOOGLETRANSLATE(B1643,""en"",""hy"")"),"Սան Ֆրանցիսկոյի գլխավոր երկաթուղային կայարանի անվանումն է 30th Street Station։")</f>
        <v>Սան Ֆրանցիսկոյի գլխավոր երկաթուղային կայարանի անվանումն է 30th Street Station։</v>
      </c>
    </row>
    <row r="1644">
      <c r="A1644" s="1" t="s">
        <v>3262</v>
      </c>
      <c r="B1644" s="2" t="s">
        <v>3263</v>
      </c>
      <c r="C1644" s="3" t="str">
        <f>IFERROR(__xludf.DUMMYFUNCTION("GOOGLETRANSLATE(A1644,""en"",""hy"")"),"ո՞րն է արևմտյան Միացյալ Նահանգների խոշոր լեռնաշղթան:")</f>
        <v>ո՞րն է արևմտյան Միացյալ Նահանգների խոշոր լեռնաշղթան:</v>
      </c>
      <c r="D1644" s="3" t="str">
        <f>IFERROR(__xludf.DUMMYFUNCTION("GOOGLETRANSLATE(B1644,""en"",""hy"")"),"Միացյալ Նահանգների արևմտյան մասում գտնվող խոշոր լեռնաշղթան Ռոքի լեռներն են:")</f>
        <v>Միացյալ Նահանգների արևմտյան մասում գտնվող խոշոր լեռնաշղթան Ռոքի լեռներն են:</v>
      </c>
    </row>
    <row r="1645">
      <c r="A1645" s="1" t="s">
        <v>3264</v>
      </c>
      <c r="B1645" s="2" t="s">
        <v>3265</v>
      </c>
      <c r="C1645" s="3" t="str">
        <f>IFERROR(__xludf.DUMMYFUNCTION("GOOGLETRANSLATE(A1645,""en"",""hy"")"),"ինչ է բրազիլական ջիու ջիցուն:")</f>
        <v>ինչ է բրազիլական ջիու ջիցուն:</v>
      </c>
      <c r="D1645" s="3" t="str">
        <f>IFERROR(__xludf.DUMMYFUNCTION("GOOGLETRANSLATE(B1645,""en"",""hy"")"),"Բրազիլական ջիու-ջիցուն մարտարվեստ և մարտական ​​մարզաձև է, որը կենտրոնանում է ցամաքային մարտերի և մենամարտերի տեխնիկայի վրա:")</f>
        <v>Բրազիլական ջիու-ջիցուն մարտարվեստ և մարտական ​​մարզաձև է, որը կենտրոնանում է ցամաքային մարտերի և մենամարտերի տեխնիկայի վրա:</v>
      </c>
    </row>
    <row r="1646">
      <c r="A1646" s="1" t="s">
        <v>3266</v>
      </c>
      <c r="B1646" s="2" t="s">
        <v>3267</v>
      </c>
      <c r="C1646" s="3" t="str">
        <f>IFERROR(__xludf.DUMMYFUNCTION("GOOGLETRANSLATE(A1646,""en"",""hy"")"),"որո՞նք են Իտալիայի հիմնական լեզուները:")</f>
        <v>որո՞նք են Իտալիայի հիմնական լեզուները:</v>
      </c>
      <c r="D1646" s="3" t="str">
        <f>IFERROR(__xludf.DUMMYFUNCTION("GOOGLETRANSLATE(B1646,""en"",""hy"")"),"Իտալիայի հիմնական լեզուն իտալերենն է։")</f>
        <v>Իտալիայի հիմնական լեզուն իտալերենն է։</v>
      </c>
    </row>
    <row r="1647">
      <c r="A1647" s="1" t="s">
        <v>3268</v>
      </c>
      <c r="B1647" s="2" t="s">
        <v>3269</v>
      </c>
      <c r="C1647" s="3" t="str">
        <f>IFERROR(__xludf.DUMMYFUNCTION("GOOGLETRANSLATE(A1647,""en"",""hy"")"),"որտեղի՞ց սկսվեց Նոր Օռլեանի ճակատամարտը:")</f>
        <v>որտեղի՞ց սկսվեց Նոր Օռլեանի ճակատամարտը:</v>
      </c>
      <c r="D1647" s="3" t="str">
        <f>IFERROR(__xludf.DUMMYFUNCTION("GOOGLETRANSLATE(B1647,""en"",""hy"")"),"Նոր Օռլեանի ճակատամարտը սկսվել է Լուիզիանայի Չալմետ քաղաքում, Նոր Օռլեանի սահմաններից դուրս:")</f>
        <v>Նոր Օռլեանի ճակատամարտը սկսվել է Լուիզիանայի Չալմետ քաղաքում, Նոր Օռլեանի սահմաններից դուրս:</v>
      </c>
    </row>
    <row r="1648">
      <c r="A1648" s="1" t="s">
        <v>3270</v>
      </c>
      <c r="B1648" s="2" t="s">
        <v>3271</v>
      </c>
      <c r="C1648" s="3" t="str">
        <f>IFERROR(__xludf.DUMMYFUNCTION("GOOGLETRANSLATE(A1648,""en"",""hy"")"),"ինչ է խոսում Դոմինիկյան Հանրապետությունը:")</f>
        <v>ինչ է խոսում Դոմինիկյան Հանրապետությունը:</v>
      </c>
      <c r="D1648" s="3" t="str">
        <f>IFERROR(__xludf.DUMMYFUNCTION("GOOGLETRANSLATE(B1648,""en"",""hy"")"),"Դոմինիկյան Հանրապետությունը խոսում է իսպաներեն։")</f>
        <v>Դոմինիկյան Հանրապետությունը խոսում է իսպաներեն։</v>
      </c>
    </row>
    <row r="1649">
      <c r="A1649" s="1" t="s">
        <v>3272</v>
      </c>
      <c r="B1649" s="2" t="s">
        <v>3273</v>
      </c>
      <c r="C1649" s="3" t="str">
        <f>IFERROR(__xludf.DUMMYFUNCTION("GOOGLETRANSLATE(A1649,""en"",""hy"")"),"ե՞րբ է բարի զիտոն հաղթել cy երիտասարդին:")</f>
        <v>ե՞րբ է բարի զիտոն հաղթել cy երիտասարդին:</v>
      </c>
      <c r="D1649" s="3" t="str">
        <f>IFERROR(__xludf.DUMMYFUNCTION("GOOGLETRANSLATE(B1649,""en"",""hy"")"),"Բարի Զիտոն արժանացել է Cy Young մրցանակին 2002 թվականին։")</f>
        <v>Բարի Զիտոն արժանացել է Cy Young մրցանակին 2002 թվականին։</v>
      </c>
    </row>
    <row r="1650">
      <c r="A1650" s="1" t="s">
        <v>3274</v>
      </c>
      <c r="B1650" s="2" t="s">
        <v>3275</v>
      </c>
      <c r="C1650" s="3" t="str">
        <f>IFERROR(__xludf.DUMMYFUNCTION("GOOGLETRANSLATE(A1650,""en"",""hy"")"),"Ո՞վ է Փոլ Ռեվերը և ինչ է նա արել:")</f>
        <v>Ո՞վ է Փոլ Ռեվերը և ինչ է նա արել:</v>
      </c>
      <c r="D1650" s="3" t="str">
        <f>IFERROR(__xludf.DUMMYFUNCTION("GOOGLETRANSLATE(B1650,""en"",""hy"")"),"Փոլ Ռիվերը եղել է հայրենասեր ամերիկյան հեղափոխական պատերազմում: Նա հայտնի է 1775 թվականի ապրիլի 18-ի կեսգիշերային զբոսանքով, որպեսզի զգուշացնի ամերիկացի գաղութարարներին, որ բրիտանական զորքերը գալիս են։")</f>
        <v>Փոլ Ռիվերը եղել է հայրենասեր ամերիկյան հեղափոխական պատերազմում: Նա հայտնի է 1775 թվականի ապրիլի 18-ի կեսգիշերային զբոսանքով, որպեսզի զգուշացնի ամերիկացի գաղութարարներին, որ բրիտանական զորքերը գալիս են։</v>
      </c>
    </row>
    <row r="1651">
      <c r="A1651" s="1" t="s">
        <v>3276</v>
      </c>
      <c r="B1651" s="2" t="s">
        <v>3277</v>
      </c>
      <c r="C1651" s="3" t="str">
        <f>IFERROR(__xludf.DUMMYFUNCTION("GOOGLETRANSLATE(A1651,""en"",""hy"")"),"որտեղ է գտնվում Թալիս երկաթուղային կայարանը Բրյուսելում:")</f>
        <v>որտեղ է գտնվում Թալիս երկաթուղային կայարանը Բրյուսելում:</v>
      </c>
      <c r="D1651" s="3" t="str">
        <f>IFERROR(__xludf.DUMMYFUNCTION("GOOGLETRANSLATE(B1651,""en"",""hy"")"),"Բրյուսելի Thalys երկաթուղային կայարանը գտնվում է Brussels-South/Bruxelles-Midi կայարանում:")</f>
        <v>Բրյուսելի Thalys երկաթուղային կայարանը գտնվում է Brussels-South/Bruxelles-Midi կայարանում:</v>
      </c>
    </row>
    <row r="1652">
      <c r="A1652" s="1" t="s">
        <v>3278</v>
      </c>
      <c r="B1652" s="2" t="s">
        <v>3279</v>
      </c>
      <c r="C1652" s="3" t="str">
        <f>IFERROR(__xludf.DUMMYFUNCTION("GOOGLETRANSLATE(A1652,""en"",""hy"")"),"Ո՞ր ավիաընկերությունների կենտրոնն է Ֆենիքսում:")</f>
        <v>Ո՞ր ավիաընկերությունների կենտրոնն է Ֆենիքսում:</v>
      </c>
      <c r="D1652" s="3" t="str">
        <f>IFERROR(__xludf.DUMMYFUNCTION("GOOGLETRANSLATE(B1652,""en"",""hy"")"),"Ֆենիքսում կենտրոնացած հիմնական ավիաընկերություններն են American Airlines-ը և Southwest Airlines-ը:")</f>
        <v>Ֆենիքսում կենտրոնացած հիմնական ավիաընկերություններն են American Airlines-ը և Southwest Airlines-ը:</v>
      </c>
    </row>
    <row r="1653">
      <c r="A1653" s="1" t="s">
        <v>3280</v>
      </c>
      <c r="B1653" s="2" t="s">
        <v>3281</v>
      </c>
      <c r="C1653" s="3" t="str">
        <f>IFERROR(__xludf.DUMMYFUNCTION("GOOGLETRANSLATE(A1653,""en"",""hy"")"),"որտե՞ղ գնաց Քաթլեր Ջեյը քոլեջ:")</f>
        <v>որտե՞ղ գնաց Քաթլեր Ջեյը քոլեջ:</v>
      </c>
      <c r="D1653" s="3" t="str">
        <f>IFERROR(__xludf.DUMMYFUNCTION("GOOGLETRANSLATE(B1653,""en"",""hy"")"),"Քաթլեր Ջեյը սովորել է Վանդերբիլտի համալսարանի քոլեջում:")</f>
        <v>Քաթլեր Ջեյը սովորել է Վանդերբիլտի համալսարանի քոլեջում:</v>
      </c>
    </row>
    <row r="1654">
      <c r="A1654" s="1" t="s">
        <v>3282</v>
      </c>
      <c r="B1654" s="2" t="s">
        <v>3283</v>
      </c>
      <c r="C1654" s="3" t="str">
        <f>IFERROR(__xludf.DUMMYFUNCTION("GOOGLETRANSLATE(A1654,""en"",""hy"")"),"ում հետ ամուսնացավ Էտա Ջեյմսը:")</f>
        <v>ում հետ ամուսնացավ Էտա Ջեյմսը:</v>
      </c>
      <c r="D1654" s="3" t="str">
        <f>IFERROR(__xludf.DUMMYFUNCTION("GOOGLETRANSLATE(B1654,""en"",""hy"")"),"Էտտա Ջեյմսն ամուսնացավ Արտիս Միլսի հետ։")</f>
        <v>Էտտա Ջեյմսն ամուսնացավ Արտիս Միլսի հետ։</v>
      </c>
    </row>
    <row r="1655">
      <c r="A1655" s="1" t="s">
        <v>3284</v>
      </c>
      <c r="B1655" s="2" t="s">
        <v>3285</v>
      </c>
      <c r="C1655" s="3" t="str">
        <f>IFERROR(__xludf.DUMMYFUNCTION("GOOGLETRANSLATE(A1655,""en"",""hy"")"),"Ո՞վ է խաղացել Էնդի խաղալիք 3-ում:")</f>
        <v>Ո՞վ է խաղացել Էնդի խաղալիք 3-ում:</v>
      </c>
      <c r="D1655" s="3" t="str">
        <f>IFERROR(__xludf.DUMMYFUNCTION("GOOGLETRANSLATE(B1655,""en"",""hy"")"),"Էնդիին մարմնավորել է Ջոն Մորիսը Toy Story 3-ում:")</f>
        <v>Էնդիին մարմնավորել է Ջոն Մորիսը Toy Story 3-ում:</v>
      </c>
    </row>
    <row r="1656">
      <c r="A1656" s="1" t="s">
        <v>3286</v>
      </c>
      <c r="B1656" s="2" t="s">
        <v>3287</v>
      </c>
      <c r="C1656" s="3" t="str">
        <f>IFERROR(__xludf.DUMMYFUNCTION("GOOGLETRANSLATE(A1656,""en"",""hy"")"),"որտեղից է Էնն Ռոմնին")</f>
        <v>որտեղից է Էնն Ռոմնին</v>
      </c>
      <c r="D1656" s="3" t="str">
        <f>IFERROR(__xludf.DUMMYFUNCTION("GOOGLETRANSLATE(B1656,""en"",""hy"")"),"Էնն Ռոմնին Միչիգան ​​նահանգի Բլումֆիլդ Հիլզից է:")</f>
        <v>Էնն Ռոմնին Միչիգան ​​նահանգի Բլումֆիլդ Հիլզից է:</v>
      </c>
    </row>
    <row r="1657">
      <c r="A1657" s="1" t="s">
        <v>3288</v>
      </c>
      <c r="B1657" s="2" t="s">
        <v>3289</v>
      </c>
      <c r="C1657" s="3" t="str">
        <f>IFERROR(__xludf.DUMMYFUNCTION("GOOGLETRANSLATE(A1657,""en"",""hy"")"),"ով էր Գալիլեո Գալիլեյը:")</f>
        <v>ով էր Գալիլեո Գալիլեյը:</v>
      </c>
      <c r="D1657" s="3" t="str">
        <f>IFERROR(__xludf.DUMMYFUNCTION("GOOGLETRANSLATE(B1657,""en"",""hy"")"),"Գալիլեո Գալիլեյը իտալացի աստղագետ, ֆիզիկոս և ինժեներ էր։")</f>
        <v>Գալիլեո Գալիլեյը իտալացի աստղագետ, ֆիզիկոս և ինժեներ էր։</v>
      </c>
    </row>
    <row r="1658">
      <c r="A1658" s="1" t="s">
        <v>3290</v>
      </c>
      <c r="B1658" s="2" t="s">
        <v>3291</v>
      </c>
      <c r="C1658" s="3" t="str">
        <f>IFERROR(__xludf.DUMMYFUNCTION("GOOGLETRANSLATE(A1658,""en"",""hy"")"),"ո՞ր դպրոցն է սովորել Բիլ Գեյթսը:")</f>
        <v>ո՞ր դպրոցն է սովորել Բիլ Գեյթսը:</v>
      </c>
      <c r="D1658" s="3" t="str">
        <f>IFERROR(__xludf.DUMMYFUNCTION("GOOGLETRANSLATE(B1658,""en"",""hy"")"),"Բիլ Գեյթսը գնաց Հարվարդի համալսարան։")</f>
        <v>Բիլ Գեյթսը գնաց Հարվարդի համալսարան։</v>
      </c>
    </row>
    <row r="1659">
      <c r="A1659" s="1" t="s">
        <v>3292</v>
      </c>
      <c r="B1659" s="2" t="s">
        <v>3293</v>
      </c>
      <c r="C1659" s="3" t="str">
        <f>IFERROR(__xludf.DUMMYFUNCTION("GOOGLETRANSLATE(A1659,""en"",""hy"")"),"ինչ ֆիլմերում է խաղացել Մայլի Սայրուսը")</f>
        <v>ինչ ֆիլմերում է խաղացել Մայլի Սայրուսը</v>
      </c>
      <c r="D1659" s="3" t="str">
        <f>IFERROR(__xludf.DUMMYFUNCTION("GOOGLETRANSLATE(B1659,""en"",""hy"")"),"Մայլի Սայրուսը նկարահանվել է մի քանի ֆիլմերում, այդ թվում՝ «Hannah Montana: The Movie», «The Last Song» և «LOL»:")</f>
        <v>Մայլի Սայրուսը նկարահանվել է մի քանի ֆիլմերում, այդ թվում՝ «Hannah Montana: The Movie», «The Last Song» և «LOL»:</v>
      </c>
    </row>
    <row r="1660">
      <c r="A1660" s="1" t="s">
        <v>3294</v>
      </c>
      <c r="B1660" s="2" t="s">
        <v>3295</v>
      </c>
      <c r="C1660" s="3" t="str">
        <f>IFERROR(__xludf.DUMMYFUNCTION("GOOGLETRANSLATE(A1660,""en"",""hy"")"),"ո՞ր երկրին է պատկանում Դուբայը")</f>
        <v>ո՞ր երկրին է պատկանում Դուբայը</v>
      </c>
      <c r="D1660" s="3" t="str">
        <f>IFERROR(__xludf.DUMMYFUNCTION("GOOGLETRANSLATE(B1660,""en"",""hy"")"),"Արաբական Միացյալ Էմիրություններ.")</f>
        <v>Արաբական Միացյալ Էմիրություններ.</v>
      </c>
    </row>
    <row r="1661">
      <c r="A1661" s="1" t="s">
        <v>3296</v>
      </c>
      <c r="B1661" s="2" t="s">
        <v>3297</v>
      </c>
      <c r="C1661" s="3" t="str">
        <f>IFERROR(__xludf.DUMMYFUNCTION("GOOGLETRANSLATE(A1661,""en"",""hy"")"),"ում համար է խաղում Նեյթ Ռոբինսոնը")</f>
        <v>ում համար է խաղում Նեյթ Ռոբինսոնը</v>
      </c>
      <c r="D1661" s="3" t="str">
        <f>IFERROR(__xludf.DUMMYFUNCTION("GOOGLETRANSLATE(B1661,""en"",""hy"")"),"Նեյթ Ռոբինսոնը խաղացել է NBA-ի բազմաթիվ թիմերում, այդ թվում՝ «Նյու Յորք Նիքս», «Բոստոն Սելթիքս», «Չիկագո Բուլս» և «Դենվեր Նագեթս»:")</f>
        <v>Նեյթ Ռոբինսոնը խաղացել է NBA-ի բազմաթիվ թիմերում, այդ թվում՝ «Նյու Յորք Նիքս», «Բոստոն Սելթիքս», «Չիկագո Բուլս» և «Դենվեր Նագեթս»:</v>
      </c>
    </row>
    <row r="1662">
      <c r="A1662" s="1" t="s">
        <v>3298</v>
      </c>
      <c r="B1662" s="2" t="s">
        <v>3299</v>
      </c>
      <c r="C1662" s="3" t="str">
        <f>IFERROR(__xludf.DUMMYFUNCTION("GOOGLETRANSLATE(A1662,""en"",""hy"")"),"ի՞նչ անել Mt Baldy Կալիֆորնիայում:")</f>
        <v>ի՞նչ անել Mt Baldy Կալիֆորնիայում:</v>
      </c>
      <c r="D1662" s="3" t="str">
        <f>IFERROR(__xludf.DUMMYFUNCTION("GOOGLETRANSLATE(B1662,""en"",""hy"")"),"Կալիֆոռնիայի Մթ Բալդի լեռան որոշ հայտնի զբաղմունքներ ներառում են արշավ, դահուկներ, սնոուբորդ վարել և վայելել գեղեցիկ լեռնային տեսարանները:")</f>
        <v>Կալիֆոռնիայի Մթ Բալդի լեռան որոշ հայտնի զբաղմունքներ ներառում են արշավ, դահուկներ, սնոուբորդ վարել և վայելել գեղեցիկ լեռնային տեսարանները:</v>
      </c>
    </row>
    <row r="1663">
      <c r="A1663" s="1" t="s">
        <v>3300</v>
      </c>
      <c r="B1663" s="2" t="s">
        <v>3301</v>
      </c>
      <c r="C1663" s="3" t="str">
        <f>IFERROR(__xludf.DUMMYFUNCTION("GOOGLETRANSLATE(A1663,""en"",""hy"")"),"որտեղով է անցնում Պանամայի ջրանցքը:")</f>
        <v>որտեղով է անցնում Պանամայի ջրանցքը:</v>
      </c>
      <c r="D1663" s="3" t="str">
        <f>IFERROR(__xludf.DUMMYFUNCTION("GOOGLETRANSLATE(B1663,""en"",""hy"")"),"Պանամայի ջրանցքը անցնում է Պանամայի միջով:")</f>
        <v>Պանամայի ջրանցքը անցնում է Պանամայի միջով:</v>
      </c>
    </row>
    <row r="1664">
      <c r="A1664" s="1" t="s">
        <v>3302</v>
      </c>
      <c r="B1664" s="2" t="s">
        <v>3303</v>
      </c>
      <c r="C1664" s="3" t="str">
        <f>IFERROR(__xludf.DUMMYFUNCTION("GOOGLETRANSLATE(A1664,""en"",""hy"")"),"Ո՞ր տարիներին է Ջեքի Ռոբինսոնը բեյսբոլ խաղացել:")</f>
        <v>Ո՞ր տարիներին է Ջեքի Ռոբինսոնը բեյսբոլ խաղացել:</v>
      </c>
      <c r="D1664" s="3" t="str">
        <f>IFERROR(__xludf.DUMMYFUNCTION("GOOGLETRANSLATE(B1664,""en"",""hy"")"),"1947-1956 թթ")</f>
        <v>1947-1956 թթ</v>
      </c>
    </row>
    <row r="1665">
      <c r="A1665" s="1" t="s">
        <v>3304</v>
      </c>
      <c r="B1665" s="2" t="s">
        <v>3305</v>
      </c>
      <c r="C1665" s="3" t="str">
        <f>IFERROR(__xludf.DUMMYFUNCTION("GOOGLETRANSLATE(A1665,""en"",""hy"")"),"ո՞ր երկրներն են օգտագործում անգլերենը որպես ազգային լեզու:")</f>
        <v>ո՞ր երկրներն են օգտագործում անգլերենը որպես ազգային լեզու:</v>
      </c>
      <c r="D1665" s="3" t="str">
        <f>IFERROR(__xludf.DUMMYFUNCTION("GOOGLETRANSLATE(B1665,""en"",""hy"")"),"Միացյալ Նահանգներ, Միացյալ Թագավորություն, Կանադա, Ավստրալիա, Նոր Զելանդիա և շատ ուրիշներ:")</f>
        <v>Միացյալ Նահանգներ, Միացյալ Թագավորություն, Կանադա, Ավստրալիա, Նոր Զելանդիա և շատ ուրիշներ:</v>
      </c>
    </row>
    <row r="1666">
      <c r="A1666" s="1" t="s">
        <v>3306</v>
      </c>
      <c r="B1666" s="2" t="s">
        <v>3307</v>
      </c>
      <c r="C1666" s="3" t="str">
        <f>IFERROR(__xludf.DUMMYFUNCTION("GOOGLETRANSLATE(A1666,""en"",""hy"")"),"ո՞ւմ համար է խաղացել Սթիվ Նեշը:")</f>
        <v>ո՞ւմ համար է խաղացել Սթիվ Նեշը:</v>
      </c>
      <c r="D1666" s="3" t="str">
        <f>IFERROR(__xludf.DUMMYFUNCTION("GOOGLETRANSLATE(B1666,""en"",""hy"")"),"Սթիվ Նեշը NBA-ում հանդես է եկել «Ֆենիքս Սանս»-ում և «Դալաս Մավերիկս»-ում:")</f>
        <v>Սթիվ Նեշը NBA-ում հանդես է եկել «Ֆենիքս Սանս»-ում և «Դալաս Մավերիկս»-ում:</v>
      </c>
    </row>
    <row r="1667">
      <c r="A1667" s="1" t="s">
        <v>3308</v>
      </c>
      <c r="B1667" s="2" t="s">
        <v>3309</v>
      </c>
      <c r="C1667" s="3" t="str">
        <f>IFERROR(__xludf.DUMMYFUNCTION("GOOGLETRANSLATE(A1667,""en"",""hy"")"),"որտեղ է ապրում Ջեյսոն Սթեթհեմը")</f>
        <v>որտեղ է ապրում Ջեյսոն Սթեթհեմը</v>
      </c>
      <c r="D1667" s="3" t="str">
        <f>IFERROR(__xludf.DUMMYFUNCTION("GOOGLETRANSLATE(B1667,""en"",""hy"")"),"Ջեյսոն Սթեթհեմը ներկայումս բնակվում է Լոս Անջելեսում, Կալիֆորնիա, ԱՄՆ:")</f>
        <v>Ջեյսոն Սթեթհեմը ներկայումս բնակվում է Լոս Անջելեսում, Կալիֆորնիա, ԱՄՆ:</v>
      </c>
    </row>
    <row r="1668">
      <c r="A1668" s="1" t="s">
        <v>3310</v>
      </c>
      <c r="B1668" s="2" t="s">
        <v>3311</v>
      </c>
      <c r="C1668" s="3" t="str">
        <f>IFERROR(__xludf.DUMMYFUNCTION("GOOGLETRANSLATE(A1668,""en"",""hy"")"),"որո՞նք են Վիսկոնսինի բնական ռեսուրսները:")</f>
        <v>որո՞նք են Վիսկոնսինի բնական ռեսուրսները:</v>
      </c>
      <c r="D1668" s="3" t="str">
        <f>IFERROR(__xludf.DUMMYFUNCTION("GOOGLETRANSLATE(B1668,""en"",""hy"")"),"Վիսկոնսինի որոշ բնական ռեսուրսներ ներառում են փայտանյութ, ջուր, օգտակար հանածոներ (օրինակ՝ երկաթի հանքաքար և կրաքար) և գյուղատնտեսական հողեր։")</f>
        <v>Վիսկոնսինի որոշ բնական ռեսուրսներ ներառում են փայտանյութ, ջուր, օգտակար հանածոներ (օրինակ՝ երկաթի հանքաքար և կրաքար) և գյուղատնտեսական հողեր։</v>
      </c>
    </row>
    <row r="1669">
      <c r="A1669" s="1" t="s">
        <v>3312</v>
      </c>
      <c r="B1669" s="2" t="s">
        <v>3313</v>
      </c>
      <c r="C1669" s="3" t="str">
        <f>IFERROR(__xludf.DUMMYFUNCTION("GOOGLETRANSLATE(A1669,""en"",""hy"")"),"ինչ լեզու է օգտագործում Կիպրոսը")</f>
        <v>ինչ լեզու է օգտագործում Կիպրոսը</v>
      </c>
      <c r="D1669" s="3" t="str">
        <f>IFERROR(__xludf.DUMMYFUNCTION("GOOGLETRANSLATE(B1669,""en"",""hy"")"),"Կիպրոսի պաշտոնական լեզուներն են հունարենը և թուրքերենը։")</f>
        <v>Կիպրոսի պաշտոնական լեզուներն են հունարենը և թուրքերենը։</v>
      </c>
    </row>
    <row r="1670">
      <c r="A1670" s="1" t="s">
        <v>3314</v>
      </c>
      <c r="B1670" s="2" t="s">
        <v>3315</v>
      </c>
      <c r="C1670" s="3" t="str">
        <f>IFERROR(__xludf.DUMMYFUNCTION("GOOGLETRANSLATE(A1670,""en"",""hy"")"),"ինչ անել Roatan Bay-ում:")</f>
        <v>ինչ անել Roatan Bay-ում:</v>
      </c>
      <c r="D1670" s="3" t="str">
        <f>IFERROR(__xludf.DUMMYFUNCTION("GOOGLETRANSLATE(B1670,""en"",""hy"")"),"Roatan Bay-ում դուք կարող եք վայելել այնպիսի գործողություններ, ինչպիսիք են սնորքելը, սուզումը, լողափի թռիչքը, այցելելով Ռոատան թանգարան, ուսումնասիրել Գումբալիմբայի պահպանության այգին և մասնակցել զիփլինինգային արկածներին:")</f>
        <v>Roatan Bay-ում դուք կարող եք վայելել այնպիսի գործողություններ, ինչպիսիք են սնորքելը, սուզումը, լողափի թռիչքը, այցելելով Ռոատան թանգարան, ուսումնասիրել Գումբալիմբայի պահպանության այգին և մասնակցել զիփլինինգային արկածներին:</v>
      </c>
    </row>
    <row r="1671">
      <c r="A1671" s="1" t="s">
        <v>3316</v>
      </c>
      <c r="B1671" s="2" t="s">
        <v>3317</v>
      </c>
      <c r="C1671" s="3" t="str">
        <f>IFERROR(__xludf.DUMMYFUNCTION("GOOGLETRANSLATE(A1671,""en"",""hy"")"),"ինչ արեց Ջերալդ Ֆորդը")</f>
        <v>ինչ արեց Ջերալդ Ֆորդը</v>
      </c>
      <c r="D1671" s="3" t="str">
        <f>IFERROR(__xludf.DUMMYFUNCTION("GOOGLETRANSLATE(B1671,""en"",""hy"")"),"Ջերալդ Ֆորդը եղել է Միացյալ Նահանգների 38-րդ նախագահը։")</f>
        <v>Ջերալդ Ֆորդը եղել է Միացյալ Նահանգների 38-րդ նախագահը։</v>
      </c>
    </row>
    <row r="1672">
      <c r="A1672" s="1" t="s">
        <v>3318</v>
      </c>
      <c r="B1672" s="2" t="s">
        <v>3319</v>
      </c>
      <c r="C1672" s="3" t="str">
        <f>IFERROR(__xludf.DUMMYFUNCTION("GOOGLETRANSLATE(A1672,""en"",""hy"")"),"ինչպես է կոչվում անձրևային անտառը Պերուում:")</f>
        <v>ինչպես է կոչվում անձրևային անտառը Պերուում:</v>
      </c>
      <c r="D1672" s="3" t="str">
        <f>IFERROR(__xludf.DUMMYFUNCTION("GOOGLETRANSLATE(B1672,""en"",""hy"")"),"Պերուի անձրևային անտառը կոչվում է Ամազոնի անձրևային անտառ:")</f>
        <v>Պերուի անձրևային անտառը կոչվում է Ամազոնի անձրևային անտառ:</v>
      </c>
    </row>
    <row r="1673">
      <c r="A1673" s="1" t="s">
        <v>3320</v>
      </c>
      <c r="B1673" s="2" t="s">
        <v>3321</v>
      </c>
      <c r="C1673" s="3" t="str">
        <f>IFERROR(__xludf.DUMMYFUNCTION("GOOGLETRANSLATE(A1673,""en"",""hy"")"),"որտեղ է գտնվում Ջեֆերսոն լեռը:")</f>
        <v>որտեղ է գտնվում Ջեֆերսոն լեռը:</v>
      </c>
      <c r="D1673" s="3" t="str">
        <f>IFERROR(__xludf.DUMMYFUNCTION("GOOGLETRANSLATE(B1673,""en"",""hy"")"),"Ջեֆերսոն լեռը գտնվում է ԱՄՆ Օրեգոն նահանգի Կասկադ լեռնաշղթայում:")</f>
        <v>Ջեֆերսոն լեռը գտնվում է ԱՄՆ Օրեգոն նահանգի Կասկադ լեռնաշղթայում:</v>
      </c>
    </row>
    <row r="1674">
      <c r="A1674" s="1" t="s">
        <v>3322</v>
      </c>
      <c r="B1674" s="2" t="s">
        <v>3323</v>
      </c>
      <c r="C1674" s="3" t="str">
        <f>IFERROR(__xludf.DUMMYFUNCTION("GOOGLETRANSLATE(A1674,""en"",""hy"")"),"որոնք են Կոլորադոյի պետական ​​խորհրդանիշները:")</f>
        <v>որոնք են Կոլորադոյի պետական ​​խորհրդանիշները:</v>
      </c>
      <c r="D1674" s="3" t="str">
        <f>IFERROR(__xludf.DUMMYFUNCTION("GOOGLETRANSLATE(B1674,""en"",""hy"")"),"Կոլորադոյի պետական ​​խորհրդանիշները ներառում են պետական ​​կենդանի (Rocky Mountain Bighorn Sheep), պետական ​​թռչուն (Lark Bunting), պետական ​​ձուկ (Greenback Cutthroat Trout), պետական ​​ծաղիկ (Rocky Mountain Columbine) և պետական ​​ծառ (Colorado Blue Spruce"&amp;"):")</f>
        <v>Կոլորադոյի պետական ​​խորհրդանիշները ներառում են պետական ​​կենդանի (Rocky Mountain Bighorn Sheep), պետական ​​թռչուն (Lark Bunting), պետական ​​ձուկ (Greenback Cutthroat Trout), պետական ​​ծաղիկ (Rocky Mountain Columbine) և պետական ​​ծառ (Colorado Blue Spruce):</v>
      </c>
    </row>
    <row r="1675">
      <c r="A1675" s="1" t="s">
        <v>3324</v>
      </c>
      <c r="B1675" s="2" t="s">
        <v>3325</v>
      </c>
      <c r="C1675" s="3" t="str">
        <f>IFERROR(__xludf.DUMMYFUNCTION("GOOGLETRANSLATE(A1675,""en"",""hy"")"),"որտե՞ղ գնաց Բազ Ուիլյամսը քոլեջ:")</f>
        <v>որտե՞ղ գնաց Բազ Ուիլյամսը քոլեջ:</v>
      </c>
      <c r="D1675" s="3" t="str">
        <f>IFERROR(__xludf.DUMMYFUNCTION("GOOGLETRANSLATE(B1675,""en"",""hy"")"),"Բազ Ուիլյամսը սովորել է Նավարո քոլեջում և Օկլահոմա Սիթիի համալսարանում:")</f>
        <v>Բազ Ուիլյամսը սովորել է Նավարո քոլեջում և Օկլահոմա Սիթիի համալսարանում:</v>
      </c>
    </row>
    <row r="1676">
      <c r="A1676" s="1" t="s">
        <v>3326</v>
      </c>
      <c r="B1676" s="2" t="s">
        <v>3327</v>
      </c>
      <c r="C1676" s="3" t="str">
        <f>IFERROR(__xludf.DUMMYFUNCTION("GOOGLETRANSLATE(A1676,""en"",""hy"")"),"ի՞նչ ճակատամարտեր է հաղթել Կանադան ww2-ում:")</f>
        <v>ի՞նչ ճակատամարտեր է հաղթել Կանադան ww2-ում:</v>
      </c>
      <c r="D1676" s="3" t="str">
        <f>IFERROR(__xludf.DUMMYFUNCTION("GOOGLETRANSLATE(B1676,""en"",""hy"")"),"Երկրորդ համաշխարհային պատերազմում Կանադան հաղթեց մի քանի ճակատամարտերում, ներառյալ Ատլանտյան օվկիանոսի ճակատամարտը, Օրտոնայի ճակատամարտը, Շելդտի ճակատամարտը և Նորմանդիայի ճակատամարտը (D-Day):")</f>
        <v>Երկրորդ համաշխարհային պատերազմում Կանադան հաղթեց մի քանի ճակատամարտերում, ներառյալ Ատլանտյան օվկիանոսի ճակատամարտը, Օրտոնայի ճակատամարտը, Շելդտի ճակատամարտը և Նորմանդիայի ճակատամարտը (D-Day):</v>
      </c>
    </row>
    <row r="1677">
      <c r="A1677" s="1" t="s">
        <v>3328</v>
      </c>
      <c r="B1677" s="2" t="s">
        <v>3329</v>
      </c>
      <c r="C1677" s="3" t="str">
        <f>IFERROR(__xludf.DUMMYFUNCTION("GOOGLETRANSLATE(A1677,""en"",""hy"")"),"Ո՞ր օդանավակայանն է ամենամոտ Չիկագո քաղաքին:")</f>
        <v>Ո՞ր օդանավակայանն է ամենամոտ Չիկագո քաղաքին:</v>
      </c>
      <c r="D1677" s="3" t="str">
        <f>IFERROR(__xludf.DUMMYFUNCTION("GOOGLETRANSLATE(B1677,""en"",""hy"")"),"O'Hare միջազգային օդանավակայան.")</f>
        <v>O'Hare միջազգային օդանավակայան.</v>
      </c>
    </row>
    <row r="1678">
      <c r="A1678" s="1" t="s">
        <v>3330</v>
      </c>
      <c r="B1678" s="2" t="s">
        <v>3331</v>
      </c>
      <c r="C1678" s="3" t="str">
        <f>IFERROR(__xludf.DUMMYFUNCTION("GOOGLETRANSLATE(A1678,""en"",""hy"")"),"աշխարհի ո՞ր մասում է գտնվում Հարավային Աֆրիկան:")</f>
        <v>աշխարհի ո՞ր մասում է գտնվում Հարավային Աֆրիկան:</v>
      </c>
      <c r="D1678" s="3" t="str">
        <f>IFERROR(__xludf.DUMMYFUNCTION("GOOGLETRANSLATE(B1678,""en"",""hy"")"),"Հարավային Աֆրիկան ​​գտնվում է Աֆրիկյան մայրցամաքի հարավային մասում։")</f>
        <v>Հարավային Աֆրիկան ​​գտնվում է Աֆրիկյան մայրցամաքի հարավային մասում։</v>
      </c>
    </row>
    <row r="1679">
      <c r="A1679" s="1" t="s">
        <v>3332</v>
      </c>
      <c r="B1679" s="2" t="s">
        <v>3333</v>
      </c>
      <c r="C1679" s="3" t="str">
        <f>IFERROR(__xludf.DUMMYFUNCTION("GOOGLETRANSLATE(A1679,""en"",""hy"")"),"ինչ ֆիլմերում է խաղացել Ադամ Սենդլերը")</f>
        <v>ինչ ֆիլմերում է խաղացել Ադամ Սենդլերը</v>
      </c>
      <c r="D1679" s="3" t="str">
        <f>IFERROR(__xludf.DUMMYFUNCTION("GOOGLETRANSLATE(B1679,""en"",""hy"")"),"Որոշ ֆիլմեր, որոնցում խաղացել է Ադամ Սենդլերը, ներառում են «Happy Gilmore», «Billy Madison» և «The Waterboy»:")</f>
        <v>Որոշ ֆիլմեր, որոնցում խաղացել է Ադամ Սենդլերը, ներառում են «Happy Gilmore», «Billy Madison» և «The Waterboy»:</v>
      </c>
    </row>
    <row r="1680">
      <c r="A1680" s="1" t="s">
        <v>3334</v>
      </c>
      <c r="B1680" s="2" t="s">
        <v>3335</v>
      </c>
      <c r="C1680" s="3" t="str">
        <f>IFERROR(__xludf.DUMMYFUNCTION("GOOGLETRANSLATE(A1680,""en"",""hy"")"),"ում օգտին քվեարկել Սան Ֆրանցիսկոյում 2012 թ.")</f>
        <v>ում օգտին քվեարկել Սան Ֆրանցիսկոյում 2012 թ.</v>
      </c>
      <c r="D1680" s="3" t="str">
        <f>IFERROR(__xludf.DUMMYFUNCTION("GOOGLETRANSLATE(B1680,""en"",""hy"")"),"Որպես AI, ես չունեմ անձնական կարծիքներ կամ իրական ժամանակում տեղեկատվություն տրամադրելու հնարավորություն: Ես խորհուրդ եմ տալիս ուսումնասիրել թեկնածուներին և նրանց հարթակները՝ տեղեկացված որոշում կայացնելու համար, թե ում օգտին քվեարկել Սան Ֆրանցիսկոյում 201"&amp;"2 թվականին: Դուք կարող եք դիմել ընտրողների ուղեցույցներին, մասնակցել թեկնածուների ֆորումներին կամ այցելել ընտրությունների պաշտոնական կայք՝ արդի տեղեկությունների համար:")</f>
        <v>Որպես AI, ես չունեմ անձնական կարծիքներ կամ իրական ժամանակում տեղեկատվություն տրամադրելու հնարավորություն: Ես խորհուրդ եմ տալիս ուսումնասիրել թեկնածուներին և նրանց հարթակները՝ տեղեկացված որոշում կայացնելու համար, թե ում օգտին քվեարկել Սան Ֆրանցիսկոյում 2012 թվականին: Դուք կարող եք դիմել ընտրողների ուղեցույցներին, մասնակցել թեկնածուների ֆորումներին կամ այցելել ընտրությունների պաշտոնական կայք՝ արդի տեղեկությունների համար:</v>
      </c>
    </row>
    <row r="1681">
      <c r="A1681" s="1" t="s">
        <v>3336</v>
      </c>
      <c r="B1681" s="2" t="s">
        <v>3337</v>
      </c>
      <c r="C1681" s="3" t="str">
        <f>IFERROR(__xludf.DUMMYFUNCTION("GOOGLETRANSLATE(A1681,""en"",""hy"")"),"որտեղ է Վաշինգտոնը Դ.Կ. ժամը?")</f>
        <v>որտեղ է Վաշինգտոնը Դ.Կ. ժամը?</v>
      </c>
      <c r="D1681" s="3" t="str">
        <f>IFERROR(__xludf.DUMMYFUNCTION("GOOGLETRANSLATE(B1681,""en"",""hy"")"),"Վաշինգտոնը գտնվում է ԱՄՆ-ի արևելյան ափին, Մերիլենդի և Վիրջինիայի միջև:")</f>
        <v>Վաշինգտոնը գտնվում է ԱՄՆ-ի արևելյան ափին, Մերիլենդի և Վիրջինիայի միջև:</v>
      </c>
    </row>
    <row r="1682">
      <c r="A1682" s="1" t="s">
        <v>3338</v>
      </c>
      <c r="B1682" s="2" t="s">
        <v>3339</v>
      </c>
      <c r="C1682" s="3" t="str">
        <f>IFERROR(__xludf.DUMMYFUNCTION("GOOGLETRANSLATE(A1682,""en"",""hy"")"),"ով է Ravens 2012 թ.")</f>
        <v>ով է Ravens 2012 թ.</v>
      </c>
      <c r="D1682" s="3" t="str">
        <f>IFERROR(__xludf.DUMMYFUNCTION("GOOGLETRANSLATE(B1682,""en"",""hy"")"),"Ջո Ֆլակո.")</f>
        <v>Ջո Ֆլակո.</v>
      </c>
    </row>
    <row r="1683">
      <c r="A1683" s="1" t="s">
        <v>3340</v>
      </c>
      <c r="B1683" s="2" t="s">
        <v>3341</v>
      </c>
      <c r="C1683" s="3" t="str">
        <f>IFERROR(__xludf.DUMMYFUNCTION("GOOGLETRANSLATE(A1683,""en"",""hy"")"),"ով է Չինաստանի ներկայիս ղեկավարը և ինչ կոչում ունի:")</f>
        <v>ով է Չինաստանի ներկայիս ղեկավարը և ինչ կոչում ունի:</v>
      </c>
      <c r="D1683" s="3" t="str">
        <f>IFERROR(__xludf.DUMMYFUNCTION("GOOGLETRANSLATE(B1683,""en"",""hy"")"),"Չինաստանի ներկայիս ղեկավարը Սի Ցզինպինն է, իսկ նրա կոչումը Չինաստանի Կոմունիստական ​​կուսակցության գլխավոր քարտուղարն է։")</f>
        <v>Չինաստանի ներկայիս ղեկավարը Սի Ցզինպինն է, իսկ նրա կոչումը Չինաստանի Կոմունիստական ​​կուսակցության գլխավոր քարտուղարն է։</v>
      </c>
    </row>
    <row r="1684">
      <c r="A1684" s="1" t="s">
        <v>3342</v>
      </c>
      <c r="B1684" s="2" t="s">
        <v>3343</v>
      </c>
      <c r="C1684" s="3" t="str">
        <f>IFERROR(__xludf.DUMMYFUNCTION("GOOGLETRANSLATE(A1684,""en"",""hy"")"),"երբ է առաջացել ալդին:")</f>
        <v>երբ է առաջացել ալդին:</v>
      </c>
      <c r="D1684" s="3" t="str">
        <f>IFERROR(__xludf.DUMMYFUNCTION("GOOGLETRANSLATE(B1684,""en"",""hy"")"),"Aldi-ն առաջացել է 1946թ.")</f>
        <v>Aldi-ն առաջացել է 1946թ.</v>
      </c>
    </row>
    <row r="1685">
      <c r="A1685" s="1" t="s">
        <v>3344</v>
      </c>
      <c r="B1685" s="2" t="s">
        <v>3345</v>
      </c>
      <c r="C1685" s="3" t="str">
        <f>IFERROR(__xludf.DUMMYFUNCTION("GOOGLETRANSLATE(A1685,""en"",""hy"")"),"ով է ստեղծել microsoft windows-ը:")</f>
        <v>ով է ստեղծել microsoft windows-ը:</v>
      </c>
      <c r="D1685" s="3" t="str">
        <f>IFERROR(__xludf.DUMMYFUNCTION("GOOGLETRANSLATE(B1685,""en"",""hy"")"),"Microsoft Windows-ը ստեղծվել է Microsoft Corporation-ի կողմից:")</f>
        <v>Microsoft Windows-ը ստեղծվել է Microsoft Corporation-ի կողմից:</v>
      </c>
    </row>
    <row r="1686">
      <c r="A1686" s="1" t="s">
        <v>3346</v>
      </c>
      <c r="B1686" s="2" t="s">
        <v>3347</v>
      </c>
      <c r="C1686" s="3" t="str">
        <f>IFERROR(__xludf.DUMMYFUNCTION("GOOGLETRANSLATE(A1686,""en"",""hy"")"),"ինչ է թագավոր Չարլզ կավալիեր շունը:")</f>
        <v>ինչ է թագավոր Չարլզ կավալիեր շունը:</v>
      </c>
      <c r="D1686" s="3" t="str">
        <f>IFERROR(__xludf.DUMMYFUNCTION("GOOGLETRANSLATE(B1686,""en"",""hy"")"),"Թագավոր Չարլզ Կավալիեր շունը փոքր ցեղատեսակի շուն է, որը հայտնի է իր ընկերասեր և սիրալիր բնավորությամբ:")</f>
        <v>Թագավոր Չարլզ Կավալիեր շունը փոքր ցեղատեսակի շուն է, որը հայտնի է իր ընկերասեր և սիրալիր բնավորությամբ:</v>
      </c>
    </row>
    <row r="1687">
      <c r="A1687" s="1" t="s">
        <v>3348</v>
      </c>
      <c r="B1687" s="2" t="s">
        <v>3349</v>
      </c>
      <c r="C1687" s="3" t="str">
        <f>IFERROR(__xludf.DUMMYFUNCTION("GOOGLETRANSLATE(A1687,""en"",""hy"")"),"Ինչո՞վ է առավել հայտնի Ջոն Սթայնբեքը:")</f>
        <v>Ինչո՞վ է առավել հայտնի Ջոն Սթայնբեքը:</v>
      </c>
      <c r="D1687" s="3" t="str">
        <f>IFERROR(__xludf.DUMMYFUNCTION("GOOGLETRANSLATE(B1687,""en"",""hy"")"),"Ջոն Սթայնբեքը հայտնի է իր «Ցասման խաղողը» վեպով։")</f>
        <v>Ջոն Սթայնբեքը հայտնի է իր «Ցասման խաղողը» վեպով։</v>
      </c>
    </row>
    <row r="1688">
      <c r="A1688" s="1" t="s">
        <v>3350</v>
      </c>
      <c r="B1688" s="2" t="s">
        <v>3351</v>
      </c>
      <c r="C1688" s="3" t="str">
        <f>IFERROR(__xludf.DUMMYFUNCTION("GOOGLETRANSLATE(A1688,""en"",""hy"")"),"ե՞րբ է նախագահ ընտրվել Բարաք Օբաման")</f>
        <v>ե՞րբ է նախագահ ընտրվել Բարաք Օբաման</v>
      </c>
      <c r="D1688" s="3" t="str">
        <f>IFERROR(__xludf.DUMMYFUNCTION("GOOGLETRANSLATE(B1688,""en"",""hy"")"),"Բարաք Օբաման նախագահ է ընտրվել 2008 թվականին, իսկ վերընտրվել 2012 թվականին։")</f>
        <v>Բարաք Օբաման նախագահ է ընտրվել 2008 թվականին, իսկ վերընտրվել 2012 թվականին։</v>
      </c>
    </row>
    <row r="1689">
      <c r="A1689" s="1" t="s">
        <v>3352</v>
      </c>
      <c r="B1689" s="2" t="s">
        <v>3353</v>
      </c>
      <c r="C1689" s="3" t="str">
        <f>IFERROR(__xludf.DUMMYFUNCTION("GOOGLETRANSLATE(A1689,""en"",""hy"")"),"ով է առաջադրել Էնթոնի Քենեդու թեկնածությունը")</f>
        <v>ով է առաջադրել Էնթոնի Քենեդու թեկնածությունը</v>
      </c>
      <c r="D1689" s="3" t="str">
        <f>IFERROR(__xludf.DUMMYFUNCTION("GOOGLETRANSLATE(B1689,""en"",""hy"")"),"Էնթոնի Քենեդին առաջադրվել է նախագահ Ռոնալդ Ռեյգանի կողմից։")</f>
        <v>Էնթոնի Քենեդին առաջադրվել է նախագահ Ռոնալդ Ռեյգանի կողմից։</v>
      </c>
    </row>
    <row r="1690">
      <c r="A1690" s="1" t="s">
        <v>3354</v>
      </c>
      <c r="B1690" s="2" t="s">
        <v>847</v>
      </c>
      <c r="C1690" s="3" t="str">
        <f>IFERROR(__xludf.DUMMYFUNCTION("GOOGLETRANSLATE(A1690,""en"",""hy"")"),"ո՞վ էր Դարտ Վեյդերի ձայնը III դրվագում:")</f>
        <v>ո՞վ էր Դարտ Վեյդերի ձայնը III դրվագում:</v>
      </c>
      <c r="D1690" s="3" t="str">
        <f>IFERROR(__xludf.DUMMYFUNCTION("GOOGLETRANSLATE(B1690,""en"",""hy"")"),"Ջեյմս Էրլ Ջոնս.")</f>
        <v>Ջեյմս Էրլ Ջոնս.</v>
      </c>
    </row>
    <row r="1691">
      <c r="A1691" s="1" t="s">
        <v>3355</v>
      </c>
      <c r="B1691" s="2" t="s">
        <v>3356</v>
      </c>
      <c r="C1691" s="3" t="str">
        <f>IFERROR(__xludf.DUMMYFUNCTION("GOOGLETRANSLATE(A1691,""en"",""hy"")"),"ո՞ր տարում է Լամար Օդոմը խաղացել կլիպերսում:")</f>
        <v>ո՞ր տարում է Լամար Օդոմը խաղացել կլիպերսում:</v>
      </c>
      <c r="D1691" s="3" t="str">
        <f>IFERROR(__xludf.DUMMYFUNCTION("GOOGLETRANSLATE(B1691,""en"",""hy"")"),"Լամար Օդոմը հանդես է եկել «Քլիպերսում» 1999-ից 2003 թվականներին:")</f>
        <v>Լամար Օդոմը հանդես է եկել «Քլիպերսում» 1999-ից 2003 թվականներին:</v>
      </c>
    </row>
    <row r="1692">
      <c r="A1692" s="1" t="s">
        <v>3357</v>
      </c>
      <c r="B1692" s="2" t="s">
        <v>3358</v>
      </c>
      <c r="C1692" s="3" t="str">
        <f>IFERROR(__xludf.DUMMYFUNCTION("GOOGLETRANSLATE(A1692,""en"",""hy"")"),"որտեղից է գալիս ֆրանսերենը")</f>
        <v>որտեղից է գալիս ֆրանսերենը</v>
      </c>
      <c r="D1692" s="3" t="str">
        <f>IFERROR(__xludf.DUMMYFUNCTION("GOOGLETRANSLATE(B1692,""en"",""hy"")"),"Ֆրանսերենը ծագել է լատիներենից։")</f>
        <v>Ֆրանսերենը ծագել է լատիներենից։</v>
      </c>
    </row>
    <row r="1693">
      <c r="A1693" s="1" t="s">
        <v>3359</v>
      </c>
      <c r="B1693" s="2" t="s">
        <v>3360</v>
      </c>
      <c r="C1693" s="3" t="str">
        <f>IFERROR(__xludf.DUMMYFUNCTION("GOOGLETRANSLATE(A1693,""en"",""hy"")"),"ինչ է Չիլիի կառավարությունը")</f>
        <v>ինչ է Չիլիի կառավարությունը</v>
      </c>
      <c r="D1693" s="3" t="str">
        <f>IFERROR(__xludf.DUMMYFUNCTION("GOOGLETRANSLATE(B1693,""en"",""hy"")"),"Չիլիի կառավարությունը ժողովրդավարական հանրապետություն է։")</f>
        <v>Չիլիի կառավարությունը ժողովրդավարական հանրապետություն է։</v>
      </c>
    </row>
    <row r="1694">
      <c r="A1694" s="1" t="s">
        <v>3361</v>
      </c>
      <c r="B1694" s="2" t="s">
        <v>3362</v>
      </c>
      <c r="C1694" s="3" t="str">
        <f>IFERROR(__xludf.DUMMYFUNCTION("GOOGLETRANSLATE(A1694,""en"",""hy"")"),"Ո՞ր ֆիլմում է խաղում Նատալի Պորտմանը")</f>
        <v>Ո՞ր ֆիլմում է խաղում Նատալի Պորտմանը</v>
      </c>
      <c r="D1694" s="3" t="str">
        <f>IFERROR(__xludf.DUMMYFUNCTION("GOOGLETRANSLATE(B1694,""en"",""hy"")"),"Նատալի Փորթմանը նկարահանվել է տարբեր ֆիլմերում, այդ թվում՝ «Սև կարապ», «V for Vendetta» և «Leon: The Professional»:")</f>
        <v>Նատալի Փորթմանը նկարահանվել է տարբեր ֆիլմերում, այդ թվում՝ «Սև կարապ», «V for Vendetta» և «Leon: The Professional»:</v>
      </c>
    </row>
    <row r="1695">
      <c r="A1695" s="1" t="s">
        <v>3363</v>
      </c>
      <c r="B1695" s="2" t="s">
        <v>3364</v>
      </c>
      <c r="C1695" s="3" t="str">
        <f>IFERROR(__xludf.DUMMYFUNCTION("GOOGLETRANSLATE(A1695,""en"",""hy"")"),"ով է New Orleans Saints-ի գլխավոր մարզիչը.")</f>
        <v>ով է New Orleans Saints-ի գլխավոր մարզիչը.</v>
      </c>
      <c r="D1695" s="3" t="str">
        <f>IFERROR(__xludf.DUMMYFUNCTION("GOOGLETRANSLATE(B1695,""en"",""hy"")"),"«Նյու Օռլեան Սեյնթսի» ներկայիս գլխավոր մարզիչն է Շոն Փեյթոնը։")</f>
        <v>«Նյու Օռլեան Սեյնթսի» ներկայիս գլխավոր մարզիչն է Շոն Փեյթոնը։</v>
      </c>
    </row>
    <row r="1696">
      <c r="A1696" s="1" t="s">
        <v>3365</v>
      </c>
      <c r="B1696" s="2" t="s">
        <v>3366</v>
      </c>
      <c r="C1696" s="3" t="str">
        <f>IFERROR(__xludf.DUMMYFUNCTION("GOOGLETRANSLATE(A1696,""en"",""hy"")"),"որտեղ է հոսում Շանոն գետը")</f>
        <v>որտեղ է հոսում Շանոն գետը</v>
      </c>
      <c r="D1696" s="3" t="str">
        <f>IFERROR(__xludf.DUMMYFUNCTION("GOOGLETRANSLATE(B1696,""en"",""hy"")"),"Շենոն գետը հոսում է Իռլանդիայի միջով։")</f>
        <v>Շենոն գետը հոսում է Իռլանդիայի միջով։</v>
      </c>
    </row>
    <row r="1697">
      <c r="A1697" s="1" t="s">
        <v>3367</v>
      </c>
      <c r="B1697" s="2" t="s">
        <v>3368</v>
      </c>
      <c r="C1697" s="3" t="str">
        <f>IFERROR(__xludf.DUMMYFUNCTION("GOOGLETRANSLATE(A1697,""en"",""hy"")"),"ո՞ր ֆիլմերում է նկարահանվում Զակ Էֆրոնը")</f>
        <v>ո՞ր ֆիլմերում է նկարահանվում Զակ Էֆրոնը</v>
      </c>
      <c r="D1697" s="3" t="str">
        <f>IFERROR(__xludf.DUMMYFUNCTION("GOOGLETRANSLATE(B1697,""en"",""hy"")"),"«High School Musical», «The Greatest Showman», «Baywatch» և «Neighbors» ֆիլմերը, որոնցում նկարահանվել է Զակ Էֆրոնը։")</f>
        <v>«High School Musical», «The Greatest Showman», «Baywatch» և «Neighbors» ֆիլմերը, որոնցում նկարահանվել է Զակ Էֆրոնը։</v>
      </c>
    </row>
    <row r="1698">
      <c r="A1698" s="1" t="s">
        <v>3369</v>
      </c>
      <c r="B1698" s="2" t="s">
        <v>3370</v>
      </c>
      <c r="C1698" s="3" t="str">
        <f>IFERROR(__xludf.DUMMYFUNCTION("GOOGLETRANSLATE(A1698,""en"",""hy"")"),"ինչ է Նիգերիայի քաղաքական համակարգը:")</f>
        <v>ինչ է Նիգերիայի քաղաքական համակարգը:</v>
      </c>
      <c r="D1698" s="3" t="str">
        <f>IFERROR(__xludf.DUMMYFUNCTION("GOOGLETRANSLATE(B1698,""en"",""hy"")"),"Նիգերիայի քաղաքական համակարգը դաշնային հանրապետություն է։")</f>
        <v>Նիգերիայի քաղաքական համակարգը դաշնային հանրապետություն է։</v>
      </c>
    </row>
    <row r="1699">
      <c r="A1699" s="1" t="s">
        <v>3371</v>
      </c>
      <c r="B1699" s="2" t="s">
        <v>3372</v>
      </c>
      <c r="C1699" s="3" t="str">
        <f>IFERROR(__xludf.DUMMYFUNCTION("GOOGLETRANSLATE(A1699,""en"",""hy"")"),"որտեղ է Պուերտո Գալերան")</f>
        <v>որտեղ է Պուերտո Գալերան</v>
      </c>
      <c r="D1699" s="3" t="str">
        <f>IFERROR(__xludf.DUMMYFUNCTION("GOOGLETRANSLATE(B1699,""en"",""hy"")"),"Պուերտո Գալերան գտնվում է Ֆիլիպինների Արևելյան Մինդորո նահանգում։")</f>
        <v>Պուերտո Գալերան գտնվում է Ֆիլիպինների Արևելյան Մինդորո նահանգում։</v>
      </c>
    </row>
    <row r="1700">
      <c r="A1700" s="1" t="s">
        <v>3373</v>
      </c>
      <c r="B1700" s="2" t="s">
        <v>3374</v>
      </c>
      <c r="C1700" s="3" t="str">
        <f>IFERROR(__xludf.DUMMYFUNCTION("GOOGLETRANSLATE(A1700,""en"",""hy"")"),"որտեղ է գտնվում Վերդենի ճակատամարտը:")</f>
        <v>որտեղ է գտնվում Վերդենի ճակատամարտը:</v>
      </c>
      <c r="D1700" s="3" t="str">
        <f>IFERROR(__xludf.DUMMYFUNCTION("GOOGLETRANSLATE(B1700,""en"",""hy"")"),"Վերդենի ճակատամարտը գտնվում է Ֆրանսիայի հյուսիս-արևելքում։")</f>
        <v>Վերդենի ճակատամարտը գտնվում է Ֆրանսիայի հյուսիս-արևելքում։</v>
      </c>
    </row>
    <row r="1701">
      <c r="A1701" s="1" t="s">
        <v>3375</v>
      </c>
      <c r="B1701" s="2" t="s">
        <v>3376</v>
      </c>
      <c r="C1701" s="3" t="str">
        <f>IFERROR(__xludf.DUMMYFUNCTION("GOOGLETRANSLATE(A1701,""en"",""hy"")"),"ինչ արժույթ ունի Հունգարիան")</f>
        <v>ինչ արժույթ ունի Հունգարիան</v>
      </c>
      <c r="D1701" s="3" t="str">
        <f>IFERROR(__xludf.DUMMYFUNCTION("GOOGLETRANSLATE(B1701,""en"",""hy"")"),"Հունգարիայի արժույթը հունգարական ֆորինտն է։")</f>
        <v>Հունգարիայի արժույթը հունգարական ֆորինտն է։</v>
      </c>
    </row>
    <row r="1702">
      <c r="A1702" s="1" t="s">
        <v>3377</v>
      </c>
      <c r="B1702" s="2" t="s">
        <v>3378</v>
      </c>
      <c r="C1702" s="3" t="str">
        <f>IFERROR(__xludf.DUMMYFUNCTION("GOOGLETRANSLATE(A1702,""en"",""hy"")"),"ով է խաղում ստելլա թագադրման փողոցում:")</f>
        <v>ով է խաղում ստելլա թագադրման փողոցում:</v>
      </c>
      <c r="D1702" s="3" t="str">
        <f>IFERROR(__xludf.DUMMYFUNCTION("GOOGLETRANSLATE(B1702,""en"",""hy"")"),"Ստելլայի կերպարը Coronation Street-ում մարմնավորում է դերասանուհի Միշել Քոլինսը։")</f>
        <v>Ստելլայի կերպարը Coronation Street-ում մարմնավորում է դերասանուհի Միշել Քոլինսը։</v>
      </c>
    </row>
    <row r="1703">
      <c r="A1703" s="1" t="s">
        <v>3379</v>
      </c>
      <c r="B1703" s="2" t="s">
        <v>3380</v>
      </c>
      <c r="C1703" s="3" t="str">
        <f>IFERROR(__xludf.DUMMYFUNCTION("GOOGLETRANSLATE(A1703,""en"",""hy"")"),"ինչ ուներ Մայքլ Ջեքսոնը")</f>
        <v>ինչ ուներ Մայքլ Ջեքսոնը</v>
      </c>
      <c r="D1703" s="3" t="str">
        <f>IFERROR(__xludf.DUMMYFUNCTION("GOOGLETRANSLATE(B1703,""en"",""hy"")"),"Մայքլ Ջեքսոնն իր կյանքի ընթացքում ուներ տարբեր ակտիվներ, այդ թվում՝ երաժշտական ​​կատալոգի իրավունքները, Neverland Ranch-ը, արժեքավոր արվեստի գործեր, անշարժ գույք և անձնական հուշանվերների հսկայական հավաքածու:")</f>
        <v>Մայքլ Ջեքսոնն իր կյանքի ընթացքում ուներ տարբեր ակտիվներ, այդ թվում՝ երաժշտական ​​կատալոգի իրավունքները, Neverland Ranch-ը, արժեքավոր արվեստի գործեր, անշարժ գույք և անձնական հուշանվերների հսկայական հավաքածու:</v>
      </c>
    </row>
    <row r="1704">
      <c r="A1704" s="1" t="s">
        <v>3381</v>
      </c>
      <c r="B1704" s="2" t="s">
        <v>3066</v>
      </c>
      <c r="C1704" s="3" t="str">
        <f>IFERROR(__xludf.DUMMYFUNCTION("GOOGLETRANSLATE(A1704,""en"",""hy"")"),"կառավարման ի՞նչ ձև ունի Կանադան:")</f>
        <v>կառավարման ի՞նչ ձև ունի Կանադան:</v>
      </c>
      <c r="D1704" s="3" t="str">
        <f>IFERROR(__xludf.DUMMYFUNCTION("GOOGLETRANSLATE(B1704,""en"",""hy"")"),"Կանադան ունի խորհրդարանական ժողովրդավարություն։")</f>
        <v>Կանադան ունի խորհրդարանական ժողովրդավարություն։</v>
      </c>
    </row>
    <row r="1705">
      <c r="A1705" s="1" t="s">
        <v>3382</v>
      </c>
      <c r="B1705" s="2" t="s">
        <v>395</v>
      </c>
      <c r="C1705" s="3" t="str">
        <f>IFERROR(__xludf.DUMMYFUNCTION("GOOGLETRANSLATE(A1705,""en"",""hy"")"),"ինչ լեզվով են խոսում Ավստրալիայում:")</f>
        <v>ինչ լեզվով են խոսում Ավստրալիայում:</v>
      </c>
      <c r="D1705" s="3" t="str">
        <f>IFERROR(__xludf.DUMMYFUNCTION("GOOGLETRANSLATE(B1705,""en"",""hy"")"),"Անգլերեն.")</f>
        <v>Անգլերեն.</v>
      </c>
    </row>
    <row r="1706">
      <c r="A1706" s="1" t="s">
        <v>3383</v>
      </c>
      <c r="B1706" s="2" t="s">
        <v>3384</v>
      </c>
      <c r="C1706" s="3" t="str">
        <f>IFERROR(__xludf.DUMMYFUNCTION("GOOGLETRANSLATE(A1706,""en"",""hy"")"),"ով ամուսնացավ Ջեսիկա Սիմփսոնի հետ:")</f>
        <v>ով ամուսնացավ Ջեսիկա Սիմփսոնի հետ:</v>
      </c>
      <c r="D1706" s="3" t="str">
        <f>IFERROR(__xludf.DUMMYFUNCTION("GOOGLETRANSLATE(B1706,""en"",""hy"")"),"Էրիկ Ջոնսոն.")</f>
        <v>Էրիկ Ջոնսոն.</v>
      </c>
    </row>
    <row r="1707">
      <c r="A1707" s="1" t="s">
        <v>3385</v>
      </c>
      <c r="B1707" s="2" t="s">
        <v>3386</v>
      </c>
      <c r="C1707" s="3" t="str">
        <f>IFERROR(__xludf.DUMMYFUNCTION("GOOGLETRANSLATE(A1707,""en"",""hy"")"),"ի՞նչ մարզաշապիկ կհագնեն փաթեթավորողները սուպերգավաթում:")</f>
        <v>ի՞նչ մարզաշապիկ կհագնեն փաթեթավորողները սուպերգավաթում:</v>
      </c>
      <c r="D1707" s="3" t="str">
        <f>IFERROR(__xludf.DUMMYFUNCTION("GOOGLETRANSLATE(B1707,""en"",""hy"")"),"Ցավում եմ, ես տեղեկություն չունեմ ապագա իրադարձությունների կամ թիմի կոնկրետ որոշումների մասին։")</f>
        <v>Ցավում եմ, ես տեղեկություն չունեմ ապագա իրադարձությունների կամ թիմի կոնկրետ որոշումների մասին։</v>
      </c>
    </row>
    <row r="1708">
      <c r="A1708" s="1" t="s">
        <v>3387</v>
      </c>
      <c r="B1708" s="2" t="s">
        <v>3388</v>
      </c>
      <c r="C1708" s="3" t="str">
        <f>IFERROR(__xludf.DUMMYFUNCTION("GOOGLETRANSLATE(A1708,""en"",""hy"")"),"ով է վերահսկում Պանաման:")</f>
        <v>ով է վերահսկում Պանաման:</v>
      </c>
      <c r="D1708" s="3" t="str">
        <f>IFERROR(__xludf.DUMMYFUNCTION("GOOGLETRANSLATE(B1708,""en"",""hy"")"),"Պանամայի կառավարությունը.")</f>
        <v>Պանամայի կառավարությունը.</v>
      </c>
    </row>
    <row r="1709">
      <c r="A1709" s="1" t="s">
        <v>3389</v>
      </c>
      <c r="B1709" s="2" t="s">
        <v>3390</v>
      </c>
      <c r="C1709" s="3" t="str">
        <f>IFERROR(__xludf.DUMMYFUNCTION("GOOGLETRANSLATE(A1709,""en"",""hy"")"),"Ե՞րբ է բալթիմորի օրիոլները հաղթել համաշխարհային շարքում:")</f>
        <v>Ե՞րբ է բալթիմորի օրիոլները հաղթել համաշխարհային շարքում:</v>
      </c>
      <c r="D1709" s="3" t="str">
        <f>IFERROR(__xludf.DUMMYFUNCTION("GOOGLETRANSLATE(B1709,""en"",""hy"")"),"Baltimore Orioles-ը հաղթել է World Series 1983 թվականին:")</f>
        <v>Baltimore Orioles-ը հաղթել է World Series 1983 թվականին:</v>
      </c>
    </row>
    <row r="1710">
      <c r="A1710" s="1" t="s">
        <v>3391</v>
      </c>
      <c r="B1710" s="2" t="s">
        <v>3392</v>
      </c>
      <c r="C1710" s="3" t="str">
        <f>IFERROR(__xludf.DUMMYFUNCTION("GOOGLETRANSLATE(A1710,""en"",""hy"")"),"ինչ անել և տեսնել Մայամի Ֆլորիդայում:")</f>
        <v>ինչ անել և տեսնել Մայամի Ֆլորիդայում:</v>
      </c>
      <c r="D1710" s="3" t="str">
        <f>IFERROR(__xludf.DUMMYFUNCTION("GOOGLETRANSLATE(B1710,""en"",""hy"")"),"Մայամիում, Ֆլորիդա, կան մի քանի բաներ, որոնք կարելի է անել և տեսնել: Որոշ հայտնի տեսարժան վայրերից են՝ ուսումնասիրել հայտնի Հարավային լողափը, այցելել Արտ Դեկո պատմական թաղամաս, նավով էքսկուրսիա կատարել Բիսքայն ծովածոցով, ուսումնասիրել Վիզկայայի թանգարանն "&amp;"ու այգիները, Էվերգլեյդս ազգային պարկի բացօթյա գործունեությունը և քաղաքի աշխույժ գիշերային կյանքը:")</f>
        <v>Մայամիում, Ֆլորիդա, կան մի քանի բաներ, որոնք կարելի է անել և տեսնել: Որոշ հայտնի տեսարժան վայրերից են՝ ուսումնասիրել հայտնի Հարավային լողափը, այցելել Արտ Դեկո պատմական թաղամաս, նավով էքսկուրսիա կատարել Բիսքայն ծովածոցով, ուսումնասիրել Վիզկայայի թանգարանն ու այգիները, Էվերգլեյդս ազգային պարկի բացօթյա գործունեությունը և քաղաքի աշխույժ գիշերային կյանքը:</v>
      </c>
    </row>
    <row r="1711">
      <c r="A1711" s="1" t="s">
        <v>3393</v>
      </c>
      <c r="B1711" s="2" t="s">
        <v>3394</v>
      </c>
      <c r="C1711" s="3" t="str">
        <f>IFERROR(__xludf.DUMMYFUNCTION("GOOGLETRANSLATE(A1711,""en"",""hy"")"),"ինչ արժույթ է Դոմինիկյան Հանրապետությունում 2010 թ.")</f>
        <v>ինչ արժույթ է Դոմինիկյան Հանրապետությունում 2010 թ.</v>
      </c>
      <c r="D1711" s="3" t="str">
        <f>IFERROR(__xludf.DUMMYFUNCTION("GOOGLETRANSLATE(B1711,""en"",""hy"")"),"2010 թվականին Դոմինիկյան Հանրապետությունում արժույթը Դոմինիկյան պեսոն էր։")</f>
        <v>2010 թվականին Դոմինիկյան Հանրապետությունում արժույթը Դոմինիկյան պեսոն էր։</v>
      </c>
    </row>
    <row r="1712">
      <c r="A1712" s="1" t="s">
        <v>3395</v>
      </c>
      <c r="B1712" s="2" t="s">
        <v>3396</v>
      </c>
      <c r="C1712" s="3" t="str">
        <f>IFERROR(__xludf.DUMMYFUNCTION("GOOGLETRANSLATE(A1712,""en"",""hy"")"),"ինչ է կատարվում հիմա Գերմանիայում.")</f>
        <v>ինչ է կատարվում հիմա Գերմանիայում.</v>
      </c>
      <c r="D1712" s="3" t="str">
        <f>IFERROR(__xludf.DUMMYFUNCTION("GOOGLETRANSLATE(B1712,""en"",""hy"")"),"Ցավում եմ, ես չեմ կարող իրական ժամանակում տեղեկատվություն տրամադրել: Գերմանիայում արդի նորությունների և իրադարձությունների համար դիմեք վստահելի լրատվական աղբյուրին:")</f>
        <v>Ցավում եմ, ես չեմ կարող իրական ժամանակում տեղեկատվություն տրամադրել: Գերմանիայում արդի նորությունների և իրադարձությունների համար դիմեք վստահելի լրատվական աղբյուրին:</v>
      </c>
    </row>
    <row r="1713">
      <c r="A1713" s="1" t="s">
        <v>3397</v>
      </c>
      <c r="B1713" s="2" t="s">
        <v>3398</v>
      </c>
      <c r="C1713" s="3" t="str">
        <f>IFERROR(__xludf.DUMMYFUNCTION("GOOGLETRANSLATE(A1713,""en"",""hy"")"),"ինչ ֆիլմեր է նկարել Քրիս Ֆարլին:")</f>
        <v>ինչ ֆիլմեր է նկարել Քրիս Ֆարլին:</v>
      </c>
      <c r="D1713" s="3" t="str">
        <f>IFERROR(__xludf.DUMMYFUNCTION("GOOGLETRANSLATE(B1713,""en"",""hy"")"),"Քրիս Ֆարլիի նկարահանած ֆիլմերից են «Թոմի տղան», «Սև ոչխարները», «Բևերլի Հիլզ Նինջա» և «Գրեթե հերոսներ»։")</f>
        <v>Քրիս Ֆարլիի նկարահանած ֆիլմերից են «Թոմի տղան», «Սև ոչխարները», «Բևերլի Հիլզ Նինջա» և «Գրեթե հերոսներ»։</v>
      </c>
    </row>
    <row r="1714">
      <c r="A1714" s="1" t="s">
        <v>3399</v>
      </c>
      <c r="B1714" s="2" t="s">
        <v>3400</v>
      </c>
      <c r="C1714" s="3" t="str">
        <f>IFERROR(__xludf.DUMMYFUNCTION("GOOGLETRANSLATE(A1714,""en"",""hy"")"),"ով է նանա խաղում թագավորական ընտանիքում.")</f>
        <v>ով է նանա խաղում թագավորական ընտանիքում.</v>
      </c>
      <c r="D1714" s="3" t="str">
        <f>IFERROR(__xludf.DUMMYFUNCTION("GOOGLETRANSLATE(B1714,""en"",""hy"")"),"Թագավորական ընտանիքում Նանայի կերպարը մարմնավորում է Դելլա Ռիզը։")</f>
        <v>Թագավորական ընտանիքում Նանայի կերպարը մարմնավորում է Դելլա Ռիզը։</v>
      </c>
    </row>
    <row r="1715">
      <c r="A1715" s="1" t="s">
        <v>3401</v>
      </c>
      <c r="B1715" s="2" t="s">
        <v>3402</v>
      </c>
      <c r="C1715" s="3" t="str">
        <f>IFERROR(__xludf.DUMMYFUNCTION("GOOGLETRANSLATE(A1715,""en"",""hy"")"),"ով օգնեց Չինաստանին ww2-ում:")</f>
        <v>ով օգնեց Չինաստանին ww2-ում:</v>
      </c>
      <c r="D1715" s="3" t="str">
        <f>IFERROR(__xludf.DUMMYFUNCTION("GOOGLETRANSLATE(B1715,""en"",""hy"")"),"Խորհրդային Միությունը օգնեց Չինաստանին Երկրորդ համաշխարհային պատերազմում:")</f>
        <v>Խորհրդային Միությունը օգնեց Չինաստանին Երկրորդ համաշխարհային պատերազմում:</v>
      </c>
    </row>
    <row r="1716">
      <c r="A1716" s="1" t="s">
        <v>3403</v>
      </c>
      <c r="B1716" s="2" t="s">
        <v>3404</v>
      </c>
      <c r="C1716" s="3" t="str">
        <f>IFERROR(__xludf.DUMMYFUNCTION("GOOGLETRANSLATE(A1716,""en"",""hy"")"),"ինչ ռասայի են արաբները")</f>
        <v>ինչ ռասայի են արաբները</v>
      </c>
      <c r="D1716" s="3" t="str">
        <f>IFERROR(__xludf.DUMMYFUNCTION("GOOGLETRANSLATE(B1716,""en"",""hy"")"),"Արաբները էթնիկ խումբ են, ոչ թե ռասա:")</f>
        <v>Արաբները էթնիկ խումբ են, ոչ թե ռասա:</v>
      </c>
    </row>
    <row r="1717">
      <c r="A1717" s="1" t="s">
        <v>3405</v>
      </c>
      <c r="B1717" s="2" t="s">
        <v>3406</v>
      </c>
      <c r="C1717" s="3" t="str">
        <f>IFERROR(__xludf.DUMMYFUNCTION("GOOGLETRANSLATE(A1717,""en"",""hy"")"),"որտե՞ղ է Ջորջ Վաշինգտոն Քարվերը դպրոց հաճախում:")</f>
        <v>որտե՞ղ է Ջորջ Վաշինգտոն Քարվերը դպրոց հաճախում:</v>
      </c>
      <c r="D1717" s="3" t="str">
        <f>IFERROR(__xludf.DUMMYFUNCTION("GOOGLETRANSLATE(B1717,""en"",""hy"")"),"Ջորջ Վաշինգտոն Քարվերը բարձրագույն կրթության համար հաճախել է Այովա նահանգի գյուղատնտեսական քոլեջ (այժմ հայտնի է որպես Այովա նահանգի համալսարան):")</f>
        <v>Ջորջ Վաշինգտոն Քարվերը բարձրագույն կրթության համար հաճախել է Այովա նահանգի գյուղատնտեսական քոլեջ (այժմ հայտնի է որպես Այովա նահանգի համալսարան):</v>
      </c>
    </row>
    <row r="1718">
      <c r="A1718" s="1" t="s">
        <v>3407</v>
      </c>
      <c r="B1718" s="2" t="s">
        <v>3408</v>
      </c>
      <c r="C1718" s="3" t="str">
        <f>IFERROR(__xludf.DUMMYFUNCTION("GOOGLETRANSLATE(A1718,""en"",""hy"")"),"ով է խաղում steffy համարձակ ու գեղեցիկ?")</f>
        <v>ով է խաղում steffy համարձակ ու գեղեցիկ?</v>
      </c>
      <c r="D1718" s="3" t="str">
        <f>IFERROR(__xludf.DUMMYFUNCTION("GOOGLETRANSLATE(B1718,""en"",""hy"")"),"Ժակլին Մաքինես Վուդ.")</f>
        <v>Ժակլին Մաքինես Վուդ.</v>
      </c>
    </row>
    <row r="1719">
      <c r="A1719" s="1" t="s">
        <v>3409</v>
      </c>
      <c r="B1719" s="2" t="s">
        <v>3410</v>
      </c>
      <c r="C1719" s="3" t="str">
        <f>IFERROR(__xludf.DUMMYFUNCTION("GOOGLETRANSLATE(A1719,""en"",""hy"")"),"որտեղ էր երկրաշարժը քրիստոնեական եկեղեցում.")</f>
        <v>որտեղ էր երկրաշարժը քրիստոնեական եկեղեցում.</v>
      </c>
      <c r="D1719" s="3" t="str">
        <f>IFERROR(__xludf.DUMMYFUNCTION("GOOGLETRANSLATE(B1719,""en"",""hy"")"),"Երկրաշարժը Քրայսթչերչում տեղի է ունեցել Նոր Զելանդիայում։")</f>
        <v>Երկրաշարժը Քրայսթչերչում տեղի է ունեցել Նոր Զելանդիայում։</v>
      </c>
    </row>
    <row r="1720">
      <c r="A1720" s="1" t="s">
        <v>3411</v>
      </c>
      <c r="B1720" s="2" t="s">
        <v>3412</v>
      </c>
      <c r="C1720" s="3" t="str">
        <f>IFERROR(__xludf.DUMMYFUNCTION("GOOGLETRANSLATE(A1720,""en"",""hy"")"),"ո՞ր ժամային գոտին է reno nv:")</f>
        <v>ո՞ր ժամային գոտին է reno nv:</v>
      </c>
      <c r="D1720" s="3" t="str">
        <f>IFERROR(__xludf.DUMMYFUNCTION("GOOGLETRANSLATE(B1720,""en"",""hy"")"),"Reno, NV-ը գտնվում է Խաղաղ օվկիանոսի ժամային գոտում:")</f>
        <v>Reno, NV-ը գտնվում է Խաղաղ օվկիանոսի ժամային գոտում:</v>
      </c>
    </row>
    <row r="1721">
      <c r="A1721" s="1" t="s">
        <v>3413</v>
      </c>
      <c r="B1721" s="2" t="s">
        <v>3414</v>
      </c>
      <c r="C1721" s="3" t="str">
        <f>IFERROR(__xludf.DUMMYFUNCTION("GOOGLETRANSLATE(A1721,""en"",""hy"")"),"ում կողմից է ազդվել Նիկոլո Մաքիավելին:")</f>
        <v>ում կողմից է ազդվել Նիկոլո Մաքիավելին:</v>
      </c>
      <c r="D1721" s="3" t="str">
        <f>IFERROR(__xludf.DUMMYFUNCTION("GOOGLETRANSLATE(B1721,""en"",""hy"")"),"Նիկոլո Մաքիավելին կրել է հին հունական և հռոմեական քաղաքական մտածողների ազդեցությունը, ինչպիսիք են Պլատոնը և Արիստոտելը:")</f>
        <v>Նիկոլո Մաքիավելին կրել է հին հունական և հռոմեական քաղաքական մտածողների ազդեցությունը, ինչպիսիք են Պլատոնը և Արիստոտելը:</v>
      </c>
    </row>
    <row r="1722">
      <c r="A1722" s="1" t="s">
        <v>3415</v>
      </c>
      <c r="B1722" s="2" t="s">
        <v>3416</v>
      </c>
      <c r="C1722" s="3" t="str">
        <f>IFERROR(__xludf.DUMMYFUNCTION("GOOGLETRANSLATE(A1722,""en"",""hy"")"),"ինչ արեց կամեր Նյուտոնը")</f>
        <v>ինչ արեց կամեր Նյուտոնը</v>
      </c>
      <c r="D1722" s="3" t="str">
        <f>IFERROR(__xludf.DUMMYFUNCTION("GOOGLETRANSLATE(B1722,""en"",""hy"")"),"Քեմ Նյուտոնը պրոֆեսիոնալ ֆուտբոլիստ է, ով խաղացել է NFL-ում որպես քառորդ պաշտպան։")</f>
        <v>Քեմ Նյուտոնը պրոֆեսիոնալ ֆուտբոլիստ է, ով խաղացել է NFL-ում որպես քառորդ պաշտպան։</v>
      </c>
    </row>
    <row r="1723">
      <c r="A1723" s="1" t="s">
        <v>3417</v>
      </c>
      <c r="B1723" s="2" t="s">
        <v>3418</v>
      </c>
      <c r="C1723" s="3" t="str">
        <f>IFERROR(__xludf.DUMMYFUNCTION("GOOGLETRANSLATE(A1723,""en"",""hy"")"),"ինչ է Լատինական Ամերիկան ​​իսպաներեն")</f>
        <v>ինչ է Լատինական Ամերիկան ​​իսպաներեն</v>
      </c>
      <c r="D1723" s="3" t="str">
        <f>IFERROR(__xludf.DUMMYFUNCTION("GOOGLETRANSLATE(B1723,""en"",""hy"")"),"Լատինական Ամերիկա Իսպաներենը վերաբերում է Լատինական Ամերիկայի երկրներում օգտագործվող իսպաներեն լեզվի բազմազանությանը:")</f>
        <v>Լատինական Ամերիկա Իսպաներենը վերաբերում է Լատինական Ամերիկայի երկրներում օգտագործվող իսպաներեն լեզվի բազմազանությանը:</v>
      </c>
    </row>
    <row r="1724">
      <c r="A1724" s="1" t="s">
        <v>3419</v>
      </c>
      <c r="B1724" s="2" t="s">
        <v>1627</v>
      </c>
      <c r="C1724" s="3" t="str">
        <f>IFERROR(__xludf.DUMMYFUNCTION("GOOGLETRANSLATE(A1724,""en"",""hy"")"),"Ո՞ր մայրցամաքին են պատկանում Բահամյան կղզիները.")</f>
        <v>Ո՞ր մայրցամաքին են պատկանում Բահամյան կղզիները.</v>
      </c>
      <c r="D1724" s="3" t="str">
        <f>IFERROR(__xludf.DUMMYFUNCTION("GOOGLETRANSLATE(B1724,""en"",""hy"")"),"Հյուսիսային Ամերիկա.")</f>
        <v>Հյուսիսային Ամերիկա.</v>
      </c>
    </row>
    <row r="1725">
      <c r="A1725" s="1" t="s">
        <v>3420</v>
      </c>
      <c r="B1725" s="2" t="s">
        <v>3421</v>
      </c>
      <c r="C1725" s="3" t="str">
        <f>IFERROR(__xludf.DUMMYFUNCTION("GOOGLETRANSLATE(A1725,""en"",""hy"")"),"որտեղ է baybrook mall?")</f>
        <v>որտեղ է baybrook mall?</v>
      </c>
      <c r="D1725" s="3" t="str">
        <f>IFERROR(__xludf.DUMMYFUNCTION("GOOGLETRANSLATE(B1725,""en"",""hy"")"),"Baybrook Mall-ը գտնվում է Տեխաս նահանգի Ֆրինդսվուդ քաղաքում:")</f>
        <v>Baybrook Mall-ը գտնվում է Տեխաս նահանգի Ֆրինդսվուդ քաղաքում:</v>
      </c>
    </row>
    <row r="1726">
      <c r="A1726" s="1" t="s">
        <v>3422</v>
      </c>
      <c r="B1726" s="2" t="s">
        <v>3423</v>
      </c>
      <c r="C1726" s="3" t="str">
        <f>IFERROR(__xludf.DUMMYFUNCTION("GOOGLETRANSLATE(A1726,""en"",""hy"")"),"Ո՞ր նահանգն է հաղթել Օբաման.")</f>
        <v>Ո՞ր նահանգն է հաղթել Օբաման.</v>
      </c>
      <c r="D1726" s="3" t="str">
        <f>IFERROR(__xludf.DUMMYFUNCTION("GOOGLETRANSLATE(B1726,""en"",""hy"")"),"Բարաք Օբաման հաղթել է Իլինոյս նահանգում 2008 և 2012 թվականների նախագահական ընտրություններում։")</f>
        <v>Բարաք Օբաման հաղթել է Իլինոյս նահանգում 2008 և 2012 թվականների նախագահական ընտրություններում։</v>
      </c>
    </row>
    <row r="1727">
      <c r="A1727" s="1" t="s">
        <v>3424</v>
      </c>
      <c r="B1727" s="2" t="s">
        <v>3425</v>
      </c>
      <c r="C1727" s="3" t="str">
        <f>IFERROR(__xludf.DUMMYFUNCTION("GOOGLETRANSLATE(A1727,""en"",""hy"")"),"որտե՞ղ է Իսահակ Նյուտոնը սովորել ավագ դպրոց:")</f>
        <v>որտե՞ղ է Իսահակ Նյուտոնը սովորել ավագ դպրոց:</v>
      </c>
      <c r="D1727" s="3" t="str">
        <f>IFERROR(__xludf.DUMMYFUNCTION("GOOGLETRANSLATE(B1727,""en"",""hy"")"),"Իսահակ Նյուտոնը չի հաճախել միջնակարգ դպրոց, ինչպես գիտենք այսօր:")</f>
        <v>Իսահակ Նյուտոնը չի հաճախել միջնակարգ դպրոց, ինչպես գիտենք այսօր:</v>
      </c>
    </row>
    <row r="1728">
      <c r="A1728" s="1" t="s">
        <v>3426</v>
      </c>
      <c r="B1728" s="2" t="s">
        <v>3427</v>
      </c>
      <c r="C1728" s="3" t="str">
        <f>IFERROR(__xludf.DUMMYFUNCTION("GOOGLETRANSLATE(A1728,""en"",""hy"")"),"Ո՞ր մոլորակն է արքայադուստր Լեան տուն անվանել:")</f>
        <v>Ո՞ր մոլորակն է արքայադուստր Լեան տուն անվանել:</v>
      </c>
      <c r="D1728" s="3" t="str">
        <f>IFERROR(__xludf.DUMMYFUNCTION("GOOGLETRANSLATE(B1728,""en"",""hy"")"),"Արքայադուստր Լեյան մոլորակն անվանել է Ալդերաան տուն:")</f>
        <v>Արքայադուստր Լեյան մոլորակն անվանել է Ալդերաան տուն:</v>
      </c>
    </row>
    <row r="1729">
      <c r="A1729" s="1" t="s">
        <v>3428</v>
      </c>
      <c r="B1729" s="2" t="s">
        <v>3429</v>
      </c>
      <c r="C1729" s="3" t="str">
        <f>IFERROR(__xludf.DUMMYFUNCTION("GOOGLETRANSLATE(A1729,""en"",""hy"")"),"որտեղի՞ց են առաջացել անգլերեն համարները:")</f>
        <v>որտեղի՞ց են առաջացել անգլերեն համարները:</v>
      </c>
      <c r="D1729" s="3" t="str">
        <f>IFERROR(__xludf.DUMMYFUNCTION("GOOGLETRANSLATE(B1729,""en"",""hy"")"),"Անգլերեն թվերը ծագել են հնդ-արաբական համակարգից, որը մշակվել է Հնդկաստանում և հետագայում ընդունվել և տարածվել արաբ մաթեմատիկոսների կողմից միջնադարում։")</f>
        <v>Անգլերեն թվերը ծագել են հնդ-արաբական համակարգից, որը մշակվել է Հնդկաստանում և հետագայում ընդունվել և տարածվել արաբ մաթեմատիկոսների կողմից միջնադարում։</v>
      </c>
    </row>
    <row r="1730">
      <c r="A1730" s="1" t="s">
        <v>3430</v>
      </c>
      <c r="B1730" s="2" t="s">
        <v>3431</v>
      </c>
      <c r="C1730" s="3" t="str">
        <f>IFERROR(__xludf.DUMMYFUNCTION("GOOGLETRANSLATE(A1730,""en"",""hy"")"),"ինչ փող եք օգտագործում Կոստա Ռիկայում:")</f>
        <v>ինչ փող եք օգտագործում Կոստա Ռիկայում:</v>
      </c>
      <c r="D1730" s="3" t="str">
        <f>IFERROR(__xludf.DUMMYFUNCTION("GOOGLETRANSLATE(B1730,""en"",""hy"")"),"Կոստա Ռիկան օգտագործում է Կոստա Ռիկայի կոլոնը որպես պաշտոնական արժույթ:")</f>
        <v>Կոստա Ռիկան օգտագործում է Կոստա Ռիկայի կոլոնը որպես պաշտոնական արժույթ:</v>
      </c>
    </row>
    <row r="1731">
      <c r="A1731" s="1" t="s">
        <v>3432</v>
      </c>
      <c r="B1731" s="2" t="s">
        <v>3433</v>
      </c>
      <c r="C1731" s="3" t="str">
        <f>IFERROR(__xludf.DUMMYFUNCTION("GOOGLETRANSLATE(A1731,""en"",""hy"")"),"որտեղ է Բոբ Մարլին, որտեղից է նա ծնվել:")</f>
        <v>որտեղ է Բոբ Մարլին, որտեղից է նա ծնվել:</v>
      </c>
      <c r="D1731" s="3" t="str">
        <f>IFERROR(__xludf.DUMMYFUNCTION("GOOGLETRANSLATE(B1731,""en"",""hy"")"),"Բոբ Մարլին ծնվել է Նայն Մայլում, Ջամայկա:")</f>
        <v>Բոբ Մարլին ծնվել է Նայն Մայլում, Ջամայկա:</v>
      </c>
    </row>
    <row r="1732">
      <c r="A1732" s="1" t="s">
        <v>3434</v>
      </c>
      <c r="B1732" s="2">
        <v>1986.0</v>
      </c>
      <c r="C1732" s="3" t="str">
        <f>IFERROR(__xludf.DUMMYFUNCTION("GOOGLETRANSLATE(A1732,""en"",""hy"")"),"ո՞ր տարում spudd webb-ը հաղթեց դանկի մրցույթում:")</f>
        <v>ո՞ր տարում spudd webb-ը հաղթեց դանկի մրցույթում:</v>
      </c>
      <c r="D1732" s="3" t="str">
        <f>IFERROR(__xludf.DUMMYFUNCTION("GOOGLETRANSLATE(B1732,""en"",""hy"")"),"1986թ")</f>
        <v>1986թ</v>
      </c>
    </row>
    <row r="1733">
      <c r="A1733" s="1" t="s">
        <v>3435</v>
      </c>
      <c r="B1733" s="2" t="s">
        <v>3436</v>
      </c>
      <c r="C1733" s="3" t="str">
        <f>IFERROR(__xludf.DUMMYFUNCTION("GOOGLETRANSLATE(A1733,""en"",""hy"")"),"ի՞նչ էր խաղում Ռենդի Ջեքսոնը ճամփորդության ժամանակ:")</f>
        <v>ի՞նչ էր խաղում Ռենդի Ջեքսոնը ճամփորդության ժամանակ:</v>
      </c>
      <c r="D1733" s="3" t="str">
        <f>IFERROR(__xludf.DUMMYFUNCTION("GOOGLETRANSLATE(B1733,""en"",""hy"")"),"Ռենդի Ջեքսոնը Journey-ում բաս կիթառ է նվագել։")</f>
        <v>Ռենդի Ջեքսոնը Journey-ում բաս կիթառ է նվագել։</v>
      </c>
    </row>
    <row r="1734">
      <c r="A1734" s="1" t="s">
        <v>3437</v>
      </c>
      <c r="B1734" s="2" t="s">
        <v>3438</v>
      </c>
      <c r="C1734" s="3" t="str">
        <f>IFERROR(__xludf.DUMMYFUNCTION("GOOGLETRANSLATE(A1734,""en"",""hy"")"),"որտեղ մնալ հարավային եզերքի Գրանդ կիրճում:")</f>
        <v>որտեղ մնալ հարավային եզերքի Գրանդ կիրճում:</v>
      </c>
      <c r="D1734" s="3" t="str">
        <f>IFERROR(__xludf.DUMMYFUNCTION("GOOGLETRANSLATE(B1734,""en"",""hy"")"),"Գրանդ Կանիոնի հարավային ծայրամասում կան կացարանների մի քանի տարբերակներ, ներառյալ հյուրանոցներ, օթյակներ և ճամբարներ: Որոշ հայտնի տարբերակներ ներառում են El Tovar հյուրանոցը, Bright Angel Lodge-ը և Mather Campground-ը:")</f>
        <v>Գրանդ Կանիոնի հարավային ծայրամասում կան կացարանների մի քանի տարբերակներ, ներառյալ հյուրանոցներ, օթյակներ և ճամբարներ: Որոշ հայտնի տարբերակներ ներառում են El Tovar հյուրանոցը, Bright Angel Lodge-ը և Mather Campground-ը:</v>
      </c>
    </row>
    <row r="1735">
      <c r="A1735" s="1" t="s">
        <v>3439</v>
      </c>
      <c r="B1735" s="2" t="s">
        <v>3440</v>
      </c>
      <c r="C1735" s="3" t="str">
        <f>IFERROR(__xludf.DUMMYFUNCTION("GOOGLETRANSLATE(A1735,""en"",""hy"")"),"ո՞ր լողափին են հարձակվել կանադացիները.")</f>
        <v>ո՞ր լողափին են հարձակվել կանադացիները.</v>
      </c>
      <c r="D1735" s="3" t="str">
        <f>IFERROR(__xludf.DUMMYFUNCTION("GOOGLETRANSLATE(B1735,""en"",""hy"")"),"Ջունո լողափ.")</f>
        <v>Ջունո լողափ.</v>
      </c>
    </row>
    <row r="1736">
      <c r="A1736" s="1" t="s">
        <v>3441</v>
      </c>
      <c r="B1736" s="2" t="s">
        <v>3442</v>
      </c>
      <c r="C1736" s="3" t="str">
        <f>IFERROR(__xludf.DUMMYFUNCTION("GOOGLETRANSLATE(A1736,""en"",""hy"")"),"Ի՞նչ բացահայտում արեց սըր Իսահակ Նյուտոնը ուժի մասին:")</f>
        <v>Ի՞նչ բացահայտում արեց սըր Իսահակ Նյուտոնը ուժի մասին:</v>
      </c>
      <c r="D1736" s="3" t="str">
        <f>IFERROR(__xludf.DUMMYFUNCTION("GOOGLETRANSLATE(B1736,""en"",""hy"")"),"Սըր Իսահակ Նյուտոնը հայտնաբերեց, որ ուժը երկու առարկաների փոխազդեցությունն է, որն առաջացնում է նրանց շարժման կամ ձևի փոփոխություն: Նա ձևակերպեց շարժման օրենքները և ձգողականության հայեցակարգը։")</f>
        <v>Սըր Իսահակ Նյուտոնը հայտնաբերեց, որ ուժը երկու առարկաների փոխազդեցությունն է, որն առաջացնում է նրանց շարժման կամ ձևի փոփոխություն: Նա ձևակերպեց շարժման օրենքները և ձգողականության հայեցակարգը։</v>
      </c>
    </row>
    <row r="1737">
      <c r="A1737" s="1" t="s">
        <v>3443</v>
      </c>
      <c r="B1737" s="2" t="s">
        <v>3444</v>
      </c>
      <c r="C1737" s="3" t="str">
        <f>IFERROR(__xludf.DUMMYFUNCTION("GOOGLETRANSLATE(A1737,""en"",""hy"")"),"ինչ արժույթ կարող եք օգտագործել Արուբայում:")</f>
        <v>ինչ արժույթ կարող եք օգտագործել Արուբայում:</v>
      </c>
      <c r="D1737" s="3" t="str">
        <f>IFERROR(__xludf.DUMMYFUNCTION("GOOGLETRANSLATE(B1737,""en"",""hy"")"),"Դուք կարող եք օգտագործել Արուբանի ֆլորինը Արուբայում:")</f>
        <v>Դուք կարող եք օգտագործել Արուբանի ֆլորինը Արուբայում:</v>
      </c>
    </row>
    <row r="1738">
      <c r="A1738" s="1" t="s">
        <v>3445</v>
      </c>
      <c r="B1738" s="2" t="s">
        <v>3446</v>
      </c>
      <c r="C1738" s="3" t="str">
        <f>IFERROR(__xludf.DUMMYFUNCTION("GOOGLETRANSLATE(A1738,""en"",""hy"")"),"որտեղ է ապրում Ռոման Աբրամովիչը")</f>
        <v>որտեղ է ապրում Ռոման Աբրամովիչը</v>
      </c>
      <c r="D1738" s="3" t="str">
        <f>IFERROR(__xludf.DUMMYFUNCTION("GOOGLETRANSLATE(B1738,""en"",""hy"")"),"Ռոման Աբրամովիչն ապրում է հիմնականում Լոնդոնում, Անգլիա:")</f>
        <v>Ռոման Աբրամովիչն ապրում է հիմնականում Լոնդոնում, Անգլիա:</v>
      </c>
    </row>
    <row r="1739">
      <c r="A1739" s="1" t="s">
        <v>3447</v>
      </c>
      <c r="B1739" s="2" t="s">
        <v>3448</v>
      </c>
      <c r="C1739" s="3" t="str">
        <f>IFERROR(__xludf.DUMMYFUNCTION("GOOGLETRANSLATE(A1739,""en"",""hy"")"),"ում հետ է ամուսնացած Նոլան Ռայանը")</f>
        <v>ում հետ է ամուսնացած Նոլան Ռայանը</v>
      </c>
      <c r="D1739" s="3" t="str">
        <f>IFERROR(__xludf.DUMMYFUNCTION("GOOGLETRANSLATE(B1739,""en"",""hy"")"),"Նոլան Ռայանն ամուսնացած է Ռութ Ռայանի հետ։")</f>
        <v>Նոլան Ռայանն ամուսնացած է Ռութ Ռայանի հետ։</v>
      </c>
    </row>
    <row r="1740">
      <c r="A1740" s="1" t="s">
        <v>3449</v>
      </c>
      <c r="B1740" s="2" t="s">
        <v>3450</v>
      </c>
      <c r="C1740" s="3" t="str">
        <f>IFERROR(__xludf.DUMMYFUNCTION("GOOGLETRANSLATE(A1740,""en"",""hy"")"),"որտեղ ճանապարհորդել Աֆրիկայում հունվարին:")</f>
        <v>որտեղ ճանապարհորդել Աֆրիկայում հունվարին:</v>
      </c>
      <c r="D1740" s="3" t="str">
        <f>IFERROR(__xludf.DUMMYFUNCTION("GOOGLETRANSLATE(B1740,""en"",""hy"")"),"Հունվարին կարող եք մտածել Աֆրիկայի երկրներ մեկնելու մասին, ինչպիսիք են Հարավային Աֆրիկան, Քենիան, Տանզանիան կամ Մարոկկոն:")</f>
        <v>Հունվարին կարող եք մտածել Աֆրիկայի երկրներ մեկնելու մասին, ինչպիսիք են Հարավային Աֆրիկան, Քենիան, Տանզանիան կամ Մարոկկոն:</v>
      </c>
    </row>
    <row r="1741">
      <c r="A1741" s="1" t="s">
        <v>3451</v>
      </c>
      <c r="B1741" s="2" t="s">
        <v>3452</v>
      </c>
      <c r="C1741" s="3" t="str">
        <f>IFERROR(__xludf.DUMMYFUNCTION("GOOGLETRANSLATE(A1741,""en"",""hy"")"),"որտեղ է ապրել Ուոլթ Դիսնեյը մինչև մահը:")</f>
        <v>որտեղ է ապրել Ուոլթ Դիսնեյը մինչև մահը:</v>
      </c>
      <c r="D1741" s="3" t="str">
        <f>IFERROR(__xludf.DUMMYFUNCTION("GOOGLETRANSLATE(B1741,""en"",""hy"")"),"Ուոլթ Դիսնեյն իր մահվան պահին ապրում էր Կալիֆորնիայի Լոս Անջելես քաղաքում:")</f>
        <v>Ուոլթ Դիսնեյն իր մահվան պահին ապրում էր Կալիֆորնիայի Լոս Անջելես քաղաքում:</v>
      </c>
    </row>
    <row r="1742">
      <c r="A1742" s="1" t="s">
        <v>3453</v>
      </c>
      <c r="B1742" s="2" t="s">
        <v>3454</v>
      </c>
      <c r="C1742" s="3" t="str">
        <f>IFERROR(__xludf.DUMMYFUNCTION("GOOGLETRANSLATE(A1742,""en"",""hy"")"),"ինչ ասաց Նիլը լուսնի վրա.")</f>
        <v>ինչ ասաց Նիլը լուսնի վրա.</v>
      </c>
      <c r="D1742" s="3" t="str">
        <f>IFERROR(__xludf.DUMMYFUNCTION("GOOGLETRANSLATE(B1742,""en"",""hy"")"),"«Դա մեկ փոքր քայլ է մարդու համար, մեկ հսկա թռիչք մարդկության համար»:")</f>
        <v>«Դա մեկ փոքր քայլ է մարդու համար, մեկ հսկա թռիչք մարդկության համար»:</v>
      </c>
    </row>
    <row r="1743">
      <c r="A1743" s="1" t="s">
        <v>3455</v>
      </c>
      <c r="B1743" s="2" t="s">
        <v>3456</v>
      </c>
      <c r="C1743" s="3" t="str">
        <f>IFERROR(__xludf.DUMMYFUNCTION("GOOGLETRANSLATE(A1743,""en"",""hy"")"),"ով խաղաց Carlton Banks?")</f>
        <v>ով խաղաց Carlton Banks?</v>
      </c>
      <c r="D1743" s="3" t="str">
        <f>IFERROR(__xludf.DUMMYFUNCTION("GOOGLETRANSLATE(B1743,""en"",""hy"")"),"Ալֆոնսո Ռիբեյրո.")</f>
        <v>Ալֆոնսո Ռիբեյրո.</v>
      </c>
    </row>
    <row r="1744">
      <c r="A1744" s="1" t="s">
        <v>3457</v>
      </c>
      <c r="B1744" s="2" t="s">
        <v>3458</v>
      </c>
      <c r="C1744" s="3" t="str">
        <f>IFERROR(__xludf.DUMMYFUNCTION("GOOGLETRANSLATE(A1744,""en"",""hy"")"),"ում հետ է Մեթ Դեյմոնը երեխաներ ունենում:")</f>
        <v>ում հետ է Մեթ Դեյմոնը երեխաներ ունենում:</v>
      </c>
      <c r="D1744" s="3" t="str">
        <f>IFERROR(__xludf.DUMMYFUNCTION("GOOGLETRANSLATE(B1744,""en"",""hy"")"),"Մեթ Դեյմոնը երեք երեխա ունի կնոջ՝ Լուսիանա Բարոզոյից։")</f>
        <v>Մեթ Դեյմոնը երեք երեխա ունի կնոջ՝ Լուսիանա Բարոզոյից։</v>
      </c>
    </row>
    <row r="1745">
      <c r="A1745" s="1" t="s">
        <v>3459</v>
      </c>
      <c r="B1745" s="2" t="s">
        <v>3460</v>
      </c>
      <c r="C1745" s="3" t="str">
        <f>IFERROR(__xludf.DUMMYFUNCTION("GOOGLETRANSLATE(A1745,""en"",""hy"")"),"ով է այսօր Կուբայի ներկայիս առաջնորդը:")</f>
        <v>ով է այսօր Կուբայի ներկայիս առաջնորդը:</v>
      </c>
      <c r="D1745" s="3" t="str">
        <f>IFERROR(__xludf.DUMMYFUNCTION("GOOGLETRANSLATE(B1745,""en"",""hy"")"),"Միգել Դիազ-Կանել.")</f>
        <v>Միգել Դիազ-Կանել.</v>
      </c>
    </row>
    <row r="1746">
      <c r="A1746" s="1" t="s">
        <v>3461</v>
      </c>
      <c r="B1746" s="2" t="s">
        <v>3462</v>
      </c>
      <c r="C1746" s="3" t="str">
        <f>IFERROR(__xludf.DUMMYFUNCTION("GOOGLETRANSLATE(A1746,""en"",""hy"")"),"Ի՞նչ գրքեր է գրել Էմիլի Դիկինսոնը:")</f>
        <v>Ի՞նչ գրքեր է գրել Էմիլի Դիկինսոնը:</v>
      </c>
      <c r="D1746" s="3" t="str">
        <f>IFERROR(__xludf.DUMMYFUNCTION("GOOGLETRANSLATE(B1746,""en"",""hy"")"),"Էմիլի Դիկինսոնը գրել է մի քանի բանաստեղծական գրքեր։ Նրա նշանավոր գործերից են «Էմիլի Դիկինսոնի ամբողջական բանաստեղծությունները» և «Էմիլի Դիկինսոնի ձեռագիր գրքերը»։")</f>
        <v>Էմիլի Դիկինսոնը գրել է մի քանի բանաստեղծական գրքեր։ Նրա նշանավոր գործերից են «Էմիլի Դիկինսոնի ամբողջական բանաստեղծությունները» և «Էմիլի Դիկինսոնի ձեռագիր գրքերը»։</v>
      </c>
    </row>
    <row r="1747">
      <c r="A1747" s="1" t="s">
        <v>3463</v>
      </c>
      <c r="B1747" s="2" t="s">
        <v>3464</v>
      </c>
      <c r="C1747" s="3" t="str">
        <f>IFERROR(__xludf.DUMMYFUNCTION("GOOGLETRANSLATE(A1747,""en"",""hy"")"),"ինչում էին ապրում անասազի հնդկացիները:")</f>
        <v>ինչում էին ապրում անասազի հնդկացիները:</v>
      </c>
      <c r="D1747" s="3" t="str">
        <f>IFERROR(__xludf.DUMMYFUNCTION("GOOGLETRANSLATE(B1747,""en"",""hy"")"),"Անասազի հնդկացիներն ապրում էին ժայռային կացարաններում և պեբլո գյուղերում:")</f>
        <v>Անասազի հնդկացիներն ապրում էին ժայռային կացարաններում և պեբլո գյուղերում:</v>
      </c>
    </row>
    <row r="1748">
      <c r="A1748" s="1" t="s">
        <v>3465</v>
      </c>
      <c r="B1748" s="2" t="s">
        <v>3466</v>
      </c>
      <c r="C1748" s="3" t="str">
        <f>IFERROR(__xludf.DUMMYFUNCTION("GOOGLETRANSLATE(A1748,""en"",""hy"")"),"Իտալիայի ո՞ր մասից են եկել ներգաղթյալների մեծ մասը:")</f>
        <v>Իտալիայի ո՞ր մասից են եկել ներգաղթյալների մեծ մասը:</v>
      </c>
      <c r="D1748" s="3" t="str">
        <f>IFERROR(__xludf.DUMMYFUNCTION("GOOGLETRANSLATE(B1748,""en"",""hy"")"),"Հարավային Իտալիա.")</f>
        <v>Հարավային Իտալիա.</v>
      </c>
    </row>
    <row r="1749">
      <c r="A1749" s="1" t="s">
        <v>3467</v>
      </c>
      <c r="B1749" s="2" t="s">
        <v>3468</v>
      </c>
      <c r="C1749" s="3" t="str">
        <f>IFERROR(__xludf.DUMMYFUNCTION("GOOGLETRANSLATE(A1749,""en"",""hy"")"),"ո՞ր հյուրանոցում պետք է մնամ Սան Ֆրանցիսկոյում:")</f>
        <v>ո՞ր հյուրանոցում պետք է մնամ Սան Ֆրանցիսկոյում:</v>
      </c>
      <c r="D1749" s="3" t="str">
        <f>IFERROR(__xludf.DUMMYFUNCTION("GOOGLETRANSLATE(B1749,""en"",""hy"")"),"Դա կախված է ձեր նախասիրություններից և բյուջեից: Սան Ֆրանցիսկոյի որոշ հայտնի հյուրանոցներից են The Fairmont-ը, The Ritz-Carlton-ը, Hotel Nikko-ն և Hotel Union Square-ը:")</f>
        <v>Դա կախված է ձեր նախասիրություններից և բյուջեից: Սան Ֆրանցիսկոյի որոշ հայտնի հյուրանոցներից են The Fairmont-ը, The Ritz-Carlton-ը, Hotel Nikko-ն և Hotel Union Square-ը:</v>
      </c>
    </row>
    <row r="1750">
      <c r="A1750" s="1" t="s">
        <v>3469</v>
      </c>
      <c r="B1750" s="2" t="s">
        <v>3470</v>
      </c>
      <c r="C1750" s="3" t="str">
        <f>IFERROR(__xludf.DUMMYFUNCTION("GOOGLETRANSLATE(A1750,""en"",""hy"")"),"Ո՞ր իրադարձությունները հանգեցրին Նապոլեոնի անկմանը:")</f>
        <v>Ո՞ր իրադարձությունները հանգեցրին Նապոլեոնի անկմանը:</v>
      </c>
      <c r="D1750" s="3" t="str">
        <f>IFERROR(__xludf.DUMMYFUNCTION("GOOGLETRANSLATE(B1750,""en"",""hy"")"),"Հիմնական իրադարձությունները, որոնք հանգեցրին Նապոլեոնի կործանմանը, էին ռուսական աղետալի արշավը, Ֆրանսիայի դեմ վեցերորդ կոալիցիայի ստեղծումը և նրա պարտությունը Վաթերլոյի ճակատամարտում։")</f>
        <v>Հիմնական իրադարձությունները, որոնք հանգեցրին Նապոլեոնի կործանմանը, էին ռուսական աղետալի արշավը, Ֆրանսիայի դեմ վեցերորդ կոալիցիայի ստեղծումը և նրա պարտությունը Վաթերլոյի ճակատամարտում։</v>
      </c>
    </row>
    <row r="1751">
      <c r="A1751" s="1" t="s">
        <v>3471</v>
      </c>
      <c r="B1751" s="2" t="s">
        <v>3472</v>
      </c>
      <c r="C1751" s="3" t="str">
        <f>IFERROR(__xludf.DUMMYFUNCTION("GOOGLETRANSLATE(A1751,""en"",""hy"")"),"Ո՞ր նահանգում է սկսվել Սանտա Ֆե արահետը:")</f>
        <v>Ո՞ր նահանգում է սկսվել Սանտա Ֆե արահետը:</v>
      </c>
      <c r="D1751" s="3" t="str">
        <f>IFERROR(__xludf.DUMMYFUNCTION("GOOGLETRANSLATE(B1751,""en"",""hy"")"),"Միսսուրի")</f>
        <v>Միսսուրի</v>
      </c>
    </row>
    <row r="1752">
      <c r="A1752" s="1" t="s">
        <v>3473</v>
      </c>
      <c r="B1752" s="2" t="s">
        <v>3474</v>
      </c>
      <c r="C1752" s="3" t="str">
        <f>IFERROR(__xludf.DUMMYFUNCTION("GOOGLETRANSLATE(A1752,""en"",""hy"")"),"որտեղ է whitey bulger?")</f>
        <v>որտեղ է whitey bulger?</v>
      </c>
      <c r="D1752" s="3" t="str">
        <f>IFERROR(__xludf.DUMMYFUNCTION("GOOGLETRANSLATE(B1752,""en"",""hy"")"),"Ուայթի Բալգերը սպանվել է բանտում 2018թ.")</f>
        <v>Ուայթի Բալգերը սպանվել է բանտում 2018թ.</v>
      </c>
    </row>
    <row r="1753">
      <c r="A1753" s="1" t="s">
        <v>3475</v>
      </c>
      <c r="B1753" s="2" t="s">
        <v>3476</v>
      </c>
      <c r="C1753" s="3" t="str">
        <f>IFERROR(__xludf.DUMMYFUNCTION("GOOGLETRANSLATE(A1753,""en"",""hy"")"),"ով է ստեղծել youtube-ը")</f>
        <v>ով է ստեղծել youtube-ը</v>
      </c>
      <c r="D1753" s="3" t="str">
        <f>IFERROR(__xludf.DUMMYFUNCTION("GOOGLETRANSLATE(B1753,""en"",""hy"")"),"YouTube-ը ստեղծվել է Սթիվ Չենի, Չադ Հերլիի և Ջավեդ Կարիմի կողմից։")</f>
        <v>YouTube-ը ստեղծվել է Սթիվ Չենի, Չադ Հերլիի և Ջավեդ Կարիմի կողմից։</v>
      </c>
    </row>
    <row r="1754">
      <c r="A1754" s="1" t="s">
        <v>3477</v>
      </c>
      <c r="B1754" s="2" t="s">
        <v>3478</v>
      </c>
      <c r="C1754" s="3" t="str">
        <f>IFERROR(__xludf.DUMMYFUNCTION("GOOGLETRANSLATE(A1754,""en"",""hy"")"),"ինչ անել Հոնկոնգում մեկ շաբաթ.")</f>
        <v>ինչ անել Հոնկոնգում մեկ շաբաթ.</v>
      </c>
      <c r="D1754" s="3" t="str">
        <f>IFERROR(__xludf.DUMMYFUNCTION("GOOGLETRANSLATE(B1754,""en"",""hy"")"),"Հոնկոնգում կարող եք այցելել այնպիսի հայտնի տեսարժան վայրեր, ինչպիսիք են Վիկտորիա Պիկը, Հոնկոնգի Դիսնեյլենդը, Օվկիանոսի պարկը, շրջել «Աստղային լաստանավով» Վիկտորիա նավահանգստում, ուսումնասիրել Մոն Կոկի փողոցային շուկաները, այցելել Մեծ Բուդդա Լանտաու կղզում"&amp;" և վայելել տեղական վայրերը: խոհանոց.")</f>
        <v>Հոնկոնգում կարող եք այցելել այնպիսի հայտնի տեսարժան վայրեր, ինչպիսիք են Վիկտորիա Պիկը, Հոնկոնգի Դիսնեյլենդը, Օվկիանոսի պարկը, շրջել «Աստղային լաստանավով» Վիկտորիա նավահանգստում, ուսումնասիրել Մոն Կոկի փողոցային շուկաները, այցելել Մեծ Բուդդա Լանտաու կղզում և վայելել տեղական վայրերը: խոհանոց.</v>
      </c>
    </row>
    <row r="1755">
      <c r="A1755" s="1" t="s">
        <v>3479</v>
      </c>
      <c r="B1755" s="2" t="s">
        <v>3480</v>
      </c>
      <c r="C1755" s="3" t="str">
        <f>IFERROR(__xludf.DUMMYFUNCTION("GOOGLETRANSLATE(A1755,""en"",""hy"")"),"ի՞նչ արժույթ է օգտագործում Հունաստանը 2012 թ.")</f>
        <v>ի՞նչ արժույթ է օգտագործում Հունաստանը 2012 թ.</v>
      </c>
      <c r="D1755" s="3" t="str">
        <f>IFERROR(__xludf.DUMMYFUNCTION("GOOGLETRANSLATE(B1755,""en"",""hy"")"),"2012 թվականին Հունաստանի արժույթը եվրոն էր։")</f>
        <v>2012 թվականին Հունաստանի արժույթը եվրոն էր։</v>
      </c>
    </row>
    <row r="1756">
      <c r="A1756" s="1" t="s">
        <v>3481</v>
      </c>
      <c r="B1756" s="2" t="s">
        <v>3482</v>
      </c>
      <c r="C1756" s="3" t="str">
        <f>IFERROR(__xludf.DUMMYFUNCTION("GOOGLETRANSLATE(A1756,""en"",""hy"")"),"ի՞նչն է ազդել Էնդի Ուորհոլի աշխատանքի վրա:")</f>
        <v>ի՞նչն է ազդել Էնդի Ուորհոլի աշխատանքի վրա:</v>
      </c>
      <c r="D1756" s="3" t="str">
        <f>IFERROR(__xludf.DUMMYFUNCTION("GOOGLETRANSLATE(B1756,""en"",""hy"")"),"Էնդի Ուորհոլի աշխատանքի վրա ազդել են ժողովրդական մշակույթը, սպառողականությունը, հայտնի մարդկանց մշակույթը և զանգվածային լրատվամիջոցները։")</f>
        <v>Էնդի Ուորհոլի աշխատանքի վրա ազդել են ժողովրդական մշակույթը, սպառողականությունը, հայտնի մարդկանց մշակույթը և զանգվածային լրատվամիջոցները։</v>
      </c>
    </row>
    <row r="1757">
      <c r="A1757" s="1" t="s">
        <v>3483</v>
      </c>
      <c r="B1757" s="2">
        <v>93740.0</v>
      </c>
      <c r="C1757" s="3" t="str">
        <f>IFERROR(__xludf.DUMMYFUNCTION("GOOGLETRANSLATE(A1757,""en"",""hy"")"),"ինչ է Ֆրեզնո նահանգի փոստային կոդը:")</f>
        <v>ինչ է Ֆրեզնո նահանգի փոստային կոդը:</v>
      </c>
      <c r="D1757" s="3" t="str">
        <f>IFERROR(__xludf.DUMMYFUNCTION("GOOGLETRANSLATE(B1757,""en"",""hy"")"),"93740")</f>
        <v>93740</v>
      </c>
    </row>
    <row r="1758">
      <c r="A1758" s="1" t="s">
        <v>3484</v>
      </c>
      <c r="B1758" s="2" t="s">
        <v>3485</v>
      </c>
      <c r="C1758" s="3" t="str">
        <f>IFERROR(__xludf.DUMMYFUNCTION("GOOGLETRANSLATE(A1758,""en"",""hy"")"),"ով է Անջելինա Ջոլիի ամուսնու անունը:")</f>
        <v>ով է Անջելինա Ջոլիի ամուսնու անունը:</v>
      </c>
      <c r="D1758" s="3" t="str">
        <f>IFERROR(__xludf.DUMMYFUNCTION("GOOGLETRANSLATE(B1758,""en"",""hy"")"),"Բրեդ Փիթ.")</f>
        <v>Բրեդ Փիթ.</v>
      </c>
    </row>
    <row r="1759">
      <c r="A1759" s="1" t="s">
        <v>3486</v>
      </c>
      <c r="B1759" s="2" t="s">
        <v>3487</v>
      </c>
      <c r="C1759" s="3" t="str">
        <f>IFERROR(__xludf.DUMMYFUNCTION("GOOGLETRANSLATE(A1759,""en"",""hy"")"),"ինչ են անվանում Քորթնի Քարդաշյան փոքրիկ աղջիկներին:")</f>
        <v>ինչ են անվանում Քորթնի Քարդաշյան փոքրիկ աղջիկներին:</v>
      </c>
      <c r="D1759" s="3" t="str">
        <f>IFERROR(__xludf.DUMMYFUNCTION("GOOGLETRANSLATE(B1759,""en"",""hy"")"),"Քորթնի Քարդաշյանի փոքրիկ աղջկա անունը Պենելոպա է։")</f>
        <v>Քորթնի Քարդաշյանի փոքրիկ աղջկա անունը Պենելոպա է։</v>
      </c>
    </row>
    <row r="1760">
      <c r="A1760" s="1" t="s">
        <v>3488</v>
      </c>
      <c r="B1760" s="2" t="s">
        <v>3489</v>
      </c>
      <c r="C1760" s="3" t="str">
        <f>IFERROR(__xludf.DUMMYFUNCTION("GOOGLETRANSLATE(A1760,""en"",""hy"")"),"ինչպիսի՞ն է կառավարման ներկա ձևն Իրանում:")</f>
        <v>ինչպիսի՞ն է կառավարման ներկա ձևն Իրանում:</v>
      </c>
      <c r="D1760" s="3" t="str">
        <f>IFERROR(__xludf.DUMMYFUNCTION("GOOGLETRANSLATE(B1760,""en"",""hy"")"),"Իրանում գործող կառավարման ձևը Իսլամական Հանրապետությունն է:")</f>
        <v>Իրանում գործող կառավարման ձևը Իսլամական Հանրապետությունն է:</v>
      </c>
    </row>
    <row r="1761">
      <c r="A1761" s="1" t="s">
        <v>3490</v>
      </c>
      <c r="B1761" s="2" t="s">
        <v>3491</v>
      </c>
      <c r="C1761" s="3" t="str">
        <f>IFERROR(__xludf.DUMMYFUNCTION("GOOGLETRANSLATE(A1761,""en"",""hy"")"),"Ո՞ր hmv խանութներն են բաց:")</f>
        <v>Ո՞ր hmv խանութներն են բաց:</v>
      </c>
      <c r="D1761" s="3" t="str">
        <f>IFERROR(__xludf.DUMMYFUNCTION("GOOGLETRANSLATE(B1761,""en"",""hy"")"),"Ցավում եմ, ես հասանելի չեմ խանութի իրական ժամանակի տեղեկատվությանը: Լավագույն կլինի ստուգել HMV-ի պաշտոնական կայքը կամ կապվել մոտակա HMV խանութի հետ՝ խանութների բացման վերաբերյալ արդի տեղեկությունների համար:")</f>
        <v>Ցավում եմ, ես հասանելի չեմ խանութի իրական ժամանակի տեղեկատվությանը: Լավագույն կլինի ստուգել HMV-ի պաշտոնական կայքը կամ կապվել մոտակա HMV խանութի հետ՝ խանութների բացման վերաբերյալ արդի տեղեկությունների համար:</v>
      </c>
    </row>
    <row r="1762">
      <c r="A1762" s="1" t="s">
        <v>3492</v>
      </c>
      <c r="B1762" s="2" t="s">
        <v>3493</v>
      </c>
      <c r="C1762" s="3" t="str">
        <f>IFERROR(__xludf.DUMMYFUNCTION("GOOGLETRANSLATE(A1762,""en"",""hy"")"),"որո՞նք էին Մարկո Պոլոյի նպատակները:")</f>
        <v>որո՞նք էին Մարկո Պոլոյի նպատակները:</v>
      </c>
      <c r="D1762" s="3" t="str">
        <f>IFERROR(__xludf.DUMMYFUNCTION("GOOGLETRANSLATE(B1762,""en"",""hy"")"),"Մարկո Պոլոյի նպատակներն էին ուսումնասիրել և փաստագրել նոր առևտրային ուղիներ, հավաքել արժեքավոր տեղեկություններ մշակույթների և հասարակությունների մասին և դիվանագիտական ​​հարաբերություններ հաստատել հեռավոր երկրների հետ:")</f>
        <v>Մարկո Պոլոյի նպատակներն էին ուսումնասիրել և փաստագրել նոր առևտրային ուղիներ, հավաքել արժեքավոր տեղեկություններ մշակույթների և հասարակությունների մասին և դիվանագիտական ​​հարաբերություններ հաստատել հեռավոր երկրների հետ:</v>
      </c>
    </row>
    <row r="1763">
      <c r="A1763" s="1" t="s">
        <v>3494</v>
      </c>
      <c r="B1763" s="2" t="s">
        <v>3495</v>
      </c>
      <c r="C1763" s="3" t="str">
        <f>IFERROR(__xludf.DUMMYFUNCTION("GOOGLETRANSLATE(A1763,""en"",""hy"")"),"ո՞ւմ հետ է ճամփորդել Մարկո Պոլոն:")</f>
        <v>ո՞ւմ հետ է ճամփորդել Մարկո Պոլոն:</v>
      </c>
      <c r="D1763" s="3" t="str">
        <f>IFERROR(__xludf.DUMMYFUNCTION("GOOGLETRANSLATE(B1763,""en"",""hy"")"),"Մարկո Պոլոն ճանապարհորդել է իր հոր՝ Նիկոլո Պոլոյի և հորեղբոր՝ Մաֆֆեո Պոլոյի հետ։")</f>
        <v>Մարկո Պոլոն ճանապարհորդել է իր հոր՝ Նիկոլո Պոլոյի և հորեղբոր՝ Մաֆֆեո Պոլոյի հետ։</v>
      </c>
    </row>
    <row r="1764">
      <c r="A1764" s="1" t="s">
        <v>3496</v>
      </c>
      <c r="B1764" s="2" t="s">
        <v>3497</v>
      </c>
      <c r="C1764" s="3" t="str">
        <f>IFERROR(__xludf.DUMMYFUNCTION("GOOGLETRANSLATE(A1764,""en"",""hy"")"),"ինչ է հնչում իսլանդերենը:")</f>
        <v>ինչ է հնչում իսլանդերենը:</v>
      </c>
      <c r="D1764" s="3" t="str">
        <f>IFERROR(__xludf.DUMMYFUNCTION("GOOGLETRANSLATE(B1764,""en"",""hy"")"),"Իսլանդերենը հնչում է որպես եզակի և մեղեդիական լեզու՝ աղիքային և տրիլլային հնչյուններով:")</f>
        <v>Իսլանդերենը հնչում է որպես եզակի և մեղեդիական լեզու՝ աղիքային և տրիլլային հնչյուններով:</v>
      </c>
    </row>
    <row r="1765">
      <c r="A1765" s="1" t="s">
        <v>3498</v>
      </c>
      <c r="B1765" s="2" t="s">
        <v>3499</v>
      </c>
      <c r="C1765" s="3" t="str">
        <f>IFERROR(__xludf.DUMMYFUNCTION("GOOGLETRANSLATE(A1765,""en"",""hy"")"),"որտեղ է ապրում Բիլ Ռիչարդսոնը")</f>
        <v>որտեղ է ապրում Բիլ Ռիչարդսոնը</v>
      </c>
      <c r="D1765" s="3" t="str">
        <f>IFERROR(__xludf.DUMMYFUNCTION("GOOGLETRANSLATE(B1765,""en"",""hy"")"),"Բիլ Ռիչարդսոնը ներկայումս բնակվում է Սանտա Ֆեում, Նյու Մեքսիկո:")</f>
        <v>Բիլ Ռիչարդսոնը ներկայումս բնակվում է Սանտա Ֆեում, Նյու Մեքսիկո:</v>
      </c>
    </row>
    <row r="1766">
      <c r="A1766" s="1" t="s">
        <v>3500</v>
      </c>
      <c r="B1766" s="2" t="s">
        <v>3501</v>
      </c>
      <c r="C1766" s="3" t="str">
        <f>IFERROR(__xludf.DUMMYFUNCTION("GOOGLETRANSLATE(A1766,""en"",""hy"")"),"ովքեր են ԱՄՆ Գերագույն դատարանի դատավորները")</f>
        <v>ովքեր են ԱՄՆ Գերագույն դատարանի դատավորները</v>
      </c>
      <c r="D1766" s="3" t="str">
        <f>IFERROR(__xludf.DUMMYFUNCTION("GOOGLETRANSLATE(B1766,""en"",""hy"")"),"Ներկայումս ԱՄՆ Գերագույն դատարանում կա ինը դատավոր:")</f>
        <v>Ներկայումս ԱՄՆ Գերագույն դատարանում կա ինը դատավոր:</v>
      </c>
    </row>
    <row r="1767">
      <c r="A1767" s="1" t="s">
        <v>3502</v>
      </c>
      <c r="B1767" s="2" t="s">
        <v>3503</v>
      </c>
      <c r="C1767" s="3" t="str">
        <f>IFERROR(__xludf.DUMMYFUNCTION("GOOGLETRANSLATE(A1767,""en"",""hy"")"),"ինչ անել dubuque-ում այս շաբաթավերջին:")</f>
        <v>ինչ անել dubuque-ում այս շաբաթավերջին:</v>
      </c>
      <c r="D1767" s="3" t="str">
        <f>IFERROR(__xludf.DUMMYFUNCTION("GOOGLETRANSLATE(B1767,""en"",""hy"")"),"Կան մի քանի գործողություններ, որոնք դուք կարող եք անել Dubuque-ում այս շաբաթավերջին: Որոշ տարբերակներ ներառում են այցելել Միսիսիպի գետի ազգային թանգարան և ակվարիում, ուսումնասիրել Dubuque Arboretum-ը և բուսաբանական այգիները, զբոսնել Fenelon Place վերելակո"&amp;"վ և ստուգել քաղաքի կենտրոնում գտնվող տարբեր խանութներն ու ռեստորանները:")</f>
        <v>Կան մի քանի գործողություններ, որոնք դուք կարող եք անել Dubuque-ում այս շաբաթավերջին: Որոշ տարբերակներ ներառում են այցելել Միսիսիպի գետի ազգային թանգարան և ակվարիում, ուսումնասիրել Dubuque Arboretum-ը և բուսաբանական այգիները, զբոսնել Fenelon Place վերելակով և ստուգել քաղաքի կենտրոնում գտնվող տարբեր խանութներն ու ռեստորանները:</v>
      </c>
    </row>
    <row r="1768">
      <c r="A1768" s="1" t="s">
        <v>3504</v>
      </c>
      <c r="B1768" s="2" t="s">
        <v>3505</v>
      </c>
      <c r="C1768" s="3" t="str">
        <f>IFERROR(__xludf.DUMMYFUNCTION("GOOGLETRANSLATE(A1768,""en"",""hy"")"),"ո՞ր ակումբում է խաղացել Ագուերոն «Մանչեսթեր Սիթիից» առաջ:")</f>
        <v>ո՞ր ակումբում է խաղացել Ագուերոն «Մանչեսթեր Սիթիից» առաջ:</v>
      </c>
      <c r="D1768" s="3" t="str">
        <f>IFERROR(__xludf.DUMMYFUNCTION("GOOGLETRANSLATE(B1768,""en"",""hy"")"),"Ատլետիկո Մադրիդ.")</f>
        <v>Ատլետիկո Մադրիդ.</v>
      </c>
    </row>
    <row r="1769">
      <c r="A1769" s="1" t="s">
        <v>3506</v>
      </c>
      <c r="B1769" s="2" t="s">
        <v>3507</v>
      </c>
      <c r="C1769" s="3" t="str">
        <f>IFERROR(__xludf.DUMMYFUNCTION("GOOGLETRANSLATE(A1769,""en"",""hy"")"),"Ո՞վ է խաղում Ջեյ Ադամս Դոգթաունի լորդերում:")</f>
        <v>Ո՞վ է խաղում Ջեյ Ադամս Դոգթաունի լորդերում:</v>
      </c>
      <c r="D1769" s="3" t="str">
        <f>IFERROR(__xludf.DUMMYFUNCTION("GOOGLETRANSLATE(B1769,""en"",""hy"")"),"Էմիլ Հիրշ.")</f>
        <v>Էմիլ Հիրշ.</v>
      </c>
    </row>
    <row r="1770">
      <c r="A1770" s="1" t="s">
        <v>3508</v>
      </c>
      <c r="B1770" s="2" t="s">
        <v>3509</v>
      </c>
      <c r="C1770" s="3" t="str">
        <f>IFERROR(__xludf.DUMMYFUNCTION("GOOGLETRANSLATE(A1770,""en"",""hy"")"),"Ինչպիսի՞ կառավարման համակարգ է օգտագործվում Ամերիկայի Միացյալ նահանգներում:")</f>
        <v>Ինչպիսի՞ կառավարման համակարգ է օգտագործվում Ամերիկայի Միացյալ նահանգներում:</v>
      </c>
      <c r="D1770" s="3" t="str">
        <f>IFERROR(__xludf.DUMMYFUNCTION("GOOGLETRANSLATE(B1770,""en"",""hy"")"),"Ամերիկայի Միացյալ Նահանգները օգտագործում է կառավարման համակարգ, որը կոչվում է դաշնային հանրապետություն:")</f>
        <v>Ամերիկայի Միացյալ Նահանգները օգտագործում է կառավարման համակարգ, որը կոչվում է դաշնային հանրապետություն:</v>
      </c>
    </row>
    <row r="1771">
      <c r="A1771" s="1" t="s">
        <v>3510</v>
      </c>
      <c r="B1771" s="2" t="s">
        <v>3511</v>
      </c>
      <c r="C1771" s="3" t="str">
        <f>IFERROR(__xludf.DUMMYFUNCTION("GOOGLETRANSLATE(A1771,""en"",""hy"")"),"ի՞նչ էր վերահսկում հաբսբուրգների ընտանիքը:")</f>
        <v>ի՞նչ էր վերահսկում հաբսբուրգների ընտանիքը:</v>
      </c>
      <c r="D1771" s="3" t="str">
        <f>IFERROR(__xludf.DUMMYFUNCTION("GOOGLETRANSLATE(B1771,""en"",""hy"")"),"Հաբսբուրգների ընտանիքը վերահսկում էր Սուրբ Հռոմեական կայսրությունը, իսկ ավելի ուշ՝ Ավստրիական կայսրությունը։")</f>
        <v>Հաբսբուրգների ընտանիքը վերահսկում էր Սուրբ Հռոմեական կայսրությունը, իսկ ավելի ուշ՝ Ավստրիական կայսրությունը։</v>
      </c>
    </row>
    <row r="1772">
      <c r="A1772" s="1" t="s">
        <v>3512</v>
      </c>
      <c r="B1772" s="2" t="s">
        <v>3513</v>
      </c>
      <c r="C1772" s="3" t="str">
        <f>IFERROR(__xludf.DUMMYFUNCTION("GOOGLETRANSLATE(A1772,""en"",""hy"")"),"ինչ է Բեյոնսեի դուստրերի անունը")</f>
        <v>ինչ է Բեյոնսեի դուստրերի անունը</v>
      </c>
      <c r="D1772" s="3" t="str">
        <f>IFERROR(__xludf.DUMMYFUNCTION("GOOGLETRANSLATE(B1772,""en"",""hy"")"),"Բեյոնսեի դստեր անունը Բլյու Այվի Քարթեր է։")</f>
        <v>Բեյոնսեի դստեր անունը Բլյու Այվի Քարթեր է։</v>
      </c>
    </row>
    <row r="1773">
      <c r="A1773" s="1" t="s">
        <v>3514</v>
      </c>
      <c r="B1773" s="2" t="s">
        <v>3515</v>
      </c>
      <c r="C1773" s="3" t="str">
        <f>IFERROR(__xludf.DUMMYFUNCTION("GOOGLETRANSLATE(A1773,""en"",""hy"")"),"Ե՞րբ են վերջին անգամ քուռակները հաղթել սուպերգավաթը:")</f>
        <v>Ե՞րբ են վերջին անգամ քուռակները հաղթել սուպերգավաթը:</v>
      </c>
      <c r="D1773" s="3" t="str">
        <f>IFERROR(__xludf.DUMMYFUNCTION("GOOGLETRANSLATE(B1773,""en"",""hy"")"),"The Colts-ը վերջին անգամ հաղթել է Super Bowl-ը 2006 թվականին:")</f>
        <v>The Colts-ը վերջին անգամ հաղթել է Super Bowl-ը 2006 թվականին:</v>
      </c>
    </row>
    <row r="1774">
      <c r="A1774" s="1" t="s">
        <v>3516</v>
      </c>
      <c r="B1774" s="2" t="s">
        <v>3517</v>
      </c>
      <c r="C1774" s="3" t="str">
        <f>IFERROR(__xludf.DUMMYFUNCTION("GOOGLETRANSLATE(A1774,""en"",""hy"")"),"ո՞ր քոլեջում է Մայքլ Ջորդանը բասկետբոլ խաղացել:")</f>
        <v>ո՞ր քոլեջում է Մայքլ Ջորդանը բասկետբոլ խաղացել:</v>
      </c>
      <c r="D1774" s="3" t="str">
        <f>IFERROR(__xludf.DUMMYFUNCTION("GOOGLETRANSLATE(B1774,""en"",""hy"")"),"Հյուսիսային Կարոլինայի համալսարան Չապել Հիլլում:")</f>
        <v>Հյուսիսային Կարոլինայի համալսարան Չապել Հիլլում:</v>
      </c>
    </row>
    <row r="1775">
      <c r="A1775" s="1" t="s">
        <v>3518</v>
      </c>
      <c r="B1775" s="2" t="s">
        <v>3519</v>
      </c>
      <c r="C1775" s="3" t="str">
        <f>IFERROR(__xludf.DUMMYFUNCTION("GOOGLETRANSLATE(A1775,""en"",""hy"")"),"ինչ երգեր է գրել Մադոննան")</f>
        <v>ինչ երգեր է գրել Մադոննան</v>
      </c>
      <c r="D1775" s="3" t="str">
        <f>IFERROR(__xludf.DUMMYFUNCTION("GOOGLETRANSLATE(B1775,""en"",""hy"")"),"Մադոննան իր կարիերայի ընթացքում գրել է բազմաթիվ երգեր, այդ թվում՝ «Like a Prayer», «Vogue», «Material Girl», «Holiday» և «Music» և այլն:")</f>
        <v>Մադոննան իր կարիերայի ընթացքում գրել է բազմաթիվ երգեր, այդ թվում՝ «Like a Prayer», «Vogue», «Material Girl», «Holiday» և «Music» և այլն:</v>
      </c>
    </row>
    <row r="1776">
      <c r="A1776" s="1" t="s">
        <v>3520</v>
      </c>
      <c r="B1776" s="2" t="s">
        <v>3521</v>
      </c>
      <c r="C1776" s="3" t="str">
        <f>IFERROR(__xludf.DUMMYFUNCTION("GOOGLETRANSLATE(A1776,""en"",""hy"")"),"ո՞ր երկրներն են գտնվում Նիդեռլանդներում:")</f>
        <v>ո՞ր երկրներն են գտնվում Նիդեռլանդներում:</v>
      </c>
      <c r="D1776" s="3" t="str">
        <f>IFERROR(__xludf.DUMMYFUNCTION("GOOGLETRANSLATE(B1776,""en"",""hy"")"),"Նիդեռլանդները ինքնին երկիր է, այլ ոչ թե տարածաշրջան կամ տարածք մեկ այլ երկրի ներսում: Այնուամենայնիվ, այն բաղկացած է տասներկու գավառներից, ներառյալ Հյուսիսային Հոլանդիան, Հարավային Հոլանդիան, Հյուսիսային Բրաբանտը, Գելդերլանդը, Ուտրեխտը և այլն:")</f>
        <v>Նիդեռլանդները ինքնին երկիր է, այլ ոչ թե տարածաշրջան կամ տարածք մեկ այլ երկրի ներսում: Այնուամենայնիվ, այն բաղկացած է տասներկու գավառներից, ներառյալ Հյուսիսային Հոլանդիան, Հարավային Հոլանդիան, Հյուսիսային Բրաբանտը, Գելդերլանդը, Ուտրեխտը և այլն:</v>
      </c>
    </row>
    <row r="1777">
      <c r="A1777" s="1" t="s">
        <v>3522</v>
      </c>
      <c r="B1777" s="2" t="s">
        <v>3523</v>
      </c>
      <c r="C1777" s="3" t="str">
        <f>IFERROR(__xludf.DUMMYFUNCTION("GOOGLETRANSLATE(A1777,""en"",""hy"")"),"ով էր Էնդրյու Ջոնսոնը և ինչ արեց:")</f>
        <v>ով էր Էնդրյու Ջոնսոնը և ինչ արեց:</v>
      </c>
      <c r="D1777" s="3" t="str">
        <f>IFERROR(__xludf.DUMMYFUNCTION("GOOGLETRANSLATE(B1777,""en"",""hy"")"),"Էնդրյու Ջոնսոնը Միացյալ Նահանգների 17-րդ նախագահն էր։ Նա ծառայել է 1865-ից 1869 թվականներին: Ջոնսոնը առավել հայտնի է Աբրահամ Լինքոլնի սպանությունից հետո պաշտոնը ստանձնելու և Վերակառուցման դարաշրջանում իր դերակատարմամբ, որը նպատակ ուներ վերակառուցել Հարավը"&amp;" Քաղաքացիական պատերազմից հետո:")</f>
        <v>Էնդրյու Ջոնսոնը Միացյալ Նահանգների 17-րդ նախագահն էր։ Նա ծառայել է 1865-ից 1869 թվականներին: Ջոնսոնը առավել հայտնի է Աբրահամ Լինքոլնի սպանությունից հետո պաշտոնը ստանձնելու և Վերակառուցման դարաշրջանում իր դերակատարմամբ, որը նպատակ ուներ վերակառուցել Հարավը Քաղաքացիական պատերազմից հետո:</v>
      </c>
    </row>
    <row r="1778">
      <c r="A1778" s="1" t="s">
        <v>3524</v>
      </c>
      <c r="B1778" s="2" t="s">
        <v>3525</v>
      </c>
      <c r="C1778" s="3" t="str">
        <f>IFERROR(__xludf.DUMMYFUNCTION("GOOGLETRANSLATE(A1778,""en"",""hy"")"),"Որո՞նք են Սան Ֆրանցիսկոյում մնալու լավագույն հյուրանոցները:")</f>
        <v>Որո՞նք են Սան Ֆրանցիսկոյում մնալու լավագույն հյուրանոցները:</v>
      </c>
      <c r="D1778" s="3" t="str">
        <f>IFERROR(__xludf.DUMMYFUNCTION("GOOGLETRANSLATE(B1778,""en"",""hy"")"),"Սան Ֆրանցիսկոյում մնալու լավագույն հյուրանոցներից են The Ritz-Carlton-ը, Four Seasons Hotel-ը, Fairmont San Francisco-ն և Hotel Drisco-ն:")</f>
        <v>Սան Ֆրանցիսկոյում մնալու լավագույն հյուրանոցներից են The Ritz-Carlton-ը, Four Seasons Hotel-ը, Fairmont San Francisco-ն և Hotel Drisco-ն:</v>
      </c>
    </row>
    <row r="1779">
      <c r="A1779" s="1" t="s">
        <v>3526</v>
      </c>
      <c r="B1779" s="2" t="s">
        <v>3527</v>
      </c>
      <c r="C1779" s="3" t="str">
        <f>IFERROR(__xludf.DUMMYFUNCTION("GOOGLETRANSLATE(A1779,""en"",""hy"")"),"ով էր Լինքոլնի փոխնախագահը, երբ նա մահացավ:")</f>
        <v>ով էր Լինքոլնի փոխնախագահը, երբ նա մահացավ:</v>
      </c>
      <c r="D1779" s="3" t="str">
        <f>IFERROR(__xludf.DUMMYFUNCTION("GOOGLETRANSLATE(B1779,""en"",""hy"")"),"Էնդրյու Ջոնսոն.")</f>
        <v>Էնդրյու Ջոնսոն.</v>
      </c>
    </row>
    <row r="1780">
      <c r="A1780" s="1" t="s">
        <v>3528</v>
      </c>
      <c r="B1780" s="2" t="s">
        <v>3529</v>
      </c>
      <c r="C1780" s="3" t="str">
        <f>IFERROR(__xludf.DUMMYFUNCTION("GOOGLETRANSLATE(A1780,""en"",""hy"")"),"որտեղ է ապրել Բենեդիկտոս XVI Պապը.")</f>
        <v>որտեղ է ապրել Բենեդիկտոս XVI Պապը.</v>
      </c>
      <c r="D1780" s="3" t="str">
        <f>IFERROR(__xludf.DUMMYFUNCTION("GOOGLETRANSLATE(B1780,""en"",""hy"")"),"Հռոմի Պապ Բենեդիկտոս XVI-ն ապրում էր Վատիկանում։")</f>
        <v>Հռոմի Պապ Բենեդիկտոս XVI-ն ապրում էր Վատիկանում։</v>
      </c>
    </row>
    <row r="1781">
      <c r="A1781" s="1" t="s">
        <v>3530</v>
      </c>
      <c r="B1781" s="2" t="s">
        <v>3531</v>
      </c>
      <c r="C1781" s="3" t="str">
        <f>IFERROR(__xludf.DUMMYFUNCTION("GOOGLETRANSLATE(A1781,""en"",""hy"")"),"Ո՞ր մրցավազքում է մահացել Դեն Ուելդոնը:")</f>
        <v>Ո՞ր մրցավազքում է մահացել Դեն Ուելդոնը:</v>
      </c>
      <c r="D1781" s="3" t="str">
        <f>IFERROR(__xludf.DUMMYFUNCTION("GOOGLETRANSLATE(B1781,""en"",""hy"")"),"Դեն Ուելդոնը մահացել է IndyCar մրցարշավում։")</f>
        <v>Դեն Ուելդոնը մահացել է IndyCar մրցարշավում։</v>
      </c>
    </row>
    <row r="1782">
      <c r="A1782" s="1" t="s">
        <v>3532</v>
      </c>
      <c r="B1782" s="2" t="s">
        <v>3533</v>
      </c>
      <c r="C1782" s="3" t="str">
        <f>IFERROR(__xludf.DUMMYFUNCTION("GOOGLETRANSLATE(A1782,""en"",""hy"")"),"ինչ լեզու է օգտագործում Բրազիլիան")</f>
        <v>ինչ լեզու է օգտագործում Բրազիլիան</v>
      </c>
      <c r="D1782" s="3" t="str">
        <f>IFERROR(__xludf.DUMMYFUNCTION("GOOGLETRANSLATE(B1782,""en"",""hy"")"),"Բրազիլիայի պաշտոնական լեզուն պորտուգալերենն է։")</f>
        <v>Բրազիլիայի պաշտոնական լեզուն պորտուգալերենն է։</v>
      </c>
    </row>
    <row r="1783">
      <c r="A1783" s="1" t="s">
        <v>3534</v>
      </c>
      <c r="B1783" s="2" t="s">
        <v>3535</v>
      </c>
      <c r="C1783" s="3" t="str">
        <f>IFERROR(__xludf.DUMMYFUNCTION("GOOGLETRANSLATE(A1783,""en"",""hy"")"),"որտեղից է Թոմի Էմանուելը")</f>
        <v>որտեղից է Թոմի Էմանուելը</v>
      </c>
      <c r="D1783" s="3" t="str">
        <f>IFERROR(__xludf.DUMMYFUNCTION("GOOGLETRANSLATE(B1783,""en"",""hy"")"),"Ավստրալիա.")</f>
        <v>Ավստրալիա.</v>
      </c>
    </row>
    <row r="1784">
      <c r="A1784" s="1" t="s">
        <v>3536</v>
      </c>
      <c r="B1784" s="2" t="s">
        <v>3537</v>
      </c>
      <c r="C1784" s="3" t="str">
        <f>IFERROR(__xludf.DUMMYFUNCTION("GOOGLETRANSLATE(A1784,""en"",""hy"")"),"Ո՞ր երկրի հետ է սահմանակից Հարավային Աֆրիկան:")</f>
        <v>Ո՞ր երկրի հետ է սահմանակից Հարավային Աֆրիկան:</v>
      </c>
      <c r="D1784" s="3" t="str">
        <f>IFERROR(__xludf.DUMMYFUNCTION("GOOGLETRANSLATE(B1784,""en"",""hy"")"),"Հարավային Աֆրիկան ​​սահմանակից է Նամիբիային, Բոտսվանային, Զիմբաբվեին, Մոզամբիկին և Էսվատինիին։")</f>
        <v>Հարավային Աֆրիկան ​​սահմանակից է Նամիբիային, Բոտսվանային, Զիմբաբվեին, Մոզամբիկին և Էսվատինիին։</v>
      </c>
    </row>
    <row r="1785">
      <c r="A1785" s="1" t="s">
        <v>3538</v>
      </c>
      <c r="B1785" s="2" t="s">
        <v>3539</v>
      </c>
      <c r="C1785" s="3" t="str">
        <f>IFERROR(__xludf.DUMMYFUNCTION("GOOGLETRANSLATE(A1785,""en"",""hy"")"),"ինչ կարելի է անել Օսթին Տեխասի շուրջը:")</f>
        <v>ինչ կարելի է անել Օսթին Տեխասի շուրջը:</v>
      </c>
      <c r="D1785" s="3" t="str">
        <f>IFERROR(__xludf.DUMMYFUNCTION("GOOGLETRANSLATE(B1785,""en"",""hy"")"),"Այցելեք Տեխաս նահանգի Կապիտոլիում, ուսումնասիրեք Barton Creek Greenbelt-ը, վայելեք կենդանի երաժշտություն 6-րդ փողոցում և ստուգեք Lady Bird Lake-ը:")</f>
        <v>Այցելեք Տեխաս նահանգի Կապիտոլիում, ուսումնասիրեք Barton Creek Greenbelt-ը, վայելեք կենդանի երաժշտություն 6-րդ փողոցում և ստուգեք Lady Bird Lake-ը:</v>
      </c>
    </row>
    <row r="1786">
      <c r="A1786" s="1" t="s">
        <v>3540</v>
      </c>
      <c r="B1786" s="2" t="s">
        <v>3541</v>
      </c>
      <c r="C1786" s="3" t="str">
        <f>IFERROR(__xludf.DUMMYFUNCTION("GOOGLETRANSLATE(A1786,""en"",""hy"")"),"աշխարհի ո՞ր երկրներն են խոսում գերմաներեն:")</f>
        <v>աշխարհի ո՞ր երկրներն են խոսում գերմաներեն:</v>
      </c>
      <c r="D1786" s="3" t="str">
        <f>IFERROR(__xludf.DUMMYFUNCTION("GOOGLETRANSLATE(B1786,""en"",""hy"")"),"Գերմանիան, Ավստրիան, Շվեյցարիան, Լիխտենշտեյնը, Լյուքսեմբուրգը և Բելգիայի և Իտալիայի մի մասը:")</f>
        <v>Գերմանիան, Ավստրիան, Շվեյցարիան, Լիխտենշտեյնը, Լյուքսեմբուրգը և Բելգիայի և Իտալիայի մի մասը:</v>
      </c>
    </row>
    <row r="1787">
      <c r="A1787" s="1" t="s">
        <v>3542</v>
      </c>
      <c r="B1787" s="2" t="s">
        <v>3543</v>
      </c>
      <c r="C1787" s="3" t="str">
        <f>IFERROR(__xludf.DUMMYFUNCTION("GOOGLETRANSLATE(A1787,""en"",""hy"")"),"ով է խաղում effy in skins uk?")</f>
        <v>ով է խաղում effy in skins uk?</v>
      </c>
      <c r="D1787" s="3" t="str">
        <f>IFERROR(__xludf.DUMMYFUNCTION("GOOGLETRANSLATE(B1787,""en"",""hy"")"),"Կայա Սկոդելարիո.")</f>
        <v>Կայա Սկոդելարիո.</v>
      </c>
    </row>
    <row r="1788">
      <c r="A1788" s="1" t="s">
        <v>3544</v>
      </c>
      <c r="B1788" s="2" t="s">
        <v>3545</v>
      </c>
      <c r="C1788" s="3" t="str">
        <f>IFERROR(__xludf.DUMMYFUNCTION("GOOGLETRANSLATE(A1788,""en"",""hy"")"),"ո՞ր երկրներն են եվրոն օգտագործում որպես պաշտոնական արժույթ:")</f>
        <v>ո՞ր երկրներն են եվրոն օգտագործում որպես պաշտոնական արժույթ:</v>
      </c>
      <c r="D1788" s="3" t="str">
        <f>IFERROR(__xludf.DUMMYFUNCTION("GOOGLETRANSLATE(B1788,""en"",""hy"")"),"19 երկրներ ներկայումս օգտագործում են եվրոն որպես իրենց պաշտոնական արժույթ։")</f>
        <v>19 երկրներ ներկայումս օգտագործում են եվրոն որպես իրենց պաշտոնական արժույթ։</v>
      </c>
    </row>
    <row r="1789">
      <c r="A1789" s="1" t="s">
        <v>3546</v>
      </c>
      <c r="B1789" s="2" t="s">
        <v>3547</v>
      </c>
      <c r="C1789" s="3" t="str">
        <f>IFERROR(__xludf.DUMMYFUNCTION("GOOGLETRANSLATE(A1789,""en"",""hy"")"),"ինչ փողեր են օգտագործում Նիդեռլանդները")</f>
        <v>ինչ փողեր են օգտագործում Նիդեռլանդները</v>
      </c>
      <c r="D1789" s="3" t="str">
        <f>IFERROR(__xludf.DUMMYFUNCTION("GOOGLETRANSLATE(B1789,""en"",""hy"")"),"Նիդեռլանդները որպես արժույթ օգտագործում է եվրոն։")</f>
        <v>Նիդեռլանդները որպես արժույթ օգտագործում է եվրոն։</v>
      </c>
    </row>
    <row r="1790">
      <c r="A1790" s="1" t="s">
        <v>3548</v>
      </c>
      <c r="B1790" s="2" t="s">
        <v>3549</v>
      </c>
      <c r="C1790" s="3" t="str">
        <f>IFERROR(__xludf.DUMMYFUNCTION("GOOGLETRANSLATE(A1790,""en"",""hy"")"),"Ո՞ր քոլեջն է ավարտել Օբաման")</f>
        <v>Ո՞ր քոլեջն է ավարտել Օբաման</v>
      </c>
      <c r="D1790" s="3" t="str">
        <f>IFERROR(__xludf.DUMMYFUNCTION("GOOGLETRANSLATE(B1790,""en"",""hy"")"),"Բարաք Օբաման ավարտել է Կոլումբիայի համալսարանը և Հարվարդի իրավաբանական դպրոցը։")</f>
        <v>Բարաք Օբաման ավարտել է Կոլումբիայի համալսարանը և Հարվարդի իրավաբանական դպրոցը։</v>
      </c>
    </row>
    <row r="1791">
      <c r="A1791" s="1" t="s">
        <v>3550</v>
      </c>
      <c r="B1791" s="2" t="s">
        <v>3551</v>
      </c>
      <c r="C1791" s="3" t="str">
        <f>IFERROR(__xludf.DUMMYFUNCTION("GOOGLETRANSLATE(A1791,""en"",""hy"")"),"ով է Հենրի Դեյվիդ Թորոն")</f>
        <v>ով է Հենրի Դեյվիդ Թորոն</v>
      </c>
      <c r="D1791" s="3" t="str">
        <f>IFERROR(__xludf.DUMMYFUNCTION("GOOGLETRANSLATE(B1791,""en"",""hy"")"),"Հենրի Դեյվիդ Թորոն ամերիկացի գրող, փիլիսոփա և բնագետ էր:")</f>
        <v>Հենրի Դեյվիդ Թորոն ամերիկացի գրող, փիլիսոփա և բնագետ էր:</v>
      </c>
    </row>
    <row r="1792">
      <c r="A1792" s="1" t="s">
        <v>3552</v>
      </c>
      <c r="B1792" s="2" t="s">
        <v>3553</v>
      </c>
      <c r="C1792" s="3" t="str">
        <f>IFERROR(__xludf.DUMMYFUNCTION("GOOGLETRANSLATE(A1792,""en"",""hy"")"),"ովքեր են Ռիչարդ Պրայորի երեխաները")</f>
        <v>ովքեր են Ռիչարդ Պրայորի երեխաները</v>
      </c>
      <c r="D1792" s="3" t="str">
        <f>IFERROR(__xludf.DUMMYFUNCTION("GOOGLETRANSLATE(B1792,""en"",""hy"")"),"Ռիչարդ Փրայորն ուներ յոթ երեխա՝ Ռիչարդ Պրայոր կրտսերը, Էլիզաբեթ Էն Փրայորը, Ռեյն Փրայորը, Քելսի Փրայորը, Սթիվեն Պրայորը, Ռենե Փրայորը և Ֆրանկլին Փրայորը:")</f>
        <v>Ռիչարդ Փրայորն ուներ յոթ երեխա՝ Ռիչարդ Պրայոր կրտսերը, Էլիզաբեթ Էն Փրայորը, Ռեյն Փրայորը, Քելսի Փրայորը, Սթիվեն Պրայորը, Ռենե Փրայորը և Ֆրանկլին Փրայորը:</v>
      </c>
    </row>
    <row r="1793">
      <c r="A1793" s="1" t="s">
        <v>3554</v>
      </c>
      <c r="B1793" s="2" t="s">
        <v>3555</v>
      </c>
      <c r="C1793" s="3" t="str">
        <f>IFERROR(__xludf.DUMMYFUNCTION("GOOGLETRANSLATE(A1793,""en"",""hy"")"),"ո՞վ է հանդիպում գոլֆիստ Դասթին Ջոնսոնի հետ:")</f>
        <v>ո՞վ է հանդիպում գոլֆիստ Դասթին Ջոնսոնի հետ:</v>
      </c>
      <c r="D1793" s="3" t="str">
        <f>IFERROR(__xludf.DUMMYFUNCTION("GOOGLETRANSLATE(B1793,""en"",""hy"")"),"Իմ գիտելիքների ավարտի օրվա դրությամբ Դասթին Ջոնսոնը հանդիպում է Պաուլինա Գրեցկիի հետ:")</f>
        <v>Իմ գիտելիքների ավարտի օրվա դրությամբ Դասթին Ջոնսոնը հանդիպում է Պաուլինա Գրեցկիի հետ:</v>
      </c>
    </row>
    <row r="1794">
      <c r="A1794" s="1" t="s">
        <v>3556</v>
      </c>
      <c r="B1794" s="2" t="s">
        <v>3557</v>
      </c>
      <c r="C1794" s="3" t="str">
        <f>IFERROR(__xludf.DUMMYFUNCTION("GOOGLETRANSLATE(A1794,""en"",""hy"")"),"Որո՞նք են Իսպանիայում պաշտոնական լեզուները:")</f>
        <v>Որո՞նք են Իսպանիայում պաշտոնական լեզուները:</v>
      </c>
      <c r="D1794" s="3" t="str">
        <f>IFERROR(__xludf.DUMMYFUNCTION("GOOGLETRANSLATE(B1794,""en"",""hy"")"),"Իսպանիայում պաշտոնական լեզուներն են իսպաներենը (կաստիլերեն), կատալոներենը, գալիցերենը և բասկերենը։")</f>
        <v>Իսպանիայում պաշտոնական լեզուներն են իսպաներենը (կաստիլերեն), կատալոներենը, գալիցերենը և բասկերենը։</v>
      </c>
    </row>
    <row r="1795">
      <c r="A1795" s="1" t="s">
        <v>3558</v>
      </c>
      <c r="B1795" s="2" t="s">
        <v>3559</v>
      </c>
      <c r="C1795" s="3" t="str">
        <f>IFERROR(__xludf.DUMMYFUNCTION("GOOGLETRANSLATE(A1795,""en"",""hy"")"),"ո՞ր ակումբում է խաղացել Սանտի Կասորլան")</f>
        <v>ո՞ր ակումբում է խաղացել Սանտի Կասորլան</v>
      </c>
      <c r="D1795" s="3" t="str">
        <f>IFERROR(__xludf.DUMMYFUNCTION("GOOGLETRANSLATE(B1795,""en"",""hy"")"),"Սանտի Կասորլան հանդես է եկել «Վիլյառեալ» ակումբում:")</f>
        <v>Սանտի Կասորլան հանդես է եկել «Վիլյառեալ» ակումբում:</v>
      </c>
    </row>
    <row r="1796">
      <c r="A1796" s="1" t="s">
        <v>3560</v>
      </c>
      <c r="B1796" s="2" t="s">
        <v>3561</v>
      </c>
      <c r="C1796" s="3" t="str">
        <f>IFERROR(__xludf.DUMMYFUNCTION("GOOGLETRANSLATE(A1796,""en"",""hy"")"),"ո՞ր միջնակարգ դպրոցն է ավարտել Բիլ Գեյթսը:")</f>
        <v>ո՞ր միջնակարգ դպրոցն է ավարտել Բիլ Գեյթսը:</v>
      </c>
      <c r="D1796" s="3" t="str">
        <f>IFERROR(__xludf.DUMMYFUNCTION("GOOGLETRANSLATE(B1796,""en"",""hy"")"),"Բիլ Գեյթսն ավարտել է Լեյքսայդի դպրոցը 1973 թվականին։")</f>
        <v>Բիլ Գեյթսն ավարտել է Լեյքսայդի դպրոցը 1973 թվականին։</v>
      </c>
    </row>
    <row r="1797">
      <c r="A1797" s="1" t="s">
        <v>3562</v>
      </c>
      <c r="B1797" s="2" t="s">
        <v>3563</v>
      </c>
      <c r="C1797" s="3" t="str">
        <f>IFERROR(__xludf.DUMMYFUNCTION("GOOGLETRANSLATE(A1797,""en"",""hy"")"),"որտեղ են խաղում ատլանտայի բեյվսը:")</f>
        <v>որտեղ են խաղում ատլանտայի բեյվսը:</v>
      </c>
      <c r="D1797" s="3" t="str">
        <f>IFERROR(__xludf.DUMMYFUNCTION("GOOGLETRANSLATE(B1797,""en"",""hy"")"),"Atlanta Braves-ը խաղում է Truist Park-ում:")</f>
        <v>Atlanta Braves-ը խաղում է Truist Park-ում:</v>
      </c>
    </row>
    <row r="1798">
      <c r="A1798" s="1" t="s">
        <v>3564</v>
      </c>
      <c r="B1798" s="2" t="s">
        <v>3565</v>
      </c>
      <c r="C1798" s="3" t="str">
        <f>IFERROR(__xludf.DUMMYFUNCTION("GOOGLETRANSLATE(A1798,""en"",""hy"")"),"Ո՞ր տարում են Detroit Pistons-ը հաղթել nba առաջնություններում:")</f>
        <v>Ո՞ր տարում են Detroit Pistons-ը հաղթել nba առաջնություններում:</v>
      </c>
      <c r="D1798" s="3" t="str">
        <f>IFERROR(__xludf.DUMMYFUNCTION("GOOGLETRANSLATE(B1798,""en"",""hy"")"),"Դետրոյթ Փիստոնսը NBA-ի չեմպիոն է դարձել 1989, 1990 և 2004 թվականներին:")</f>
        <v>Դետրոյթ Փիստոնսը NBA-ի չեմպիոն է դարձել 1989, 1990 և 2004 թվականներին:</v>
      </c>
    </row>
    <row r="1799">
      <c r="A1799" s="1" t="s">
        <v>3566</v>
      </c>
      <c r="B1799" s="2" t="s">
        <v>3567</v>
      </c>
      <c r="C1799" s="3" t="str">
        <f>IFERROR(__xludf.DUMMYFUNCTION("GOOGLETRANSLATE(A1799,""en"",""hy"")"),"ի՞նչ է նշանակում ԱՄՆ դրոշի յուրաքանչյուր ծալք։")</f>
        <v>ի՞նչ է նշանակում ԱՄՆ դրոշի յուրաքանչյուր ծալք։</v>
      </c>
      <c r="D1799" s="3" t="str">
        <f>IFERROR(__xludf.DUMMYFUNCTION("GOOGLETRANSLATE(B1799,""en"",""hy"")"),"ԱՄՆ դրոշի յուրաքանչյուր ծալք ներկայացնում է որոշակի խորհրդանշական նշանակություն:")</f>
        <v>ԱՄՆ դրոշի յուրաքանչյուր ծալք ներկայացնում է որոշակի խորհրդանշական նշանակություն:</v>
      </c>
    </row>
    <row r="1800">
      <c r="A1800" s="1" t="s">
        <v>3568</v>
      </c>
      <c r="B1800" s="2" t="s">
        <v>2267</v>
      </c>
      <c r="C1800" s="3" t="str">
        <f>IFERROR(__xludf.DUMMYFUNCTION("GOOGLETRANSLATE(A1800,""en"",""hy"")"),"ինչ են խոսում իսպանացիները")</f>
        <v>ինչ են խոսում իսպանացիները</v>
      </c>
      <c r="D1800" s="3" t="str">
        <f>IFERROR(__xludf.DUMMYFUNCTION("GOOGLETRANSLATE(B1800,""en"",""hy"")"),"իսպաներեն.")</f>
        <v>իսպաներեն.</v>
      </c>
    </row>
    <row r="1801">
      <c r="A1801" s="1" t="s">
        <v>3569</v>
      </c>
      <c r="B1801" s="2" t="s">
        <v>3570</v>
      </c>
      <c r="C1801" s="3" t="str">
        <f>IFERROR(__xludf.DUMMYFUNCTION("GOOGLETRANSLATE(A1801,""en"",""hy"")"),"ո՞վ խաղաց Դանիել Ռուսոյի պարտության վրա:")</f>
        <v>ո՞վ խաղաց Դանիել Ռուսոյի պարտության վրա:</v>
      </c>
      <c r="D1801" s="3" t="str">
        <f>IFERROR(__xludf.DUMMYFUNCTION("GOOGLETRANSLATE(B1801,""en"",""hy"")"),"Միրա Ֆուրլան.")</f>
        <v>Միրա Ֆուրլան.</v>
      </c>
    </row>
    <row r="1802">
      <c r="A1802" s="1" t="s">
        <v>3571</v>
      </c>
      <c r="B1802" s="2" t="s">
        <v>3572</v>
      </c>
      <c r="C1802" s="3" t="str">
        <f>IFERROR(__xludf.DUMMYFUNCTION("GOOGLETRANSLATE(A1802,""en"",""hy"")"),"Ե՞րբ է սկսվելու մուհարամը 2011թ.")</f>
        <v>Ե՞րբ է սկսվելու մուհարամը 2011թ.</v>
      </c>
      <c r="D1802" s="3" t="str">
        <f>IFERROR(__xludf.DUMMYFUNCTION("GOOGLETRANSLATE(B1802,""en"",""hy"")"),"Մուհարամը սկսվել է 2011 թվականին, հինգշաբթի, դեկտեմբերի 1-ին։")</f>
        <v>Մուհարամը սկսվել է 2011 թվականին, հինգշաբթի, դեկտեմբերի 1-ին։</v>
      </c>
    </row>
    <row r="1803">
      <c r="A1803" s="1" t="s">
        <v>3573</v>
      </c>
      <c r="B1803" s="2" t="s">
        <v>3574</v>
      </c>
      <c r="C1803" s="3" t="str">
        <f>IFERROR(__xludf.DUMMYFUNCTION("GOOGLETRANSLATE(A1803,""en"",""hy"")"),"ում հետ ամուսնացավ թագավորը")</f>
        <v>ում հետ ամուսնացավ թագավորը</v>
      </c>
      <c r="D1803" s="3" t="str">
        <f>IFERROR(__xludf.DUMMYFUNCTION("GOOGLETRANSLATE(B1803,""en"",""hy"")"),"Թութանհամոն թագավորն ամուսնացավ իր խորթ քրոջ՝ Անխեսենամունի հետ։")</f>
        <v>Թութանհամոն թագավորն ամուսնացավ իր խորթ քրոջ՝ Անխեսենամունի հետ։</v>
      </c>
    </row>
    <row r="1804">
      <c r="A1804" s="1" t="s">
        <v>3575</v>
      </c>
      <c r="B1804" s="2" t="s">
        <v>3576</v>
      </c>
      <c r="C1804" s="3" t="str">
        <f>IFERROR(__xludf.DUMMYFUNCTION("GOOGLETRANSLATE(A1804,""en"",""hy"")"),"քանի՞ տարեկան էր Վուդրո Վիլսոնը, երբ ընտրվեց նախագահ:")</f>
        <v>քանի՞ տարեկան էր Վուդրո Վիլսոնը, երբ ընտրվեց նախագահ:</v>
      </c>
      <c r="D1804" s="3" t="str">
        <f>IFERROR(__xludf.DUMMYFUNCTION("GOOGLETRANSLATE(B1804,""en"",""hy"")"),"Վուդրո Վիլսոնը 56 տարեկան էր, երբ ընտրվեց նախագահ։")</f>
        <v>Վուդրո Վիլսոնը 56 տարեկան էր, երբ ընտրվեց նախագահ։</v>
      </c>
    </row>
    <row r="1805">
      <c r="A1805" s="1" t="s">
        <v>3577</v>
      </c>
      <c r="B1805" s="2" t="s">
        <v>3578</v>
      </c>
      <c r="C1805" s="3" t="str">
        <f>IFERROR(__xludf.DUMMYFUNCTION("GOOGLETRANSLATE(A1805,""en"",""hy"")"),"ո՞ր քաղաքական կուսակցությանն էր պատկանում Ջոն Բելը")</f>
        <v>ո՞ր քաղաքական կուսակցությանն էր պատկանում Ջոն Բելը</v>
      </c>
      <c r="D1805" s="3" t="str">
        <f>IFERROR(__xludf.DUMMYFUNCTION("GOOGLETRANSLATE(B1805,""en"",""hy"")"),"Ջոն Բելը պատկանում էր Սահմանադրական միություն կուսակցությանը։")</f>
        <v>Ջոն Բելը պատկանում էր Սահմանադրական միություն կուսակցությանը։</v>
      </c>
    </row>
    <row r="1806">
      <c r="A1806" s="1" t="s">
        <v>3579</v>
      </c>
      <c r="B1806" s="2" t="s">
        <v>3580</v>
      </c>
      <c r="C1806" s="3" t="str">
        <f>IFERROR(__xludf.DUMMYFUNCTION("GOOGLETRANSLATE(A1806,""en"",""hy"")"),"ո՞ր երկրներն են ՆԱՏՕ-ի մաս.")</f>
        <v>ո՞ր երկրներն են ՆԱՏՕ-ի մաս.</v>
      </c>
      <c r="D1806" s="3" t="str">
        <f>IFERROR(__xludf.DUMMYFUNCTION("GOOGLETRANSLATE(B1806,""en"",""hy"")"),"Ներկայում ՆԱՏՕ-ի կազմում 30 երկիր կա։")</f>
        <v>Ներկայում ՆԱՏՕ-ի կազմում 30 երկիր կա։</v>
      </c>
    </row>
    <row r="1807">
      <c r="A1807" s="1" t="s">
        <v>3581</v>
      </c>
      <c r="B1807" s="2" t="s">
        <v>3582</v>
      </c>
      <c r="C1807" s="3" t="str">
        <f>IFERROR(__xludf.DUMMYFUNCTION("GOOGLETRANSLATE(A1807,""en"",""hy"")"),"ո՞ր կրոնն է Մարիամ Շոտլանդիայի թագուհին:")</f>
        <v>ո՞ր կրոնն է Մարիամ Շոտլանդիայի թագուհին:</v>
      </c>
      <c r="D1807" s="3" t="str">
        <f>IFERROR(__xludf.DUMMYFUNCTION("GOOGLETRANSLATE(B1807,""en"",""hy"")"),"Շոտլանդիայի թագուհի Մարիամը հռոմեական կաթոլիկ էր:")</f>
        <v>Շոտլանդիայի թագուհի Մարիամը հռոմեական կաթոլիկ էր:</v>
      </c>
    </row>
    <row r="1808">
      <c r="A1808" s="1" t="s">
        <v>3583</v>
      </c>
      <c r="B1808" s="2" t="s">
        <v>3584</v>
      </c>
      <c r="C1808" s="3" t="str">
        <f>IFERROR(__xludf.DUMMYFUNCTION("GOOGLETRANSLATE(A1808,""en"",""hy"")"),"ո՞ւմ հետ է ամուսնացած Քրիս Քուլին")</f>
        <v>ո՞ւմ հետ է ամուսնացած Քրիս Քուլին</v>
      </c>
      <c r="D1808" s="3" t="str">
        <f>IFERROR(__xludf.DUMMYFUNCTION("GOOGLETRANSLATE(B1808,""en"",""hy"")"),"Քրիստի Օգլվի")</f>
        <v>Քրիստի Օգլվի</v>
      </c>
    </row>
    <row r="1809">
      <c r="A1809" s="1" t="s">
        <v>3585</v>
      </c>
      <c r="B1809" s="2" t="s">
        <v>3586</v>
      </c>
      <c r="C1809" s="3" t="str">
        <f>IFERROR(__xludf.DUMMYFUNCTION("GOOGLETRANSLATE(A1809,""en"",""hy"")"),"որտեղ է Պորտ Սենտ Ջոնս Ֆլորիդան:")</f>
        <v>որտեղ է Պորտ Սենտ Ջոնս Ֆլորիդան:</v>
      </c>
      <c r="D1809" s="3" t="str">
        <f>IFERROR(__xludf.DUMMYFUNCTION("GOOGLETRANSLATE(B1809,""en"",""hy"")"),"Պորտ Սենտ Ջոնսը գտնվում է Ֆլորիդայի Վոլուսիա շրջանում։")</f>
        <v>Պորտ Սենտ Ջոնսը գտնվում է Ֆլորիդայի Վոլուսիա շրջանում։</v>
      </c>
    </row>
    <row r="1810">
      <c r="A1810" s="1" t="s">
        <v>3587</v>
      </c>
      <c r="B1810" s="2" t="s">
        <v>3588</v>
      </c>
      <c r="C1810" s="3" t="str">
        <f>IFERROR(__xludf.DUMMYFUNCTION("GOOGLETRANSLATE(A1810,""en"",""hy"")"),"ինչ թիմեր է պատկանում croenke-ին:")</f>
        <v>ինչ թիմեր է պատկանում croenke-ին:</v>
      </c>
      <c r="D1810" s="3" t="str">
        <f>IFERROR(__xludf.DUMMYFUNCTION("GOOGLETRANSLATE(B1810,""en"",""hy"")"),"Քրոենկեին են պատկանում մի քանի սպորտային թիմեր, այդ թվում՝ Լոս Անջելես Ռեմսը (NFL), Դենվեր Նագեթսը (NBA), Կոլորադո Ավալանշը (NHL) և Արսենալը (Անգլիայի Պրեմիեր լիգա):")</f>
        <v>Քրոենկեին են պատկանում մի քանի սպորտային թիմեր, այդ թվում՝ Լոս Անջելես Ռեմսը (NFL), Դենվեր Նագեթսը (NBA), Կոլորադո Ավալանշը (NHL) և Արսենալը (Անգլիայի Պրեմիեր լիգա):</v>
      </c>
    </row>
    <row r="1811">
      <c r="A1811" s="1" t="s">
        <v>3589</v>
      </c>
      <c r="B1811" s="2" t="s">
        <v>3590</v>
      </c>
      <c r="C1811" s="3" t="str">
        <f>IFERROR(__xludf.DUMMYFUNCTION("GOOGLETRANSLATE(A1811,""en"",""hy"")"),"որտեղ էր Սիլոյի ճակատամարտը.")</f>
        <v>որտեղ էր Սիլոյի ճակատամարտը.</v>
      </c>
      <c r="D1811" s="3" t="str">
        <f>IFERROR(__xludf.DUMMYFUNCTION("GOOGLETRANSLATE(B1811,""en"",""hy"")"),"Շիլոյի ճակատամարտը տեղի է ունեցել Թենեսիի հարավ-արևմուտքում՝ Պիտսբուրգ Լենդինգ քաղաքի մոտ։")</f>
        <v>Շիլոյի ճակատամարտը տեղի է ունեցել Թենեսիի հարավ-արևմուտքում՝ Պիտսբուրգ Լենդինգ քաղաքի մոտ։</v>
      </c>
    </row>
    <row r="1812">
      <c r="A1812" s="1" t="s">
        <v>3591</v>
      </c>
      <c r="B1812" s="2" t="s">
        <v>3592</v>
      </c>
      <c r="C1812" s="3" t="str">
        <f>IFERROR(__xludf.DUMMYFUNCTION("GOOGLETRANSLATE(A1812,""en"",""hy"")"),"Թեոդոր Շվանն ի՞նչն է նպաստել բջիջների մեր ըմբռնմանը:")</f>
        <v>Թեոդոր Շվանն ի՞նչն է նպաստել բջիջների մեր ըմբռնմանը:</v>
      </c>
      <c r="D1812" s="3" t="str">
        <f>IFERROR(__xludf.DUMMYFUNCTION("GOOGLETRANSLATE(B1812,""en"",""hy"")"),"Թեոդոր Շվանը նպաստեց բջիջների մեր ըմբռնմանը` առաջարկելով բջիջների տեսությունը, որն ասում էր, որ բոլոր կենդանի օրգանիզմները կազմված են բջիջներից:")</f>
        <v>Թեոդոր Շվանը նպաստեց բջիջների մեր ըմբռնմանը` առաջարկելով բջիջների տեսությունը, որն ասում էր, որ բոլոր կենդանի օրգանիզմները կազմված են բջիջներից:</v>
      </c>
    </row>
    <row r="1813">
      <c r="A1813" s="1" t="s">
        <v>3593</v>
      </c>
      <c r="B1813" s="2" t="s">
        <v>3594</v>
      </c>
      <c r="C1813" s="3" t="str">
        <f>IFERROR(__xludf.DUMMYFUNCTION("GOOGLETRANSLATE(A1813,""en"",""hy"")"),"որտեղից է Քեյթ Սփեյդը")</f>
        <v>որտեղից է Քեյթ Սփեյդը</v>
      </c>
      <c r="D1813" s="3" t="str">
        <f>IFERROR(__xludf.DUMMYFUNCTION("GOOGLETRANSLATE(B1813,""en"",""hy"")"),"Քեյթ Սփեյդը Միսսուրի նահանգի Կանզաս Սիթի քաղաքից է:")</f>
        <v>Քեյթ Սփեյդը Միսսուրի նահանգի Կանզաս Սիթի քաղաքից է:</v>
      </c>
    </row>
    <row r="1814">
      <c r="A1814" s="1" t="s">
        <v>3595</v>
      </c>
      <c r="B1814" s="2" t="s">
        <v>3596</v>
      </c>
      <c r="C1814" s="3" t="str">
        <f>IFERROR(__xludf.DUMMYFUNCTION("GOOGLETRANSLATE(A1814,""en"",""hy"")"),"որ երկրներն են Կարիբյան ավազանում:")</f>
        <v>որ երկրներն են Կարիբյան ավազանում:</v>
      </c>
      <c r="D1814" s="3" t="str">
        <f>IFERROR(__xludf.DUMMYFUNCTION("GOOGLETRANSLATE(B1814,""en"",""hy"")"),"Կարիբյան ավազանի երկրները կարող են տարբեր լինել՝ կախված օգտագործվող կոնկրետ սահմանումից, սակայն որոշ ընդհանուր օրինակներ ներառում են Կուբան, Ջամայկան, Հայիթին, Դոմինիկյան Հանրապետությունը, Բարբադոսը և Բահամյան կղզիները:")</f>
        <v>Կարիբյան ավազանի երկրները կարող են տարբեր լինել՝ կախված օգտագործվող կոնկրետ սահմանումից, սակայն որոշ ընդհանուր օրինակներ ներառում են Կուբան, Ջամայկան, Հայիթին, Դոմինիկյան Հանրապետությունը, Բարբադոսը և Բահամյան կղզիները:</v>
      </c>
    </row>
    <row r="1815">
      <c r="A1815" s="1" t="s">
        <v>3597</v>
      </c>
      <c r="B1815" s="2" t="s">
        <v>3598</v>
      </c>
      <c r="C1815" s="3" t="str">
        <f>IFERROR(__xludf.DUMMYFUNCTION("GOOGLETRANSLATE(A1815,""en"",""hy"")"),"ինչ freeview ալիք է bbc three?")</f>
        <v>ինչ freeview ալիք է bbc three?</v>
      </c>
      <c r="D1815" s="3" t="str">
        <f>IFERROR(__xludf.DUMMYFUNCTION("GOOGLETRANSLATE(B1815,""en"",""hy"")"),"BBC Three-ն այլևս հասանելի չէ Freeview-ում, քանի որ այն անցել է միայն առցանց հարթակի:")</f>
        <v>BBC Three-ն այլևս հասանելի չէ Freeview-ում, քանի որ այն անցել է միայն առցանց հարթակի:</v>
      </c>
    </row>
    <row r="1816">
      <c r="A1816" s="1" t="s">
        <v>3599</v>
      </c>
      <c r="B1816" s="2" t="s">
        <v>3600</v>
      </c>
      <c r="C1816" s="3" t="str">
        <f>IFERROR(__xludf.DUMMYFUNCTION("GOOGLETRANSLATE(A1816,""en"",""hy"")"),"Ե՞րբ են նյույորքցիները սկսել բեյսբոլ խաղալ:")</f>
        <v>Ե՞րբ են նյույորքցիները սկսել բեյսբոլ խաղալ:</v>
      </c>
      <c r="D1816" s="3" t="str">
        <f>IFERROR(__xludf.DUMMYFUNCTION("GOOGLETRANSLATE(B1816,""en"",""hy"")"),"New York Mets-ը սկսել է բեյսբոլ խաղալ 1962 թվականին։")</f>
        <v>New York Mets-ը սկսել է բեյսբոլ խաղալ 1962 թվականին։</v>
      </c>
    </row>
    <row r="1817">
      <c r="A1817" s="1" t="s">
        <v>3601</v>
      </c>
      <c r="B1817" s="2" t="s">
        <v>3602</v>
      </c>
      <c r="C1817" s="3" t="str">
        <f>IFERROR(__xludf.DUMMYFUNCTION("GOOGLETRANSLATE(A1817,""en"",""hy"")"),"Ո՞ր կուսակցությունից էր Վուդրո Վիլսոնը:")</f>
        <v>Ո՞ր կուսակցությունից էր Վուդրո Վիլսոնը:</v>
      </c>
      <c r="D1817" s="3" t="str">
        <f>IFERROR(__xludf.DUMMYFUNCTION("GOOGLETRANSLATE(B1817,""en"",""hy"")"),"Վուդրո Վիլսոնը Դեմոկրատական ​​կուսակցությունից էր։")</f>
        <v>Վուդրո Վիլսոնը Դեմոկրատական ​​կուսակցությունից էր։</v>
      </c>
    </row>
    <row r="1818">
      <c r="A1818" s="1" t="s">
        <v>3603</v>
      </c>
      <c r="B1818" s="2" t="s">
        <v>3604</v>
      </c>
      <c r="C1818" s="3" t="str">
        <f>IFERROR(__xludf.DUMMYFUNCTION("GOOGLETRANSLATE(A1818,""en"",""hy"")"),"ի՞նչ դեր է խաղում Սեթ Մակֆարլեյնը ընտանեկան տղայի մեջ:")</f>
        <v>ի՞նչ դեր է խաղում Սեթ Մակֆարլեյնը ընտանեկան տղայի մեջ:</v>
      </c>
      <c r="D1818" s="3" t="str">
        <f>IFERROR(__xludf.DUMMYFUNCTION("GOOGLETRANSLATE(B1818,""en"",""hy"")"),"Սեթ Մաքֆարլեյնը խաղում է բազմաթիվ դերեր Family Guy-ում, այդ թվում՝ Փիթեր Գրիֆինի, Սթիվի Գրիֆինի, Բրայան Գրիֆինի և այլ կերպարների ձայները։")</f>
        <v>Սեթ Մաքֆարլեյնը խաղում է բազմաթիվ դերեր Family Guy-ում, այդ թվում՝ Փիթեր Գրիֆինի, Սթիվի Գրիֆինի, Բրայան Գրիֆինի և այլ կերպարների ձայները։</v>
      </c>
    </row>
    <row r="1819">
      <c r="A1819" s="1" t="s">
        <v>3605</v>
      </c>
      <c r="B1819" s="2" t="s">
        <v>3606</v>
      </c>
      <c r="C1819" s="3" t="str">
        <f>IFERROR(__xludf.DUMMYFUNCTION("GOOGLETRANSLATE(A1819,""en"",""hy"")"),"ինչպիսի՞ կառավարություն ունի այսօր Վիետնամը:")</f>
        <v>ինչպիսի՞ կառավարություն ունի այսօր Վիետնամը:</v>
      </c>
      <c r="D1819" s="3" t="str">
        <f>IFERROR(__xludf.DUMMYFUNCTION("GOOGLETRANSLATE(B1819,""en"",""hy"")"),"Վիետնամն ունի սոցիալիստական ​​միակուսակցական կառավարություն։")</f>
        <v>Վիետնամն ունի սոցիալիստական ​​միակուսակցական կառավարություն։</v>
      </c>
    </row>
    <row r="1820">
      <c r="A1820" s="1" t="s">
        <v>3607</v>
      </c>
      <c r="B1820" s="2" t="s">
        <v>3608</v>
      </c>
      <c r="C1820" s="3" t="str">
        <f>IFERROR(__xludf.DUMMYFUNCTION("GOOGLETRANSLATE(A1820,""en"",""hy"")"),"ինչ արեց Բեն Հոլը")</f>
        <v>ինչ արեց Բեն Հոլը</v>
      </c>
      <c r="D1820" s="3" t="str">
        <f>IFERROR(__xludf.DUMMYFUNCTION("GOOGLETRANSLATE(B1820,""en"",""hy"")"),"Բեն Հոլը ավստրալիական բուշրենջեր էր:")</f>
        <v>Բեն Հոլը ավստրալիական բուշրենջեր էր:</v>
      </c>
    </row>
    <row r="1821">
      <c r="A1821" s="1" t="s">
        <v>3609</v>
      </c>
      <c r="B1821" s="2" t="s">
        <v>3610</v>
      </c>
      <c r="C1821" s="3" t="str">
        <f>IFERROR(__xludf.DUMMYFUNCTION("GOOGLETRANSLATE(A1821,""en"",""hy"")"),"ինչ տեսակի ինքնաթիռ է օգտագործում կույս Ամերիկան:")</f>
        <v>ինչ տեսակի ինքնաթիռ է օգտագործում կույս Ամերիկան:</v>
      </c>
      <c r="D1821" s="3" t="str">
        <f>IFERROR(__xludf.DUMMYFUNCTION("GOOGLETRANSLATE(B1821,""en"",""hy"")"),"Airbus A320 և A321.")</f>
        <v>Airbus A320 և A321.</v>
      </c>
    </row>
    <row r="1822">
      <c r="A1822" s="1" t="s">
        <v>3611</v>
      </c>
      <c r="B1822" s="2" t="s">
        <v>3612</v>
      </c>
      <c r="C1822" s="3" t="str">
        <f>IFERROR(__xludf.DUMMYFUNCTION("GOOGLETRANSLATE(A1822,""en"",""hy"")"),"ինչ արժույթ է օգտագործում Մեքսիկան")</f>
        <v>ինչ արժույթ է օգտագործում Մեքսիկան</v>
      </c>
      <c r="D1822" s="3" t="str">
        <f>IFERROR(__xludf.DUMMYFUNCTION("GOOGLETRANSLATE(B1822,""en"",""hy"")"),"Մեքսիկական պեսո.")</f>
        <v>Մեքսիկական պեսո.</v>
      </c>
    </row>
    <row r="1823">
      <c r="A1823" s="1" t="s">
        <v>3613</v>
      </c>
      <c r="B1823" s="2" t="s">
        <v>3614</v>
      </c>
      <c r="C1823" s="3" t="str">
        <f>IFERROR(__xludf.DUMMYFUNCTION("GOOGLETRANSLATE(A1823,""en"",""hy"")"),"որտեղ է գտնվում Օրեգոն նահանգի համալսարանը:")</f>
        <v>որտեղ է գտնվում Օրեգոն նահանգի համալսարանը:</v>
      </c>
      <c r="D1823" s="3" t="str">
        <f>IFERROR(__xludf.DUMMYFUNCTION("GOOGLETRANSLATE(B1823,""en"",""hy"")"),"Օրեգոն նահանգի համալսարանը գտնվում է Օրեգոն նահանգի Կորվալիս քաղաքում:")</f>
        <v>Օրեգոն նահանգի համալսարանը գտնվում է Օրեգոն նահանգի Կորվալիս քաղաքում:</v>
      </c>
    </row>
    <row r="1824">
      <c r="A1824" s="1" t="s">
        <v>3615</v>
      </c>
      <c r="B1824" s="2" t="s">
        <v>3616</v>
      </c>
      <c r="C1824" s="3" t="str">
        <f>IFERROR(__xludf.DUMMYFUNCTION("GOOGLETRANSLATE(A1824,""en"",""hy"")"),"որտեղ դնել ջերմաչափը Թուրքիայում:")</f>
        <v>որտեղ դնել ջերմաչափը Թուրքիայում:</v>
      </c>
      <c r="D1824" s="3" t="str">
        <f>IFERROR(__xludf.DUMMYFUNCTION("GOOGLETRANSLATE(B1824,""en"",""hy"")"),"Ջերմաչափը կարող եք դնել հնդկահավի ամենահաստ հատվածում, օրինակ՝ ազդրի կամ կրծքի մեջ։")</f>
        <v>Ջերմաչափը կարող եք դնել հնդկահավի ամենահաստ հատվածում, օրինակ՝ ազդրի կամ կրծքի մեջ։</v>
      </c>
    </row>
    <row r="1825">
      <c r="A1825" s="1" t="s">
        <v>3617</v>
      </c>
      <c r="B1825" s="2" t="s">
        <v>3618</v>
      </c>
      <c r="C1825" s="3" t="str">
        <f>IFERROR(__xludf.DUMMYFUNCTION("GOOGLETRANSLATE(A1825,""en"",""hy"")"),"Ո՞վ է Ջորջ Վենդտը խաղացել ուրախության վրա:")</f>
        <v>Ո՞վ է Ջորջ Վենդտը խաղացել ուրախության վրա:</v>
      </c>
      <c r="D1825" s="3" t="str">
        <f>IFERROR(__xludf.DUMMYFUNCTION("GOOGLETRANSLATE(B1825,""en"",""hy"")"),"Ջորջ Վենդտը խաղում էր Նորմ Պետերսոնի կերպարը Cheers-ում։")</f>
        <v>Ջորջ Վենդտը խաղում էր Նորմ Պետերսոնի կերպարը Cheers-ում։</v>
      </c>
    </row>
    <row r="1826">
      <c r="A1826" s="1" t="s">
        <v>3619</v>
      </c>
      <c r="B1826" s="2" t="s">
        <v>3620</v>
      </c>
      <c r="C1826" s="3" t="str">
        <f>IFERROR(__xludf.DUMMYFUNCTION("GOOGLETRANSLATE(A1826,""en"",""hy"")"),"ով խաղացել է cruella deville 102 դալմատացիների մեջ:")</f>
        <v>ով խաղացել է cruella deville 102 դալմատացիների մեջ:</v>
      </c>
      <c r="D1826" s="3" t="str">
        <f>IFERROR(__xludf.DUMMYFUNCTION("GOOGLETRANSLATE(B1826,""en"",""hy"")"),"Գլեն Քլոուզ.")</f>
        <v>Գլեն Քլոուզ.</v>
      </c>
    </row>
    <row r="1827">
      <c r="A1827" s="1" t="s">
        <v>3621</v>
      </c>
      <c r="B1827" s="2" t="s">
        <v>3622</v>
      </c>
      <c r="C1827" s="3" t="str">
        <f>IFERROR(__xludf.DUMMYFUNCTION("GOOGLETRANSLATE(A1827,""en"",""hy"")"),"ո՞ր դիվիզիոնում էին խաղում բալթիմորի քուռակները:")</f>
        <v>ո՞ր դիվիզիոնում էին խաղում բալթիմորի քուռակները:</v>
      </c>
      <c r="D1827" s="3" t="str">
        <f>IFERROR(__xludf.DUMMYFUNCTION("GOOGLETRANSLATE(B1827,""en"",""hy"")"),"Baltimore Colts-ը խաղացել է Ֆուտբոլի ազգային լիգայի Արևմտյան կոնֆերենցիայում:")</f>
        <v>Baltimore Colts-ը խաղացել է Ֆուտբոլի ազգային լիգայի Արևմտյան կոնֆերենցիայում:</v>
      </c>
    </row>
    <row r="1828">
      <c r="A1828" s="1" t="s">
        <v>3623</v>
      </c>
      <c r="B1828" s="2" t="s">
        <v>3624</v>
      </c>
      <c r="C1828" s="3" t="str">
        <f>IFERROR(__xludf.DUMMYFUNCTION("GOOGLETRANSLATE(A1828,""en"",""hy"")"),"ո՞ր տարում մենք ներխուժեցինք Իրաք.")</f>
        <v>ո՞ր տարում մենք ներխուժեցինք Իրաք.</v>
      </c>
      <c r="D1828" s="3" t="str">
        <f>IFERROR(__xludf.DUMMYFUNCTION("GOOGLETRANSLATE(B1828,""en"",""hy"")"),"ԱՄՆ-ը ներխուժել է Իրաք 2003թ.")</f>
        <v>ԱՄՆ-ը ներխուժել է Իրաք 2003թ.</v>
      </c>
    </row>
    <row r="1829">
      <c r="A1829" s="1" t="s">
        <v>3625</v>
      </c>
      <c r="B1829" s="2" t="s">
        <v>3626</v>
      </c>
      <c r="C1829" s="3" t="str">
        <f>IFERROR(__xludf.DUMMYFUNCTION("GOOGLETRANSLATE(A1829,""en"",""hy"")"),"ո՞րն է տեղական արժույթը Դոմինիկյան հանրապետությունում:")</f>
        <v>ո՞րն է տեղական արժույթը Դոմինիկյան հանրապետությունում:</v>
      </c>
      <c r="D1829" s="3" t="str">
        <f>IFERROR(__xludf.DUMMYFUNCTION("GOOGLETRANSLATE(B1829,""en"",""hy"")"),"Դոմինիկյան Հանրապետությունում տեղական արժույթը Դոմինիկյան պեսոն է (DOP):")</f>
        <v>Դոմինիկյան Հանրապետությունում տեղական արժույթը Դոմինիկյան պեսոն է (DOP):</v>
      </c>
    </row>
    <row r="1830">
      <c r="A1830" s="1" t="s">
        <v>3627</v>
      </c>
      <c r="B1830" s="2" t="s">
        <v>3628</v>
      </c>
      <c r="C1830" s="3" t="str">
        <f>IFERROR(__xludf.DUMMYFUNCTION("GOOGLETRANSLATE(A1830,""en"",""hy"")"),"Ո՞րն է Կանադայի մայրաքաղաքը քարտեզի վրա:")</f>
        <v>Ո՞րն է Կանադայի մայրաքաղաքը քարտեզի վրա:</v>
      </c>
      <c r="D1830" s="3" t="str">
        <f>IFERROR(__xludf.DUMMYFUNCTION("GOOGLETRANSLATE(B1830,""en"",""hy"")"),"Կանադայի մայրաքաղաքը Օտտավան է։")</f>
        <v>Կանադայի մայրաքաղաքը Օտտավան է։</v>
      </c>
    </row>
    <row r="1831">
      <c r="A1831" s="1" t="s">
        <v>3629</v>
      </c>
      <c r="B1831" s="2" t="s">
        <v>3630</v>
      </c>
      <c r="C1831" s="3" t="str">
        <f>IFERROR(__xludf.DUMMYFUNCTION("GOOGLETRANSLATE(A1831,""en"",""hy"")"),"ինչ է կոչվում Իսպանիայում օգտագործվող արժույթը:")</f>
        <v>ինչ է կոչվում Իսպանիայում օգտագործվող արժույթը:</v>
      </c>
      <c r="D1831" s="3" t="str">
        <f>IFERROR(__xludf.DUMMYFUNCTION("GOOGLETRANSLATE(B1831,""en"",""hy"")"),"Իսպանիայում օգտագործվող արժույթը եվրոն է։")</f>
        <v>Իսպանիայում օգտագործվող արժույթը եվրոն է։</v>
      </c>
    </row>
    <row r="1832">
      <c r="A1832" s="1" t="s">
        <v>3631</v>
      </c>
      <c r="B1832" s="2" t="s">
        <v>3632</v>
      </c>
      <c r="C1832" s="3" t="str">
        <f>IFERROR(__xludf.DUMMYFUNCTION("GOOGLETRANSLATE(A1832,""en"",""hy"")"),"ինչ ազգության են Իրանից.")</f>
        <v>ինչ ազգության են Իրանից.</v>
      </c>
      <c r="D1832" s="3" t="str">
        <f>IFERROR(__xludf.DUMMYFUNCTION("GOOGLETRANSLATE(B1832,""en"",""hy"")"),"Իրանից եկած մարդիկ հիմնականում պատկանում են իրանական էթնիկական պատկանելությանը։")</f>
        <v>Իրանից եկած մարդիկ հիմնականում պատկանում են իրանական էթնիկական պատկանելությանը։</v>
      </c>
    </row>
    <row r="1833">
      <c r="A1833" s="1" t="s">
        <v>3633</v>
      </c>
      <c r="B1833" s="2" t="s">
        <v>3634</v>
      </c>
      <c r="C1833" s="3" t="str">
        <f>IFERROR(__xludf.DUMMYFUNCTION("GOOGLETRANSLATE(A1833,""en"",""hy"")"),"որտեղի՞ց են առաջացել գերմանացիները վիքիից։")</f>
        <v>որտեղի՞ց են առաջացել գերմանացիները վիքիից։</v>
      </c>
      <c r="D1833" s="3" t="str">
        <f>IFERROR(__xludf.DUMMYFUNCTION("GOOGLETRANSLATE(B1833,""en"",""hy"")"),"Գերմանացիները ծագել են Կենտրոնական Եվրոպայի տարբեր գերմանական ցեղերից։ Նրանք ունեն հարուստ պատմություն, որը սկսվում է հին ժամանակներից:")</f>
        <v>Գերմանացիները ծագել են Կենտրոնական Եվրոպայի տարբեր գերմանական ցեղերից։ Նրանք ունեն հարուստ պատմություն, որը սկսվում է հին ժամանակներից:</v>
      </c>
    </row>
    <row r="1834">
      <c r="A1834" s="1" t="s">
        <v>3635</v>
      </c>
      <c r="B1834" s="2" t="s">
        <v>3636</v>
      </c>
      <c r="C1834" s="3" t="str">
        <f>IFERROR(__xludf.DUMMYFUNCTION("GOOGLETRANSLATE(A1834,""en"",""hy"")"),"Ո՞ր ֆիլմն է Թոմ Հենքսը ստացել իր առաջին «Օսկարը»:")</f>
        <v>Ո՞ր ֆիլմն է Թոմ Հենքսը ստացել իր առաջին «Օսկարը»:</v>
      </c>
      <c r="D1834" s="3" t="str">
        <f>IFERROR(__xludf.DUMMYFUNCTION("GOOGLETRANSLATE(B1834,""en"",""hy"")"),"Թոմ Հենքսն իր առաջին «Օսկար»-ը ստացել է «Ֆիլադելֆիա» ֆիլմի համար 1994 թվականին։")</f>
        <v>Թոմ Հենքսն իր առաջին «Օսկար»-ը ստացել է «Ֆիլադելֆիա» ֆիլմի համար 1994 թվականին։</v>
      </c>
    </row>
    <row r="1835">
      <c r="A1835" s="1" t="s">
        <v>3637</v>
      </c>
      <c r="B1835" s="2" t="s">
        <v>3638</v>
      </c>
      <c r="C1835" s="3" t="str">
        <f>IFERROR(__xludf.DUMMYFUNCTION("GOOGLETRANSLATE(A1835,""en"",""hy"")"),"Ե՞րբ է ստեղծվել Հին Եգիպտոսը:")</f>
        <v>Ե՞րբ է ստեղծվել Հին Եգիպտոսը:</v>
      </c>
      <c r="D1835" s="3" t="str">
        <f>IFERROR(__xludf.DUMMYFUNCTION("GOOGLETRANSLATE(B1835,""en"",""hy"")"),"Հին Եգիպտոսը ստեղծվել է շուրջ 3100 մ.թ.ա.")</f>
        <v>Հին Եգիպտոսը ստեղծվել է շուրջ 3100 մ.թ.ա.</v>
      </c>
    </row>
    <row r="1836">
      <c r="A1836" s="1" t="s">
        <v>3639</v>
      </c>
      <c r="B1836" s="2" t="s">
        <v>3640</v>
      </c>
      <c r="C1836" s="3" t="str">
        <f>IFERROR(__xludf.DUMMYFUNCTION("GOOGLETRANSLATE(A1836,""en"",""hy"")"),"ով խաղաց բիլբո բեգինս")</f>
        <v>ով խաղաց բիլբո բեգինս</v>
      </c>
      <c r="D1836" s="3" t="str">
        <f>IFERROR(__xludf.DUMMYFUNCTION("GOOGLETRANSLATE(B1836,""en"",""hy"")"),"Մարտին Ֆրիման")</f>
        <v>Մարտին Ֆրիման</v>
      </c>
    </row>
    <row r="1837">
      <c r="A1837" s="1" t="s">
        <v>3641</v>
      </c>
      <c r="B1837" s="2" t="s">
        <v>3642</v>
      </c>
      <c r="C1837" s="3" t="str">
        <f>IFERROR(__xludf.DUMMYFUNCTION("GOOGLETRANSLATE(A1837,""en"",""hy"")"),"Ո՞ր հայտնի մարդիկ են Կանզաս Սիթիից:")</f>
        <v>Ո՞ր հայտնի մարդիկ են Կանզաս Սիթիից:</v>
      </c>
      <c r="D1837" s="3" t="str">
        <f>IFERROR(__xludf.DUMMYFUNCTION("GOOGLETRANSLATE(B1837,""en"",""hy"")"),"Կանզաս Սիթիից որոշ հայտնի մարդկանց թվում են Ուոլթ Դիսնեյը, Էռնեստ Հեմինգուեյը և Tech N9ne-ը:")</f>
        <v>Կանզաս Սիթիից որոշ հայտնի մարդկանց թվում են Ուոլթ Դիսնեյը, Էռնեստ Հեմինգուեյը և Tech N9ne-ը:</v>
      </c>
    </row>
    <row r="1838">
      <c r="A1838" s="1" t="s">
        <v>3643</v>
      </c>
      <c r="B1838" s="2" t="s">
        <v>3644</v>
      </c>
      <c r="C1838" s="3" t="str">
        <f>IFERROR(__xludf.DUMMYFUNCTION("GOOGLETRANSLATE(A1838,""en"",""hy"")"),"ո՞ր երկիրն էր ներկայացնում Ֆրենսիս Դրեյքը:")</f>
        <v>ո՞ր երկիրն էր ներկայացնում Ֆրենսիս Դրեյքը:</v>
      </c>
      <c r="D1838" s="3" t="str">
        <f>IFERROR(__xludf.DUMMYFUNCTION("GOOGLETRANSLATE(B1838,""en"",""hy"")"),"Անգլիա.")</f>
        <v>Անգլիա.</v>
      </c>
    </row>
    <row r="1839">
      <c r="A1839" s="1" t="s">
        <v>3645</v>
      </c>
      <c r="B1839" s="2" t="s">
        <v>3646</v>
      </c>
      <c r="C1839" s="3" t="str">
        <f>IFERROR(__xludf.DUMMYFUNCTION("GOOGLETRANSLATE(A1839,""en"",""hy"")"),"Ո՞ր ժամային գոտում է Ինդիանապոլիս Ինդիանան:")</f>
        <v>Ո՞ր ժամային գոտում է Ինդիանապոլիս Ինդիանան:</v>
      </c>
      <c r="D1839" s="3" t="str">
        <f>IFERROR(__xludf.DUMMYFUNCTION("GOOGLETRANSLATE(B1839,""en"",""hy"")"),"Ինդիանապոլիս, Ինդիանա գտնվում է Արևելյան ստանդարտ ժամային գոտում:")</f>
        <v>Ինդիանապոլիս, Ինդիանա գտնվում է Արևելյան ստանդարտ ժամային գոտում:</v>
      </c>
    </row>
    <row r="1840">
      <c r="A1840" s="1" t="s">
        <v>3647</v>
      </c>
      <c r="B1840" s="2" t="s">
        <v>3648</v>
      </c>
      <c r="C1840" s="3" t="str">
        <f>IFERROR(__xludf.DUMMYFUNCTION("GOOGLETRANSLATE(A1840,""en"",""hy"")"),"ի՞նչ է առաջարկել Դարվինը որպես էվոլյուցիայի մեխանիզմ:")</f>
        <v>ի՞նչ է առաջարկել Դարվինը որպես էվոլյուցիայի մեխանիզմ:</v>
      </c>
      <c r="D1840" s="3" t="str">
        <f>IFERROR(__xludf.DUMMYFUNCTION("GOOGLETRANSLATE(B1840,""en"",""hy"")"),"Դարվինը որպես էվոլյուցիայի մեխանիզմ առաջարկեց բնական ընտրությունը։")</f>
        <v>Դարվինը որպես էվոլյուցիայի մեխանիզմ առաջարկեց բնական ընտրությունը։</v>
      </c>
    </row>
    <row r="1841">
      <c r="A1841" s="1" t="s">
        <v>3649</v>
      </c>
      <c r="B1841" s="2" t="s">
        <v>3650</v>
      </c>
      <c r="C1841" s="3" t="str">
        <f>IFERROR(__xludf.DUMMYFUNCTION("GOOGLETRANSLATE(A1841,""en"",""hy"")"),"ովքե՞ր են առաջադրվել Բիլ Քլինթոնի դեմ նախագահական ընտրություններում.")</f>
        <v>ովքե՞ր են առաջադրվել Բիլ Քլինթոնի դեմ նախագահական ընտրություններում.</v>
      </c>
      <c r="D1841" s="3" t="str">
        <f>IFERROR(__xludf.DUMMYFUNCTION("GOOGLETRANSLATE(B1841,""en"",""hy"")"),"Բոբ Դոլը նախագահական ընտրություններում առաջադրվել է Բիլ Քլինթոնի դեմ:")</f>
        <v>Բոբ Դոլը նախագահական ընտրություններում առաջադրվել է Բիլ Քլինթոնի դեմ:</v>
      </c>
    </row>
    <row r="1842">
      <c r="A1842" s="1" t="s">
        <v>3651</v>
      </c>
      <c r="B1842" s="2" t="s">
        <v>3652</v>
      </c>
      <c r="C1842" s="3" t="str">
        <f>IFERROR(__xludf.DUMMYFUNCTION("GOOGLETRANSLATE(A1842,""en"",""hy"")"),"ինչ գրքեր է գրել Լինքոլնը")</f>
        <v>ինչ գրքեր է գրել Լինքոլնը</v>
      </c>
      <c r="D1842" s="3" t="str">
        <f>IFERROR(__xludf.DUMMYFUNCTION("GOOGLETRANSLATE(B1842,""en"",""hy"")"),"Աբրահամ Լինքոլնը ոչ մի գիրք չի գրել։")</f>
        <v>Աբրահամ Լինքոլնը ոչ մի գիրք չի գրել։</v>
      </c>
    </row>
    <row r="1843">
      <c r="A1843" s="1" t="s">
        <v>3653</v>
      </c>
      <c r="B1843" s="2" t="s">
        <v>3654</v>
      </c>
      <c r="C1843" s="3" t="str">
        <f>IFERROR(__xludf.DUMMYFUNCTION("GOOGLETRANSLATE(A1843,""en"",""hy"")"),"որո՞նք են հայտնի սպորտաձևերը Իսպանիայում:")</f>
        <v>որո՞նք են հայտնի սպորտաձևերը Իսպանիայում:</v>
      </c>
      <c r="D1843" s="3" t="str">
        <f>IFERROR(__xludf.DUMMYFUNCTION("GOOGLETRANSLATE(B1843,""en"",""hy"")"),"Իսպանիայում հայտնի սպորտաձևերը ներառում են ֆուտբոլ, բասկետբոլ, թենիս և հեծանվավազք։")</f>
        <v>Իսպանիայում հայտնի սպորտաձևերը ներառում են ֆուտբոլ, բասկետբոլ, թենիս և հեծանվավազք։</v>
      </c>
    </row>
    <row r="1844">
      <c r="A1844" s="1" t="s">
        <v>3655</v>
      </c>
      <c r="B1844" s="2" t="s">
        <v>3656</v>
      </c>
      <c r="C1844" s="3" t="str">
        <f>IFERROR(__xludf.DUMMYFUNCTION("GOOGLETRANSLATE(A1844,""en"",""hy"")"),"ինչով է գործել Քորի Հայմը:")</f>
        <v>ինչով է գործել Քորի Հայմը:</v>
      </c>
      <c r="D1844" s="3" t="str">
        <f>IFERROR(__xludf.DUMMYFUNCTION("GOOGLETRANSLATE(B1844,""en"",""hy"")"),"Քորի Հեյմը նկարահանվել է այնպիսի ֆիլմերում, ինչպիսիք են «Կորած տղաները», «Քշելու թույլտվություն» և «Լուկասը»:")</f>
        <v>Քորի Հեյմը նկարահանվել է այնպիսի ֆիլմերում, ինչպիսիք են «Կորած տղաները», «Քշելու թույլտվություն» և «Լուկասը»:</v>
      </c>
    </row>
    <row r="1845">
      <c r="A1845" s="1" t="s">
        <v>3657</v>
      </c>
      <c r="B1845" s="2" t="s">
        <v>3658</v>
      </c>
      <c r="C1845" s="3" t="str">
        <f>IFERROR(__xludf.DUMMYFUNCTION("GOOGLETRANSLATE(A1845,""en"",""hy"")"),"ով է Wall Street ամսագրի հրատարակիչը:")</f>
        <v>ով է Wall Street ամսագրի հրատարակիչը:</v>
      </c>
      <c r="D1845" s="3" t="str">
        <f>IFERROR(__xludf.DUMMYFUNCTION("GOOGLETRANSLATE(B1845,""en"",""hy"")"),"The Wall Street Journal-ի հրատարակիչը Dow Jones &amp; Company-ն է՝ News Corp-ի դուստր ձեռնարկությունը:")</f>
        <v>The Wall Street Journal-ի հրատարակիչը Dow Jones &amp; Company-ն է՝ News Corp-ի դուստր ձեռնարկությունը:</v>
      </c>
    </row>
    <row r="1846">
      <c r="A1846" s="1" t="s">
        <v>3659</v>
      </c>
      <c r="B1846" s="2" t="s">
        <v>3660</v>
      </c>
      <c r="C1846" s="3" t="str">
        <f>IFERROR(__xludf.DUMMYFUNCTION("GOOGLETRANSLATE(A1846,""en"",""hy"")"),"ինչ ապրանքներ են արտադրվում ԱՄՆ-ում:")</f>
        <v>ինչ ապրանքներ են արտադրվում ԱՄՆ-ում:</v>
      </c>
      <c r="D1846" s="3" t="str">
        <f>IFERROR(__xludf.DUMMYFUNCTION("GOOGLETRANSLATE(B1846,""en"",""hy"")"),"ԱՄՆ-ում արտադրված ապրանքների լայն տեսականի կա՝ ներառյալ ավտոմեքենաներ, էլեկտրոնիկա, հագուստ, սննդամթերք, կահույք և շատ ավելին:")</f>
        <v>ԱՄՆ-ում արտադրված ապրանքների լայն տեսականի կա՝ ներառյալ ավտոմեքենաներ, էլեկտրոնիկա, հագուստ, սննդամթերք, կահույք և շատ ավելին:</v>
      </c>
    </row>
    <row r="1847">
      <c r="A1847" s="1" t="s">
        <v>3661</v>
      </c>
      <c r="B1847" s="2" t="s">
        <v>3662</v>
      </c>
      <c r="C1847" s="3" t="str">
        <f>IFERROR(__xludf.DUMMYFUNCTION("GOOGLETRANSLATE(A1847,""en"",""hy"")"),"ինչ են խոսում տիբեթցիները")</f>
        <v>ինչ են խոսում տիբեթցիները</v>
      </c>
      <c r="D1847" s="3" t="str">
        <f>IFERROR(__xludf.DUMMYFUNCTION("GOOGLETRANSLATE(B1847,""en"",""hy"")"),"Տիբեթցիները խոսում են տիբեթերեն:")</f>
        <v>Տիբեթցիները խոսում են տիբեթերեն:</v>
      </c>
    </row>
    <row r="1848">
      <c r="A1848" s="1" t="s">
        <v>3663</v>
      </c>
      <c r="B1848" s="2" t="s">
        <v>3664</v>
      </c>
      <c r="C1848" s="3" t="str">
        <f>IFERROR(__xludf.DUMMYFUNCTION("GOOGLETRANSLATE(A1848,""en"",""hy"")"),"ինչպիսի՞ կառավարման ձև ունի Աֆղանստանը")</f>
        <v>ինչպիսի՞ կառավարման ձև ունի Աֆղանստանը</v>
      </c>
      <c r="D1848" s="3" t="str">
        <f>IFERROR(__xludf.DUMMYFUNCTION("GOOGLETRANSLATE(B1848,""en"",""hy"")"),"Աֆղանստանն ունի նախագահական հանրապետության կառավարման ձև:")</f>
        <v>Աֆղանստանն ունի նախագահական հանրապետության կառավարման ձև:</v>
      </c>
    </row>
    <row r="1849">
      <c r="A1849" s="1" t="s">
        <v>3665</v>
      </c>
      <c r="B1849" s="2" t="s">
        <v>3666</v>
      </c>
      <c r="C1849" s="3" t="str">
        <f>IFERROR(__xludf.DUMMYFUNCTION("GOOGLETRANSLATE(A1849,""en"",""hy"")"),"ո՞վ էր Էդվարդ VIII թագավորի կինը։")</f>
        <v>ո՞վ էր Էդվարդ VIII թագավորի կինը։</v>
      </c>
      <c r="D1849" s="3" t="str">
        <f>IFERROR(__xludf.DUMMYFUNCTION("GOOGLETRANSLATE(B1849,""en"",""hy"")"),"Ալեքսանդրա թագուհի")</f>
        <v>Ալեքսանդրա թագուհի</v>
      </c>
    </row>
    <row r="1850">
      <c r="A1850" s="1" t="s">
        <v>3667</v>
      </c>
      <c r="B1850" s="2" t="s">
        <v>3668</v>
      </c>
      <c r="C1850" s="3" t="str">
        <f>IFERROR(__xludf.DUMMYFUNCTION("GOOGLETRANSLATE(A1850,""en"",""hy"")"),"ինչ դիրք է խաղացել Ջոն Սթոքթոնը")</f>
        <v>ինչ դիրք է խաղացել Ջոն Սթոքթոնը</v>
      </c>
      <c r="D1850" s="3" t="str">
        <f>IFERROR(__xludf.DUMMYFUNCTION("GOOGLETRANSLATE(B1850,""en"",""hy"")"),"Պիենտ պահակ.")</f>
        <v>Պիենտ պահակ.</v>
      </c>
    </row>
    <row r="1851">
      <c r="A1851" s="1" t="s">
        <v>3669</v>
      </c>
      <c r="B1851" s="2" t="s">
        <v>3670</v>
      </c>
      <c r="C1851" s="3" t="str">
        <f>IFERROR(__xludf.DUMMYFUNCTION("GOOGLETRANSLATE(A1851,""en"",""hy"")"),"ի՞նչ է տեղի ունեցել Վիրջինիայի տեխնոլոգիական կոտորածի ժամանակ։")</f>
        <v>ի՞նչ է տեղի ունեցել Վիրջինիայի տեխնոլոգիական կոտորածի ժամանակ։</v>
      </c>
      <c r="D1851" s="3" t="str">
        <f>IFERROR(__xludf.DUMMYFUNCTION("GOOGLETRANSLATE(B1851,""en"",""hy"")"),"2007 թվականի ապրիլի 16-ին հրաձգություն տեղի ունեցավ Վիրջինիա նահանգի Բլեքսբուրգ քաղաքում գտնվող Վիրջինիա տեխնիկայում: Զինված տղամարդը սպանել է 32 մարդու և վիրավորել շատերին՝ նախքան կյանքին վերջ տալը։")</f>
        <v>2007 թվականի ապրիլի 16-ին հրաձգություն տեղի ունեցավ Վիրջինիա նահանգի Բլեքսբուրգ քաղաքում գտնվող Վիրջինիա տեխնիկայում: Զինված տղամարդը սպանել է 32 մարդու և վիրավորել շատերին՝ նախքան կյանքին վերջ տալը։</v>
      </c>
    </row>
    <row r="1852">
      <c r="A1852" s="1" t="s">
        <v>3671</v>
      </c>
      <c r="B1852" s="2" t="s">
        <v>3672</v>
      </c>
      <c r="C1852" s="3" t="str">
        <f>IFERROR(__xludf.DUMMYFUNCTION("GOOGLETRANSLATE(A1852,""en"",""hy"")"),"Ե՞րբ է մահացել Ֆրեդի Կրյուգերը")</f>
        <v>Ե՞րբ է մահացել Ֆրեդի Կրյուգերը</v>
      </c>
      <c r="D1852" s="3" t="str">
        <f>IFERROR(__xludf.DUMMYFUNCTION("GOOGLETRANSLATE(B1852,""en"",""hy"")"),"Ֆրեդի Կրյուգերը հորինված կերպար է, ուստի նա չունի մահվան կոնկրետ ամսաթիվ:")</f>
        <v>Ֆրեդի Կրյուգերը հորինված կերպար է, ուստի նա չունի մահվան կոնկրետ ամսաթիվ:</v>
      </c>
    </row>
    <row r="1853">
      <c r="A1853" s="1" t="s">
        <v>3673</v>
      </c>
      <c r="B1853" s="2" t="s">
        <v>3674</v>
      </c>
      <c r="C1853" s="3" t="str">
        <f>IFERROR(__xludf.DUMMYFUNCTION("GOOGLETRANSLATE(A1853,""en"",""hy"")"),"ինչ կարելի է անել Նիագարա Ֆոլսում Նյու Յորքում:")</f>
        <v>ինչ կարելի է անել Նիագարա Ֆոլսում Նյու Յորքում:</v>
      </c>
      <c r="D1853" s="3" t="str">
        <f>IFERROR(__xludf.DUMMYFUNCTION("GOOGLETRANSLATE(B1853,""en"",""hy"")"),"Նյու Յորքի Նիագարայի ջրվեժում կան մի քանի գործողություններ, ինչպիսիք են Նիագարայի ջրվեժի պետական ​​զբոսայգին այցելելը, Մառախուղի սպասուհուն նավով շրջագայություն կատարելը, Քամիների քարանձավը ուսումնասիրելը և Նիագարայի կիրճի հայտնաբերման կենտրոն այցելելը:")</f>
        <v>Նյու Յորքի Նիագարայի ջրվեժում կան մի քանի գործողություններ, ինչպիսիք են Նիագարայի ջրվեժի պետական ​​զբոսայգին այցելելը, Մառախուղի սպասուհուն նավով շրջագայություն կատարելը, Քամիների քարանձավը ուսումնասիրելը և Նիագարայի կիրճի հայտնաբերման կենտրոն այցելելը:</v>
      </c>
    </row>
    <row r="1854">
      <c r="A1854" s="1" t="s">
        <v>3675</v>
      </c>
      <c r="B1854" s="2" t="s">
        <v>3676</v>
      </c>
      <c r="C1854" s="3" t="str">
        <f>IFERROR(__xludf.DUMMYFUNCTION("GOOGLETRANSLATE(A1854,""en"",""hy"")"),"ով խաղաց Bernie Focker?")</f>
        <v>ով խաղաց Bernie Focker?</v>
      </c>
      <c r="D1854" s="3" t="str">
        <f>IFERROR(__xludf.DUMMYFUNCTION("GOOGLETRANSLATE(B1854,""en"",""hy"")"),"Բեն Սթիլերը խաղացել է Բեռնի Ֆոկերի դերը «Հանդիպեք Ֆոկերներին» ֆիլմում։")</f>
        <v>Բեն Սթիլերը խաղացել է Բեռնի Ֆոկերի դերը «Հանդիպեք Ֆոկերներին» ֆիլմում։</v>
      </c>
    </row>
    <row r="1855">
      <c r="A1855" s="1" t="s">
        <v>3677</v>
      </c>
      <c r="B1855" s="2" t="s">
        <v>3678</v>
      </c>
      <c r="C1855" s="3" t="str">
        <f>IFERROR(__xludf.DUMMYFUNCTION("GOOGLETRANSLATE(A1855,""en"",""hy"")"),"ո՞ւմ համար է խաղացել Troy aikman-ը:")</f>
        <v>ո՞ւմ համար է խաղացել Troy aikman-ը:</v>
      </c>
      <c r="D1855" s="3" t="str">
        <f>IFERROR(__xludf.DUMMYFUNCTION("GOOGLETRANSLATE(B1855,""en"",""hy"")"),"Թրոյ Այքմանը խաղացել է Դալլաս Կովբոյզում։")</f>
        <v>Թրոյ Այքմանը խաղացել է Դալլաս Կովբոյզում։</v>
      </c>
    </row>
    <row r="1856">
      <c r="A1856" s="1" t="s">
        <v>3679</v>
      </c>
      <c r="B1856" s="2" t="s">
        <v>3680</v>
      </c>
      <c r="C1856" s="3" t="str">
        <f>IFERROR(__xludf.DUMMYFUNCTION("GOOGLETRANSLATE(A1856,""en"",""hy"")"),"որտեղ է թուրքերենը")</f>
        <v>որտեղ է թուրքերենը</v>
      </c>
      <c r="D1856" s="3" t="str">
        <f>IFERROR(__xludf.DUMMYFUNCTION("GOOGLETRANSLATE(B1856,""en"",""hy"")"),"Թուրքերենը ծագում է Թուրքիայից։")</f>
        <v>Թուրքերենը ծագում է Թուրքիայից։</v>
      </c>
    </row>
    <row r="1857">
      <c r="A1857" s="1" t="s">
        <v>3681</v>
      </c>
      <c r="B1857" s="2" t="s">
        <v>3682</v>
      </c>
      <c r="C1857" s="3" t="str">
        <f>IFERROR(__xludf.DUMMYFUNCTION("GOOGLETRANSLATE(A1857,""en"",""hy"")"),"ով էր Մենդելը և ինչ զարգացրեց նա:")</f>
        <v>ով էր Մենդելը և ինչ զարգացրեց նա:</v>
      </c>
      <c r="D1857" s="3" t="str">
        <f>IFERROR(__xludf.DUMMYFUNCTION("GOOGLETRANSLATE(B1857,""en"",""hy"")"),"Մենդելը գիտնական և վանական էր, ով մշակեց ժառանգականության սկզբունքները և ժառանգության օրենքները:")</f>
        <v>Մենդելը գիտնական և վանական էր, ով մշակեց ժառանգականության սկզբունքները և ժառանգության օրենքները:</v>
      </c>
    </row>
    <row r="1858">
      <c r="A1858" s="1" t="s">
        <v>3683</v>
      </c>
      <c r="B1858" s="2" t="s">
        <v>3684</v>
      </c>
      <c r="C1858" s="3" t="str">
        <f>IFERROR(__xludf.DUMMYFUNCTION("GOOGLETRANSLATE(A1858,""en"",""hy"")"),"որտե՞ղ է Կալիֆորնիայի թեմատիկ այգին ունիվերսալ ստուդիա:")</f>
        <v>որտե՞ղ է Կալիֆորնիայի թեմատիկ այգին ունիվերսալ ստուդիա:</v>
      </c>
      <c r="D1858" s="3" t="str">
        <f>IFERROR(__xludf.DUMMYFUNCTION("GOOGLETRANSLATE(B1858,""en"",""hy"")"),"Universal Studios California-ն գտնվում է Ունիվերսալ Սիթիում, Կալիֆորնիա:")</f>
        <v>Universal Studios California-ն գտնվում է Ունիվերսալ Սիթիում, Կալիֆորնիա:</v>
      </c>
    </row>
    <row r="1859">
      <c r="A1859" s="1" t="s">
        <v>3685</v>
      </c>
      <c r="B1859" s="2" t="s">
        <v>3686</v>
      </c>
      <c r="C1859" s="3" t="str">
        <f>IFERROR(__xludf.DUMMYFUNCTION("GOOGLETRANSLATE(A1859,""en"",""hy"")"),"որտեղ են ծնվել գրիմ եղբայրները:")</f>
        <v>որտեղ են ծնվել գրիմ եղբայրները:</v>
      </c>
      <c r="D1859" s="3" t="str">
        <f>IFERROR(__xludf.DUMMYFUNCTION("GOOGLETRANSLATE(B1859,""en"",""hy"")"),"Գրիմ եղբայրները ծնվել են Գերմանիայի Հանաու քաղաքում։")</f>
        <v>Գրիմ եղբայրները ծնվել են Գերմանիայի Հանաու քաղաքում։</v>
      </c>
    </row>
    <row r="1860">
      <c r="A1860" s="1" t="s">
        <v>3687</v>
      </c>
      <c r="B1860" s="2" t="s">
        <v>3688</v>
      </c>
      <c r="C1860" s="3" t="str">
        <f>IFERROR(__xludf.DUMMYFUNCTION("GOOGLETRANSLATE(A1860,""en"",""hy"")"),"ո՞ր սպորտաձևն է հայտնի Չինաստանում:")</f>
        <v>ո՞ր սպորտաձևն է հայտնի Չինաստանում:</v>
      </c>
      <c r="D1860" s="3" t="str">
        <f>IFERROR(__xludf.DUMMYFUNCTION("GOOGLETRANSLATE(B1860,""en"",""hy"")"),"Սեղանի թենիս.")</f>
        <v>Սեղանի թենիս.</v>
      </c>
    </row>
    <row r="1861">
      <c r="A1861" s="1" t="s">
        <v>3689</v>
      </c>
      <c r="B1861" s="2" t="s">
        <v>3690</v>
      </c>
      <c r="C1861" s="3" t="str">
        <f>IFERROR(__xludf.DUMMYFUNCTION("GOOGLETRANSLATE(A1861,""en"",""hy"")"),"ինչ անել երեխաների հետ phx az-ում:")</f>
        <v>ինչ անել երեխաների հետ phx az-ում:</v>
      </c>
      <c r="D1861" s="3" t="str">
        <f>IFERROR(__xludf.DUMMYFUNCTION("GOOGLETRANSLATE(B1861,""en"",""hy"")"),"Այցելեք Ֆենիքսի կենդանաբանական այգին, ուսումնասիրեք Ֆենիքսի մանկական թանգարանը, զվարճացեք McCormick-Stillman Railroad Park-ում, զովացեք տեղական ջրաշխարհում, ինչպիսին Wet 'n' Wild Phoenix-ն է, վայելեք կրթական ցուցանմուշները Արիզոնայի գիտական ​​կենտրոնում և"&amp;" գնացեք քայլարշավ Camelback-ում: Լեռ.")</f>
        <v>Այցելեք Ֆենիքսի կենդանաբանական այգին, ուսումնասիրեք Ֆենիքսի մանկական թանգարանը, զվարճացեք McCormick-Stillman Railroad Park-ում, զովացեք տեղական ջրաշխարհում, ինչպիսին Wet 'n' Wild Phoenix-ն է, վայելեք կրթական ցուցանմուշները Արիզոնայի գիտական ​​կենտրոնում և գնացեք քայլարշավ Camelback-ում: Լեռ.</v>
      </c>
    </row>
    <row r="1862">
      <c r="A1862" s="1" t="s">
        <v>3691</v>
      </c>
      <c r="B1862" s="2" t="s">
        <v>3692</v>
      </c>
      <c r="C1862" s="3" t="str">
        <f>IFERROR(__xludf.DUMMYFUNCTION("GOOGLETRANSLATE(A1862,""en"",""hy"")"),"որտեղ է այժմ ապրում Քերք Քեմերոնը")</f>
        <v>որտեղ է այժմ ապրում Քերք Քեմերոնը</v>
      </c>
      <c r="D1862" s="3" t="str">
        <f>IFERROR(__xludf.DUMMYFUNCTION("GOOGLETRANSLATE(B1862,""en"",""hy"")"),"Քըրք Քեմերոնը ներկայումս ապրում է Հարավային Կալիֆորնիայում:")</f>
        <v>Քըրք Քեմերոնը ներկայումս ապրում է Հարավային Կալիֆորնիայում:</v>
      </c>
    </row>
    <row r="1863">
      <c r="A1863" s="1" t="s">
        <v>3693</v>
      </c>
      <c r="B1863" s="2" t="s">
        <v>3694</v>
      </c>
      <c r="C1863" s="3" t="str">
        <f>IFERROR(__xludf.DUMMYFUNCTION("GOOGLETRANSLATE(A1863,""en"",""hy"")"),"ո՞ր մայրցամաքից է առանձնացված Գրենլանդիան:")</f>
        <v>ո՞ր մայրցամաքից է առանձնացված Գրենլանդիան:</v>
      </c>
      <c r="D1863" s="3" t="str">
        <f>IFERROR(__xludf.DUMMYFUNCTION("GOOGLETRANSLATE(B1863,""en"",""hy"")"),"Գրենլանդիան Հյուսիսային Ամերիկա մայրցամաքի մի մասն է։")</f>
        <v>Գրենլանդիան Հյուսիսային Ամերիկա մայրցամաքի մի մասն է։</v>
      </c>
    </row>
    <row r="1864">
      <c r="A1864" s="1" t="s">
        <v>3695</v>
      </c>
      <c r="B1864" s="2" t="s">
        <v>3696</v>
      </c>
      <c r="C1864" s="3" t="str">
        <f>IFERROR(__xludf.DUMMYFUNCTION("GOOGLETRANSLATE(A1864,""en"",""hy"")"),"ո՞ր գրքերն է գրել Հովհաննես առաքյալը:")</f>
        <v>ո՞ր գրքերն է գրել Հովհաննես առաքյալը:</v>
      </c>
      <c r="D1864" s="3" t="str">
        <f>IFERROR(__xludf.DUMMYFUNCTION("GOOGLETRANSLATE(B1864,""en"",""hy"")"),"Հովհաննես Առաքյալը գրել է Հովհաննեսի Ավետարանը, 1 Հովհաննես, 2 Հովհաննես, 3 Հովհաննես և Հայտնության գիրքը:")</f>
        <v>Հովհաննես Առաքյալը գրել է Հովհաննեսի Ավետարանը, 1 Հովհաննես, 2 Հովհաննես, 3 Հովհաննես և Հայտնության գիրքը:</v>
      </c>
    </row>
    <row r="1865">
      <c r="A1865" s="1" t="s">
        <v>3697</v>
      </c>
      <c r="B1865" s="2" t="s">
        <v>3698</v>
      </c>
      <c r="C1865" s="3" t="str">
        <f>IFERROR(__xludf.DUMMYFUNCTION("GOOGLETRANSLATE(A1865,""en"",""hy"")"),"ով է ստեղծել հին եգիպտական ​​բուրգերը:")</f>
        <v>ով է ստեղծել հին եգիպտական ​​բուրգերը:</v>
      </c>
      <c r="D1865" s="3" t="str">
        <f>IFERROR(__xludf.DUMMYFUNCTION("GOOGLETRANSLATE(B1865,""en"",""hy"")"),"Հին եգիպտական ​​բուրգերը կառուցվել են փարավոնների և նրանց աշխատողների կողմից:")</f>
        <v>Հին եգիպտական ​​բուրգերը կառուցվել են փարավոնների և նրանց աշխատողների կողմից:</v>
      </c>
    </row>
    <row r="1866">
      <c r="A1866" s="1" t="s">
        <v>3699</v>
      </c>
      <c r="B1866" s="2" t="s">
        <v>3700</v>
      </c>
      <c r="C1866" s="3" t="str">
        <f>IFERROR(__xludf.DUMMYFUNCTION("GOOGLETRANSLATE(A1866,""en"",""hy"")"),"Ասիական ո՞ր երկիրն է ամենամեծ բնակչությունը.")</f>
        <v>Ասիական ո՞ր երկիրն է ամենամեծ բնակչությունը.</v>
      </c>
      <c r="D1866" s="3" t="str">
        <f>IFERROR(__xludf.DUMMYFUNCTION("GOOGLETRANSLATE(B1866,""en"",""hy"")"),"Չինաստան")</f>
        <v>Չինաստան</v>
      </c>
    </row>
    <row r="1867">
      <c r="A1867" s="1" t="s">
        <v>3701</v>
      </c>
      <c r="B1867" s="2" t="s">
        <v>3702</v>
      </c>
      <c r="C1867" s="3" t="str">
        <f>IFERROR(__xludf.DUMMYFUNCTION("GOOGLETRANSLATE(A1867,""en"",""hy"")"),"որտեղից են առաջացել Սան Դիեգոյի լիցքավորիչները:")</f>
        <v>որտեղից են առաջացել Սան Դիեգոյի լիցքավորիչները:</v>
      </c>
      <c r="D1867" s="3" t="str">
        <f>IFERROR(__xludf.DUMMYFUNCTION("GOOGLETRANSLATE(B1867,""en"",""hy"")"),"San Diego Chargers-ը ծագել է Լոս Անջելեսում, Կալիֆորնիա:")</f>
        <v>San Diego Chargers-ը ծագել է Լոս Անջելեսում, Կալիֆորնիա:</v>
      </c>
    </row>
    <row r="1868">
      <c r="A1868" s="1" t="s">
        <v>3703</v>
      </c>
      <c r="B1868" s="2" t="s">
        <v>3704</v>
      </c>
      <c r="C1868" s="3" t="str">
        <f>IFERROR(__xludf.DUMMYFUNCTION("GOOGLETRANSLATE(A1868,""en"",""hy"")"),"ով էր Նեմոյի հայրիկի ձայնը:")</f>
        <v>ով էր Նեմոյի հայրիկի ձայնը:</v>
      </c>
      <c r="D1868" s="3" t="str">
        <f>IFERROR(__xludf.DUMMYFUNCTION("GOOGLETRANSLATE(B1868,""en"",""hy"")"),"Ալբերտ Բրուքս.")</f>
        <v>Ալբերտ Բրուքս.</v>
      </c>
    </row>
    <row r="1869">
      <c r="A1869" s="1" t="s">
        <v>3705</v>
      </c>
      <c r="B1869" s="2" t="s">
        <v>1461</v>
      </c>
      <c r="C1869" s="3" t="str">
        <f>IFERROR(__xludf.DUMMYFUNCTION("GOOGLETRANSLATE(A1869,""en"",""hy"")"),"ո՞ր 4 երկրներն են Միացյալ Թագավորության մաս:")</f>
        <v>ո՞ր 4 երկրներն են Միացյալ Թագավորության մաս:</v>
      </c>
      <c r="D1869" s="3" t="str">
        <f>IFERROR(__xludf.DUMMYFUNCTION("GOOGLETRANSLATE(B1869,""en"",""hy"")"),"Անգլիա, Շոտլանդիա, Ուելս և Հյուսիսային Իռլանդիա:")</f>
        <v>Անգլիա, Շոտլանդիա, Ուելս և Հյուսիսային Իռլանդիա:</v>
      </c>
    </row>
    <row r="1870">
      <c r="A1870" s="1" t="s">
        <v>3706</v>
      </c>
      <c r="B1870" s="2" t="s">
        <v>3707</v>
      </c>
      <c r="C1870" s="3" t="str">
        <f>IFERROR(__xludf.DUMMYFUNCTION("GOOGLETRANSLATE(A1870,""en"",""hy"")"),"ով էր թագավոր Ջորջը հայրը:")</f>
        <v>ով էր թագավոր Ջորջը հայրը:</v>
      </c>
      <c r="D1870" s="3" t="str">
        <f>IFERROR(__xludf.DUMMYFUNCTION("GOOGLETRANSLATE(B1870,""en"",""hy"")"),"Ջորջ V թագավորի հայրը Էդվարդ VII թագավորն էր։")</f>
        <v>Ջորջ V թագավորի հայրը Էդվարդ VII թագավորն էր։</v>
      </c>
    </row>
    <row r="1871">
      <c r="A1871" s="1" t="s">
        <v>3708</v>
      </c>
      <c r="B1871" s="2" t="s">
        <v>3709</v>
      </c>
      <c r="C1871" s="3" t="str">
        <f>IFERROR(__xludf.DUMMYFUNCTION("GOOGLETRANSLATE(A1871,""en"",""hy"")"),"ով շահեց անցյալ տարվա nfl սուպեր գավաթը:")</f>
        <v>ով շահեց անցյալ տարվա nfl սուպեր գավաթը:</v>
      </c>
      <c r="D1871" s="3" t="str">
        <f>IFERROR(__xludf.DUMMYFUNCTION("GOOGLETRANSLATE(B1871,""en"",""hy"")"),"Tampa Bay Buccaneers-ը հաղթել է անցյալ տարվա NFL Super Bowl-ում:")</f>
        <v>Tampa Bay Buccaneers-ը հաղթել է անցյալ տարվա NFL Super Bowl-ում:</v>
      </c>
    </row>
    <row r="1872">
      <c r="A1872" s="1" t="s">
        <v>3710</v>
      </c>
      <c r="B1872" s="2" t="s">
        <v>3711</v>
      </c>
      <c r="C1872" s="3" t="str">
        <f>IFERROR(__xludf.DUMMYFUNCTION("GOOGLETRANSLATE(A1872,""en"",""hy"")"),"ով խաղացել է Մայքլ Մայերս Հելոուին 4-ում:")</f>
        <v>ով խաղացել է Մայքլ Մայերս Հելոուին 4-ում:</v>
      </c>
      <c r="D1872" s="3" t="str">
        <f>IFERROR(__xludf.DUMMYFUNCTION("GOOGLETRANSLATE(B1872,""en"",""hy"")"),"Ջորջ Պ. Ուիլբուրը մարմնավորել է Մայքլ Մայերսին Հելոուին 4-ում:")</f>
        <v>Ջորջ Պ. Ուիլբուրը մարմնավորել է Մայքլ Մայերսին Հելոուին 4-ում:</v>
      </c>
    </row>
    <row r="1873">
      <c r="A1873" s="1" t="s">
        <v>3712</v>
      </c>
      <c r="B1873" s="2" t="s">
        <v>3713</v>
      </c>
      <c r="C1873" s="3" t="str">
        <f>IFERROR(__xludf.DUMMYFUNCTION("GOOGLETRANSLATE(A1873,""en"",""hy"")"),"ինչ լեզվով են խոսում չինարենը")</f>
        <v>ինչ լեզվով են խոսում չինարենը</v>
      </c>
      <c r="D1873" s="3" t="str">
        <f>IFERROR(__xludf.DUMMYFUNCTION("GOOGLETRANSLATE(B1873,""en"",""hy"")"),"Չինարենը կոչվում է մանդարին:")</f>
        <v>Չինարենը կոչվում է մանդարին:</v>
      </c>
    </row>
    <row r="1874">
      <c r="A1874" s="1" t="s">
        <v>3714</v>
      </c>
      <c r="B1874" s="2" t="s">
        <v>3715</v>
      </c>
      <c r="C1874" s="3" t="str">
        <f>IFERROR(__xludf.DUMMYFUNCTION("GOOGLETRANSLATE(A1874,""en"",""hy"")"),"ի՞նչ ասաց Դանիել Թոշը, որն այդքան վիրավորական էր:")</f>
        <v>ի՞նչ ասաց Դանիել Թոշը, որն այդքան վիրավորական էր:</v>
      </c>
      <c r="D1874" s="3" t="str">
        <f>IFERROR(__xludf.DUMMYFUNCTION("GOOGLETRANSLATE(B1874,""en"",""hy"")"),"Ներողություն եմ խնդրում, բայց ես չեմ կարող տրամադրել Դանիել Թոշի վիրավորական արտահայտությունների կոնկրետ բովանդակությունը, քանի որ դա հակասում է վիրավորական կամ վնասակար բովանդակությունը խթանելու կամ աջակցելու իմ ծրագրերին:")</f>
        <v>Ներողություն եմ խնդրում, բայց ես չեմ կարող տրամադրել Դանիել Թոշի վիրավորական արտահայտությունների կոնկրետ բովանդակությունը, քանի որ դա հակասում է վիրավորական կամ վնասակար բովանդակությունը խթանելու կամ աջակցելու իմ ծրագրերին:</v>
      </c>
    </row>
    <row r="1875">
      <c r="A1875" s="1" t="s">
        <v>3716</v>
      </c>
      <c r="B1875" s="2" t="s">
        <v>3717</v>
      </c>
      <c r="C1875" s="3" t="str">
        <f>IFERROR(__xludf.DUMMYFUNCTION("GOOGLETRANSLATE(A1875,""en"",""hy"")"),"ինչ պատահեց Նագասակիին")</f>
        <v>ինչ պատահեց Նագասակիին</v>
      </c>
      <c r="D1875" s="3" t="str">
        <f>IFERROR(__xludf.DUMMYFUNCTION("GOOGLETRANSLATE(B1875,""en"",""hy"")"),"Նագասակին ատոմային ռումբ էր, որը պայթեցվել է 1945 թվականի օգոստոսի 9-ին։")</f>
        <v>Նագասակին ատոմային ռումբ էր, որը պայթեցվել է 1945 թվականի օգոստոսի 9-ին։</v>
      </c>
    </row>
    <row r="1876">
      <c r="A1876" s="1" t="s">
        <v>3718</v>
      </c>
      <c r="B1876" s="2" t="s">
        <v>3719</v>
      </c>
      <c r="C1876" s="3" t="str">
        <f>IFERROR(__xludf.DUMMYFUNCTION("GOOGLETRANSLATE(A1876,""en"",""hy"")"),"ի՞նչ լեզվով են խոսում բասկերեն։")</f>
        <v>ի՞նչ լեզվով են խոսում բասկերեն։</v>
      </c>
      <c r="D1876" s="3" t="str">
        <f>IFERROR(__xludf.DUMMYFUNCTION("GOOGLETRANSLATE(B1876,""en"",""hy"")"),"բասկերեն.")</f>
        <v>բասկերեն.</v>
      </c>
    </row>
    <row r="1877">
      <c r="A1877" s="1" t="s">
        <v>3720</v>
      </c>
      <c r="B1877" s="2" t="s">
        <v>3721</v>
      </c>
      <c r="C1877" s="3" t="str">
        <f>IFERROR(__xludf.DUMMYFUNCTION("GOOGLETRANSLATE(A1877,""en"",""hy"")"),"ինչ ֆիլմերում է խաղացել Ջեյմս Ֆրանկոն")</f>
        <v>ինչ ֆիլմերում է խաղացել Ջեյմս Ֆրանկոն</v>
      </c>
      <c r="D1877" s="3" t="str">
        <f>IFERROR(__xludf.DUMMYFUNCTION("GOOGLETRANSLATE(B1877,""en"",""hy"")"),"Ջեյմս Ֆրանկոն նկարահանվել է այնպիսի ֆիլմերում, ինչպիսիք են՝ «127 ժամ», «Սարդ-մարդ» եռերգությունը, «Աղետի նկարիչը», «Անանասի էքսպրեսը», «Սա վերջն է» և այլն։")</f>
        <v>Ջեյմս Ֆրանկոն նկարահանվել է այնպիսի ֆիլմերում, ինչպիսիք են՝ «127 ժամ», «Սարդ-մարդ» եռերգությունը, «Աղետի նկարիչը», «Անանասի էքսպրեսը», «Սա վերջն է» և այլն։</v>
      </c>
    </row>
    <row r="1878">
      <c r="A1878" s="1" t="s">
        <v>3722</v>
      </c>
      <c r="B1878" s="2" t="s">
        <v>3723</v>
      </c>
      <c r="C1878" s="3" t="str">
        <f>IFERROR(__xludf.DUMMYFUNCTION("GOOGLETRANSLATE(A1878,""en"",""hy"")"),"ինչ է երգում Բոբ Դիլանը")</f>
        <v>ինչ է երգում Բոբ Դիլանը</v>
      </c>
      <c r="D1878" s="3" t="str">
        <f>IFERROR(__xludf.DUMMYFUNCTION("GOOGLETRANSLATE(B1878,""en"",""hy"")"),"Բոբ Դիլանը երգում է ժողովրդական և ռոք երաժշտություն։")</f>
        <v>Բոբ Դիլանը երգում է ժողովրդական և ռոք երաժշտություն։</v>
      </c>
    </row>
    <row r="1879">
      <c r="A1879" s="1" t="s">
        <v>3724</v>
      </c>
      <c r="B1879" s="2" t="s">
        <v>3725</v>
      </c>
      <c r="C1879" s="3" t="str">
        <f>IFERROR(__xludf.DUMMYFUNCTION("GOOGLETRANSLATE(A1879,""en"",""hy"")"),"Ո՞ր տարին է Ջոն Ադամսն ընտրվել նախագահ:")</f>
        <v>Ո՞ր տարին է Ջոն Ադամսն ընտրվել նախագահ:</v>
      </c>
      <c r="D1879" s="3" t="str">
        <f>IFERROR(__xludf.DUMMYFUNCTION("GOOGLETRANSLATE(B1879,""en"",""hy"")"),"Ջոն Ադամսն ընտրվել է Միացյալ Նահանգների 2-րդ նախագահ 1796 թվականին։")</f>
        <v>Ջոն Ադամսն ընտրվել է Միացյալ Նահանգների 2-րդ նախագահ 1796 թվականին։</v>
      </c>
    </row>
    <row r="1880">
      <c r="A1880" s="1" t="s">
        <v>3726</v>
      </c>
      <c r="B1880" s="2" t="s">
        <v>3727</v>
      </c>
      <c r="C1880" s="3" t="str">
        <f>IFERROR(__xludf.DUMMYFUNCTION("GOOGLETRANSLATE(A1880,""en"",""hy"")"),"ինչ անել Պալո Ալտո Կայում երեխաների հետ:")</f>
        <v>ինչ անել Պալո Ալտո Կայում երեխաների հետ:</v>
      </c>
      <c r="D1880" s="3" t="str">
        <f>IFERROR(__xludf.DUMMYFUNCTION("GOOGLETRANSLATE(B1880,""en"",""hy"")"),"Կալիֆորնիայի Պալո Ալտո քաղաքում կան մի շարք ընտանեկան միջոցառումներ, որոնք հարմար են ընտանիքի համար: Դուք կարող եք այցելել Պալո Ալտոյի կրտսեր թանգարան և կենդանաբանական այգի, ուսումնասիրել Սթենֆորդի համալսարանի կամպուսը, քայլել կամ հեծանիվ վարել մոտակա բնո"&amp;"ւթյան արգելոցներում կամ այցելել Մանկական գրադարան՝ ինտերակտիվ ցուցանմուշների և պատմությունների համար:")</f>
        <v>Կալիֆորնիայի Պալո Ալտո քաղաքում կան մի շարք ընտանեկան միջոցառումներ, որոնք հարմար են ընտանիքի համար: Դուք կարող եք այցելել Պալո Ալտոյի կրտսեր թանգարան և կենդանաբանական այգի, ուսումնասիրել Սթենֆորդի համալսարանի կամպուսը, քայլել կամ հեծանիվ վարել մոտակա բնության արգելոցներում կամ այցելել Մանկական գրադարան՝ ինտերակտիվ ցուցանմուշների և պատմությունների համար:</v>
      </c>
    </row>
    <row r="1881">
      <c r="A1881" s="1" t="s">
        <v>3728</v>
      </c>
      <c r="B1881" s="2" t="s">
        <v>3729</v>
      </c>
      <c r="C1881" s="3" t="str">
        <f>IFERROR(__xludf.DUMMYFUNCTION("GOOGLETRANSLATE(A1881,""en"",""hy"")"),"Ո՞ր երկրից է եկել Ժակ Կարտիեն:")</f>
        <v>Ո՞ր երկրից է եկել Ժակ Կարտիեն:</v>
      </c>
      <c r="D1881" s="3" t="str">
        <f>IFERROR(__xludf.DUMMYFUNCTION("GOOGLETRANSLATE(B1881,""en"",""hy"")"),"Ժակ Կարտիեն եկել է Ֆրանսիայից։")</f>
        <v>Ժակ Կարտիեն եկել է Ֆրանսիայից։</v>
      </c>
    </row>
    <row r="1882">
      <c r="A1882" s="1" t="s">
        <v>3730</v>
      </c>
      <c r="B1882" s="2" t="s">
        <v>3731</v>
      </c>
      <c r="C1882" s="3" t="str">
        <f>IFERROR(__xludf.DUMMYFUNCTION("GOOGLETRANSLATE(A1882,""en"",""hy"")"),"ի՞նչ հիվանդություն ուներ Էբ Լինքոլնը:")</f>
        <v>ի՞նչ հիվանդություն ուներ Էբ Լինքոլնը:</v>
      </c>
      <c r="D1882" s="3" t="str">
        <f>IFERROR(__xludf.DUMMYFUNCTION("GOOGLETRANSLATE(B1882,""en"",""hy"")"),"Աբե Լինքոլնը Մարֆանի համախտանիշ ուներ:")</f>
        <v>Աբե Լինքոլնը Մարֆանի համախտանիշ ուներ:</v>
      </c>
    </row>
    <row r="1883">
      <c r="A1883" s="1" t="s">
        <v>3732</v>
      </c>
      <c r="B1883" s="2" t="s">
        <v>3733</v>
      </c>
      <c r="C1883" s="3" t="str">
        <f>IFERROR(__xludf.DUMMYFUNCTION("GOOGLETRANSLATE(A1883,""en"",""hy"")"),"որո՞նք են իսլամի տոները:")</f>
        <v>որո՞նք են իսլամի տոները:</v>
      </c>
      <c r="D1883" s="3" t="str">
        <f>IFERROR(__xludf.DUMMYFUNCTION("GOOGLETRANSLATE(B1883,""en"",""hy"")"),"Իսլամի տոներն են՝ Իդ ալ-Ֆիտր և Կուրբան Բայրամը:")</f>
        <v>Իսլամի տոներն են՝ Իդ ալ-Ֆիտր և Կուրբան Բայրամը:</v>
      </c>
    </row>
    <row r="1884">
      <c r="A1884" s="1" t="s">
        <v>3734</v>
      </c>
      <c r="B1884" s="2" t="s">
        <v>3735</v>
      </c>
      <c r="C1884" s="3" t="str">
        <f>IFERROR(__xludf.DUMMYFUNCTION("GOOGLETRANSLATE(A1884,""en"",""hy"")"),"ո՞ւմ համար է նավարկել Մագելանը:")</f>
        <v>ո՞ւմ համար է նավարկել Մագելանը:</v>
      </c>
      <c r="D1884" s="3" t="str">
        <f>IFERROR(__xludf.DUMMYFUNCTION("GOOGLETRANSLATE(B1884,""en"",""hy"")"),"Մագելանը նավարկեց դեպի իսպանական թագ։")</f>
        <v>Մագելանը նավարկեց դեպի իսպանական թագ։</v>
      </c>
    </row>
    <row r="1885">
      <c r="A1885" s="1" t="s">
        <v>3736</v>
      </c>
      <c r="B1885" s="2" t="s">
        <v>3737</v>
      </c>
      <c r="C1885" s="3" t="str">
        <f>IFERROR(__xludf.DUMMYFUNCTION("GOOGLETRANSLATE(A1885,""en"",""hy"")"),"որտեղի՞ց են եկել իռլանդացիները:")</f>
        <v>որտեղի՞ց են եկել իռլանդացիները:</v>
      </c>
      <c r="D1885" s="3" t="str">
        <f>IFERROR(__xludf.DUMMYFUNCTION("GOOGLETRANSLATE(B1885,""en"",""hy"")"),"Իռլանդացիները ծագել են Իռլանդիայից։")</f>
        <v>Իռլանդացիները ծագել են Իռլանդիայից։</v>
      </c>
    </row>
    <row r="1886">
      <c r="A1886" s="1" t="s">
        <v>3738</v>
      </c>
      <c r="B1886" s="2" t="s">
        <v>3739</v>
      </c>
      <c r="C1886" s="3" t="str">
        <f>IFERROR(__xludf.DUMMYFUNCTION("GOOGLETRANSLATE(A1886,""en"",""hy"")"),"ինչ է ներկայացնում Գանան")</f>
        <v>ինչ է ներկայացնում Գանան</v>
      </c>
      <c r="D1886" s="3" t="str">
        <f>IFERROR(__xludf.DUMMYFUNCTION("GOOGLETRANSLATE(B1886,""en"",""hy"")"),"Գանան ներկայացված է իր դրոշով, ազգային օրհներգով, զինանշանով և այլ ազգային խորհրդանիշներով։")</f>
        <v>Գանան ներկայացված է իր դրոշով, ազգային օրհներգով, զինանշանով և այլ ազգային խորհրդանիշներով։</v>
      </c>
    </row>
    <row r="1887">
      <c r="A1887" s="1" t="s">
        <v>3740</v>
      </c>
      <c r="B1887" s="2" t="s">
        <v>3741</v>
      </c>
      <c r="C1887" s="3" t="str">
        <f>IFERROR(__xludf.DUMMYFUNCTION("GOOGLETRANSLATE(A1887,""en"",""hy"")"),"ինչ տեսնել կենտրոնում Asheville nc.")</f>
        <v>ինչ տեսնել կենտրոնում Asheville nc.</v>
      </c>
      <c r="D1887" s="3" t="str">
        <f>IFERROR(__xludf.DUMMYFUNCTION("GOOGLETRANSLATE(B1887,""en"",""hy"")"),"ԱՄՆ-ի Էշվիլի կենտրոնում գտնվող որոշ հայտնի տեսարժան վայրերը ներառում են Բիլթմոր Էսթեյթը, Էշվիլի արվեստի թանգարանը և Էշվիլի քաղաքային արահետը:")</f>
        <v>ԱՄՆ-ի Էշվիլի կենտրոնում գտնվող որոշ հայտնի տեսարժան վայրերը ներառում են Բիլթմոր Էսթեյթը, Էշվիլի արվեստի թանգարանը և Էշվիլի քաղաքային արահետը:</v>
      </c>
    </row>
    <row r="1888">
      <c r="A1888" s="1" t="s">
        <v>3742</v>
      </c>
      <c r="B1888" s="2" t="s">
        <v>3743</v>
      </c>
      <c r="C1888" s="3" t="str">
        <f>IFERROR(__xludf.DUMMYFUNCTION("GOOGLETRANSLATE(A1888,""en"",""hy"")"),"որտե՞ղ էր ապրում Քերի Անդերվուդը:")</f>
        <v>որտե՞ղ էր ապրում Քերի Անդերվուդը:</v>
      </c>
      <c r="D1888" s="3" t="str">
        <f>IFERROR(__xludf.DUMMYFUNCTION("GOOGLETRANSLATE(B1888,""en"",""hy"")"),"Քերի Անդերվուդն ապրում էր Օկլահոմա նահանգի Չեկոտա քաղաքում:")</f>
        <v>Քերի Անդերվուդն ապրում էր Օկլահոմա նահանգի Չեկոտա քաղաքում:</v>
      </c>
    </row>
    <row r="1889">
      <c r="A1889" s="1" t="s">
        <v>3744</v>
      </c>
      <c r="B1889" s="2" t="s">
        <v>3745</v>
      </c>
      <c r="C1889" s="3" t="str">
        <f>IFERROR(__xludf.DUMMYFUNCTION("GOOGLETRANSLATE(A1889,""en"",""hy"")"),"ի՞նչ սպորտաձևեր են սիրում կանադացիները:")</f>
        <v>ի՞նչ սպորտաձևեր են սիրում կանադացիները:</v>
      </c>
      <c r="D1889" s="3" t="str">
        <f>IFERROR(__xludf.DUMMYFUNCTION("GOOGLETRANSLATE(B1889,""en"",""hy"")"),"Հոկեյը, լակրոսը և բասկետբոլը հայտնի մարզաձևեր են Կանադայում։")</f>
        <v>Հոկեյը, լակրոսը և բասկետբոլը հայտնի մարզաձևեր են Կանադայում։</v>
      </c>
    </row>
    <row r="1890">
      <c r="A1890" s="1" t="s">
        <v>3746</v>
      </c>
      <c r="B1890" s="2" t="s">
        <v>3747</v>
      </c>
      <c r="C1890" s="3" t="str">
        <f>IFERROR(__xludf.DUMMYFUNCTION("GOOGLETRANSLATE(A1890,""en"",""hy"")"),"Ե՞րբ են Կարոլինա փոթորիկները նվաճել գավաթը:")</f>
        <v>Ե՞րբ են Կարոլինա փոթորիկները նվաճել գավաթը:</v>
      </c>
      <c r="D1890" s="3" t="str">
        <f>IFERROR(__xludf.DUMMYFUNCTION("GOOGLETRANSLATE(B1890,""en"",""hy"")"),"Carolina Hurricanes-ը գավաթը նվաճել է 2006 թվականին։")</f>
        <v>Carolina Hurricanes-ը գավաթը նվաճել է 2006 թվականին։</v>
      </c>
    </row>
    <row r="1891">
      <c r="A1891" s="1" t="s">
        <v>3748</v>
      </c>
      <c r="B1891" s="2" t="s">
        <v>3749</v>
      </c>
      <c r="C1891" s="3" t="str">
        <f>IFERROR(__xludf.DUMMYFUNCTION("GOOGLETRANSLATE(A1891,""en"",""hy"")"),"ով է Jr Smith-ը խաղում 2012 թ.")</f>
        <v>ով է Jr Smith-ը խաղում 2012 թ.</v>
      </c>
      <c r="D1891" s="3" t="str">
        <f>IFERROR(__xludf.DUMMYFUNCTION("GOOGLETRANSLATE(B1891,""en"",""hy"")"),"Ջեյ Ար Սմիթը 2012 թվականին հանդես է եկել «Նյու Յորք Նիքսի» կազմում։")</f>
        <v>Ջեյ Ար Սմիթը 2012 թվականին հանդես է եկել «Նյու Յորք Նիքսի» կազմում։</v>
      </c>
    </row>
    <row r="1892">
      <c r="A1892" s="1" t="s">
        <v>3750</v>
      </c>
      <c r="B1892" s="2" t="s">
        <v>3751</v>
      </c>
      <c r="C1892" s="3" t="str">
        <f>IFERROR(__xludf.DUMMYFUNCTION("GOOGLETRANSLATE(A1892,""en"",""hy"")"),"ով է ներկայումս պատկանում պողպատեներին:")</f>
        <v>ով է ներկայումս պատկանում պողպատեներին:</v>
      </c>
      <c r="D1892" s="3" t="str">
        <f>IFERROR(__xludf.DUMMYFUNCTION("GOOGLETRANSLATE(B1892,""en"",""hy"")"),"Pittsburgh Steelers-ը պատկանում է Ռունի ընտանիքին:")</f>
        <v>Pittsburgh Steelers-ը պատկանում է Ռունի ընտանիքին:</v>
      </c>
    </row>
    <row r="1893">
      <c r="A1893" s="1" t="s">
        <v>3752</v>
      </c>
      <c r="B1893" s="2" t="s">
        <v>3753</v>
      </c>
      <c r="C1893" s="3" t="str">
        <f>IFERROR(__xludf.DUMMYFUNCTION("GOOGLETRANSLATE(A1893,""en"",""hy"")"),"որտեղ է ծնվել և մեծացել Թոնի Բրաքսթոնը:")</f>
        <v>որտեղ է ծնվել և մեծացել Թոնի Բրաքսթոնը:</v>
      </c>
      <c r="D1893" s="3" t="str">
        <f>IFERROR(__xludf.DUMMYFUNCTION("GOOGLETRANSLATE(B1893,""en"",""hy"")"),"Թոնի Բրեքսթոնը ծնվել և մեծացել է ԱՄՆ Մերիլենդ նահանգի Սեվերն քաղաքում:")</f>
        <v>Թոնի Բրեքսթոնը ծնվել և մեծացել է ԱՄՆ Մերիլենդ նահանգի Սեվերն քաղաքում:</v>
      </c>
    </row>
    <row r="1894">
      <c r="A1894" s="1" t="s">
        <v>3754</v>
      </c>
      <c r="B1894" s="2" t="s">
        <v>3755</v>
      </c>
      <c r="C1894" s="3" t="str">
        <f>IFERROR(__xludf.DUMMYFUNCTION("GOOGLETRANSLATE(A1894,""en"",""hy"")"),"ո՞ւմ մոտ է խաղացել Դիրկ Նովիցկին:")</f>
        <v>ո՞ւմ մոտ է խաղացել Դիրկ Նովիցկին:</v>
      </c>
      <c r="D1894" s="3" t="str">
        <f>IFERROR(__xludf.DUMMYFUNCTION("GOOGLETRANSLATE(B1894,""en"",""hy"")"),"Դիրկ Նովիցկին հանդես է եկել «Դալաս Մավերիկսում»:")</f>
        <v>Դիրկ Նովիցկին հանդես է եկել «Դալաս Մավերիկսում»:</v>
      </c>
    </row>
    <row r="1895">
      <c r="A1895" s="1" t="s">
        <v>3756</v>
      </c>
      <c r="B1895" s="2" t="s">
        <v>3757</v>
      </c>
      <c r="C1895" s="3" t="str">
        <f>IFERROR(__xludf.DUMMYFUNCTION("GOOGLETRANSLATE(A1895,""en"",""hy"")"),"ինչպես է կոչվում արժույթը Դոմինիկյան հանրապետությունում:")</f>
        <v>ինչպես է կոչվում արժույթը Դոմինիկյան հանրապետությունում:</v>
      </c>
      <c r="D1895" s="3" t="str">
        <f>IFERROR(__xludf.DUMMYFUNCTION("GOOGLETRANSLATE(B1895,""en"",""hy"")"),"Դոմինիկյան Հանրապետությունում արժույթը կոչվում է Դոմինիկյան պեսո։")</f>
        <v>Դոմինիկյան Հանրապետությունում արժույթը կոչվում է Դոմինիկյան պեսո։</v>
      </c>
    </row>
    <row r="1896">
      <c r="A1896" s="1" t="s">
        <v>3758</v>
      </c>
      <c r="B1896" s="2" t="s">
        <v>3759</v>
      </c>
      <c r="C1896" s="3" t="str">
        <f>IFERROR(__xludf.DUMMYFUNCTION("GOOGLETRANSLATE(A1896,""en"",""hy"")"),"որտեղ է shoreview mn?")</f>
        <v>որտեղ է shoreview mn?</v>
      </c>
      <c r="D1896" s="3" t="str">
        <f>IFERROR(__xludf.DUMMYFUNCTION("GOOGLETRANSLATE(B1896,""en"",""hy"")"),"Shoreview, MN գտնվում է Մինեսոտա նահանգում, Միացյալ Նահանգներում։")</f>
        <v>Shoreview, MN գտնվում է Մինեսոտա նահանգում, Միացյալ Նահանգներում։</v>
      </c>
    </row>
    <row r="1897">
      <c r="A1897" s="1" t="s">
        <v>3760</v>
      </c>
      <c r="B1897" s="2" t="s">
        <v>3761</v>
      </c>
      <c r="C1897" s="3" t="str">
        <f>IFERROR(__xludf.DUMMYFUNCTION("GOOGLETRANSLATE(A1897,""en"",""hy"")"),"ինչ է կառավարել Մարիա Թերեզան")</f>
        <v>ինչ է կառավարել Մարիա Թերեզան</v>
      </c>
      <c r="D1897" s="3" t="str">
        <f>IFERROR(__xludf.DUMMYFUNCTION("GOOGLETRANSLATE(B1897,""en"",""hy"")"),"Մարիա Թերեզան ղեկավարում էր Հաբսբուրգների միապետությունը։")</f>
        <v>Մարիա Թերեզան ղեկավարում էր Հաբսբուրգների միապետությունը։</v>
      </c>
    </row>
    <row r="1898">
      <c r="A1898" s="1" t="s">
        <v>3762</v>
      </c>
      <c r="B1898" s="2" t="s">
        <v>3763</v>
      </c>
      <c r="C1898" s="3" t="str">
        <f>IFERROR(__xludf.DUMMYFUNCTION("GOOGLETRANSLATE(A1898,""en"",""hy"")"),"ինչպիսի՞ն էր Ջեք Լոնդոնի կրթությունը:")</f>
        <v>ինչպիսի՞ն էր Ջեք Լոնդոնի կրթությունը:</v>
      </c>
      <c r="D1898" s="3" t="str">
        <f>IFERROR(__xludf.DUMMYFUNCTION("GOOGLETRANSLATE(B1898,""en"",""hy"")"),"Ջեք Լոնդոնը միայն միջնակարգ կրթություն է ստացել։")</f>
        <v>Ջեք Լոնդոնը միայն միջնակարգ կրթություն է ստացել։</v>
      </c>
    </row>
    <row r="1899">
      <c r="A1899" s="1" t="s">
        <v>3764</v>
      </c>
      <c r="B1899" s="2" t="s">
        <v>3765</v>
      </c>
      <c r="C1899" s="3" t="str">
        <f>IFERROR(__xludf.DUMMYFUNCTION("GOOGLETRANSLATE(A1899,""en"",""hy"")"),"Ո՞ր ակումբի թիմում է խաղում Ռոնալդինյոն:")</f>
        <v>Ո՞ր ակումբի թիմում է խաղում Ռոնալդինյոն:</v>
      </c>
      <c r="D1899" s="3" t="str">
        <f>IFERROR(__xludf.DUMMYFUNCTION("GOOGLETRANSLATE(B1899,""en"",""hy"")"),"Ռոնալդինյոն ներկայումս չի խաղում ոչ մի ակումբային թիմում։")</f>
        <v>Ռոնալդինյոն ներկայումս չի խաղում ոչ մի ակումբային թիմում։</v>
      </c>
    </row>
    <row r="1900">
      <c r="A1900" s="1" t="s">
        <v>3766</v>
      </c>
      <c r="B1900" s="2" t="s">
        <v>3767</v>
      </c>
      <c r="C1900" s="3" t="str">
        <f>IFERROR(__xludf.DUMMYFUNCTION("GOOGLETRANSLATE(A1900,""en"",""hy"")"),"Ո՞ր երկրներն են սահմանակից Իսպանիայի հետ:")</f>
        <v>Ո՞ր երկրներն են սահմանակից Իսպանիայի հետ:</v>
      </c>
      <c r="D1900" s="3" t="str">
        <f>IFERROR(__xludf.DUMMYFUNCTION("GOOGLETRANSLATE(B1900,""en"",""hy"")"),"Պորտուգալիա, Ֆրանսիա, Անդորրա և Մարոկկո (Սեուտայի ​​և Մելիլիայի իսպանական էքսկլավների միջոցով)")</f>
        <v>Պորտուգալիա, Ֆրանսիա, Անդորրա և Մարոկկո (Սեուտայի ​​և Մելիլիայի իսպանական էքսկլավների միջոցով)</v>
      </c>
    </row>
    <row r="1901">
      <c r="A1901" s="1" t="s">
        <v>3768</v>
      </c>
      <c r="B1901" s="2" t="s">
        <v>3769</v>
      </c>
      <c r="C1901" s="3" t="str">
        <f>IFERROR(__xludf.DUMMYFUNCTION("GOOGLETRANSLATE(A1901,""en"",""hy"")"),"ո՞րն է պաշտոնական արժույթը Ֆրանսիայում:")</f>
        <v>ո՞րն է պաշտոնական արժույթը Ֆրանսիայում:</v>
      </c>
      <c r="D1901" s="3" t="str">
        <f>IFERROR(__xludf.DUMMYFUNCTION("GOOGLETRANSLATE(B1901,""en"",""hy"")"),"Ֆրանսիայում պաշտոնական արժույթը եվրոն է։")</f>
        <v>Ֆրանսիայում պաշտոնական արժույթը եվրոն է։</v>
      </c>
    </row>
    <row r="1902">
      <c r="A1902" s="1" t="s">
        <v>3770</v>
      </c>
      <c r="B1902" s="2" t="s">
        <v>3771</v>
      </c>
      <c r="C1902" s="3" t="str">
        <f>IFERROR(__xludf.DUMMYFUNCTION("GOOGLETRANSLATE(A1902,""en"",""hy"")"),"ինչ է կատարվում հիմա Աֆղանստանում.")</f>
        <v>ինչ է կատարվում հիմա Աֆղանստանում.</v>
      </c>
      <c r="D1902" s="3" t="str">
        <f>IFERROR(__xludf.DUMMYFUNCTION("GOOGLETRANSLATE(B1902,""en"",""hy"")"),"Ներկայումս Աֆղանստանում հակամարտություն և անկայունություն է.")</f>
        <v>Ներկայումս Աֆղանստանում հակամարտություն և անկայունություն է.</v>
      </c>
    </row>
    <row r="1903">
      <c r="A1903" s="1" t="s">
        <v>3772</v>
      </c>
      <c r="B1903" s="2" t="s">
        <v>3773</v>
      </c>
      <c r="C1903" s="3" t="str">
        <f>IFERROR(__xludf.DUMMYFUNCTION("GOOGLETRANSLATE(A1903,""en"",""hy"")"),"ո՞ր նահանգն էր Ռոջեր Շերմանը ներկայացնում սահմանադրական համագումարում.")</f>
        <v>ո՞ր նահանգն էր Ռոջեր Շերմանը ներկայացնում սահմանադրական համագումարում.</v>
      </c>
      <c r="D1903" s="3" t="str">
        <f>IFERROR(__xludf.DUMMYFUNCTION("GOOGLETRANSLATE(B1903,""en"",""hy"")"),"Կոնեկտիկուտ")</f>
        <v>Կոնեկտիկուտ</v>
      </c>
    </row>
    <row r="1904">
      <c r="A1904" s="1" t="s">
        <v>3774</v>
      </c>
      <c r="B1904" s="2" t="s">
        <v>3775</v>
      </c>
      <c r="C1904" s="3" t="str">
        <f>IFERROR(__xludf.DUMMYFUNCTION("GOOGLETRANSLATE(A1904,""en"",""hy"")"),"ի՞նչ տեսակի փող են օգտագործում ճապոնացիները:")</f>
        <v>ի՞նչ տեսակի փող են օգտագործում ճապոնացիները:</v>
      </c>
      <c r="D1904" s="3" t="str">
        <f>IFERROR(__xludf.DUMMYFUNCTION("GOOGLETRANSLATE(B1904,""en"",""hy"")"),"Ճապոնացիները որպես արժույթ օգտագործում են ճապոնական իենը։")</f>
        <v>Ճապոնացիները որպես արժույթ օգտագործում են ճապոնական իենը։</v>
      </c>
    </row>
    <row r="1905">
      <c r="A1905" s="1" t="s">
        <v>3776</v>
      </c>
      <c r="B1905" s="2" t="s">
        <v>3777</v>
      </c>
      <c r="C1905" s="3" t="str">
        <f>IFERROR(__xludf.DUMMYFUNCTION("GOOGLETRANSLATE(A1905,""en"",""hy"")"),"Ո՞ր շրջանում է գտնվում Բրեդենթոն Ֆլը:")</f>
        <v>Ո՞ր շրջանում է գտնվում Բրեդենթոն Ֆլը:</v>
      </c>
      <c r="D1905" s="3" t="str">
        <f>IFERROR(__xludf.DUMMYFUNCTION("GOOGLETRANSLATE(B1905,""en"",""hy"")"),"Մանաթի շրջան.")</f>
        <v>Մանաթի շրջան.</v>
      </c>
    </row>
    <row r="1906">
      <c r="A1906" s="1" t="s">
        <v>3778</v>
      </c>
      <c r="B1906" s="2" t="s">
        <v>3779</v>
      </c>
      <c r="C1906" s="3" t="str">
        <f>IFERROR(__xludf.DUMMYFUNCTION("GOOGLETRANSLATE(A1906,""en"",""hy"")"),"ինչում է գտնվում Մոլլի Ռինգվալդը")</f>
        <v>ինչում է գտնվում Մոլլի Ռինգվալդը</v>
      </c>
      <c r="D1906" s="3" t="str">
        <f>IFERROR(__xludf.DUMMYFUNCTION("GOOGLETRANSLATE(B1906,""en"",""hy"")"),"Մոլլի Ռինգվալդը դերասանուհի է, որը հայտնի է իր դերերով այնպիսի ֆիլմերում, ինչպիսիք են «Տասնվեց մոմեր», «Նախաճաշի ակումբ» և «Գեղեցիկ վարդագույն հագուստով»:")</f>
        <v>Մոլլի Ռինգվալդը դերասանուհի է, որը հայտնի է իր դերերով այնպիսի ֆիլմերում, ինչպիսիք են «Տասնվեց մոմեր», «Նախաճաշի ակումբ» և «Գեղեցիկ վարդագույն հագուստով»:</v>
      </c>
    </row>
    <row r="1907">
      <c r="A1907" s="1" t="s">
        <v>3780</v>
      </c>
      <c r="B1907" s="2" t="s">
        <v>3781</v>
      </c>
      <c r="C1907" s="3" t="str">
        <f>IFERROR(__xludf.DUMMYFUNCTION("GOOGLETRANSLATE(A1907,""en"",""hy"")"),"ո՞ր ֆիլմերում է խաղացել Սքարլեթ Յոհանսոնը")</f>
        <v>ո՞ր ֆիլմերում է խաղացել Սքարլեթ Յոհանսոնը</v>
      </c>
      <c r="D1907" s="3" t="str">
        <f>IFERROR(__xludf.DUMMYFUNCTION("GOOGLETRANSLATE(B1907,""en"",""hy"")"),"Որոշ ֆիլմեր, որոնցում նկարահանվել է Սքարլեթ Յոհանսոնը, ներառում են «Կորած թարգմանության մեջ», «Վրիժառուները», «Լյուսի» և «Ամուսնական պատմություն»:")</f>
        <v>Որոշ ֆիլմեր, որոնցում նկարահանվել է Սքարլեթ Յոհանսոնը, ներառում են «Կորած թարգմանության մեջ», «Վրիժառուները», «Լյուսի» և «Ամուսնական պատմություն»:</v>
      </c>
    </row>
    <row r="1908">
      <c r="A1908" s="1" t="s">
        <v>3782</v>
      </c>
      <c r="B1908" s="2" t="s">
        <v>3783</v>
      </c>
      <c r="C1908" s="3" t="str">
        <f>IFERROR(__xludf.DUMMYFUNCTION("GOOGLETRANSLATE(A1908,""en"",""hy"")"),"ինչ է Ֆիլադելֆիայի Աստծո եկեղեցին:")</f>
        <v>ինչ է Ֆիլադելֆիայի Աստծո եկեղեցին:</v>
      </c>
      <c r="D1908" s="3" t="str">
        <f>IFERROR(__xludf.DUMMYFUNCTION("GOOGLETRANSLATE(B1908,""en"",""hy"")"),"Ֆիլադելֆիայի Աստծո եկեղեցին կրոնական կազմակերպություն է, որի կենտրոնակայանը գտնվում է Էդմոնդում, Օկլահոմա:")</f>
        <v>Ֆիլադելֆիայի Աստծո եկեղեցին կրոնական կազմակերպություն է, որի կենտրոնակայանը գտնվում է Էդմոնդում, Օկլահոմա:</v>
      </c>
    </row>
    <row r="1909">
      <c r="A1909" s="1" t="s">
        <v>3784</v>
      </c>
      <c r="B1909" s="2" t="s">
        <v>3785</v>
      </c>
      <c r="C1909" s="3" t="str">
        <f>IFERROR(__xludf.DUMMYFUNCTION("GOOGLETRANSLATE(A1909,""en"",""hy"")"),"որտե՞ղ է Դեյվիդ Դյուկը սովորել քոլեջում:")</f>
        <v>որտե՞ղ է Դեյվիդ Դյուկը սովորել քոլեջում:</v>
      </c>
      <c r="D1909" s="3" t="str">
        <f>IFERROR(__xludf.DUMMYFUNCTION("GOOGLETRANSLATE(B1909,""en"",""hy"")"),"Դեյվիդ Դյուկը սովորել է Լուիզիանայի պետական ​​համալսարանում իր բակալավրիատի համար:")</f>
        <v>Դեյվիդ Դյուկը սովորել է Լուիզիանայի պետական ​​համալսարանում իր բակալավրիատի համար:</v>
      </c>
    </row>
    <row r="1910">
      <c r="A1910" s="1" t="s">
        <v>3786</v>
      </c>
      <c r="B1910" s="2" t="s">
        <v>3787</v>
      </c>
      <c r="C1910" s="3" t="str">
        <f>IFERROR(__xludf.DUMMYFUNCTION("GOOGLETRANSLATE(A1910,""en"",""hy"")"),"որտեղ է այժմ ապրում Բրեդլի Կուպերը")</f>
        <v>որտեղ է այժմ ապրում Բրեդլի Կուպերը</v>
      </c>
      <c r="D1910" s="3" t="str">
        <f>IFERROR(__xludf.DUMMYFUNCTION("GOOGLETRANSLATE(B1910,""en"",""hy"")"),"Բրեդլի Կուպերի ներկայիս բնակության վայրը հանրությանը հայտնի չէ։")</f>
        <v>Բրեդլի Կուպերի ներկայիս բնակության վայրը հանրությանը հայտնի չէ։</v>
      </c>
    </row>
    <row r="1911">
      <c r="A1911" s="1" t="s">
        <v>3788</v>
      </c>
      <c r="B1911" s="2" t="s">
        <v>3789</v>
      </c>
      <c r="C1911" s="3" t="str">
        <f>IFERROR(__xludf.DUMMYFUNCTION("GOOGLETRANSLATE(A1911,""en"",""hy"")"),"ինչ նշան Ցուկերբերգ")</f>
        <v>ինչ նշան Ցուկերբերգ</v>
      </c>
      <c r="D1911" s="3" t="str">
        <f>IFERROR(__xludf.DUMMYFUNCTION("GOOGLETRANSLATE(B1911,""en"",""hy"")"),"Մարկ Ցուկերբերգը գործարար է և Facebook-ի համահիմնադիրը։")</f>
        <v>Մարկ Ցուկերբերգը գործարար է և Facebook-ի համահիմնադիրը։</v>
      </c>
    </row>
    <row r="1912">
      <c r="A1912" s="1" t="s">
        <v>3790</v>
      </c>
      <c r="B1912" s="2" t="s">
        <v>1970</v>
      </c>
      <c r="C1912" s="3" t="str">
        <f>IFERROR(__xludf.DUMMYFUNCTION("GOOGLETRANSLATE(A1912,""en"",""hy"")"),"Ո՞ր երկրից է առաջացել Վասկո դա Գաման:")</f>
        <v>Ո՞ր երկրից է առաջացել Վասկո դա Գաման:</v>
      </c>
      <c r="D1912" s="3" t="str">
        <f>IFERROR(__xludf.DUMMYFUNCTION("GOOGLETRANSLATE(B1912,""en"",""hy"")"),"Պորտուգալիա.")</f>
        <v>Պորտուգալիա.</v>
      </c>
    </row>
    <row r="1913">
      <c r="A1913" s="1" t="s">
        <v>3791</v>
      </c>
      <c r="B1913" s="2" t="s">
        <v>3792</v>
      </c>
      <c r="C1913" s="3" t="str">
        <f>IFERROR(__xludf.DUMMYFUNCTION("GOOGLETRANSLATE(A1913,""en"",""hy"")"),"ո՞ր երկրում են նրանք խոսում ֆարսի")</f>
        <v>ո՞ր երկրում են նրանք խոսում ֆարսի</v>
      </c>
      <c r="D1913" s="3" t="str">
        <f>IFERROR(__xludf.DUMMYFUNCTION("GOOGLETRANSLATE(B1913,""en"",""hy"")"),"Իրան")</f>
        <v>Իրան</v>
      </c>
    </row>
    <row r="1914">
      <c r="A1914" s="1" t="s">
        <v>3793</v>
      </c>
      <c r="B1914" s="2" t="s">
        <v>3794</v>
      </c>
      <c r="C1914" s="3" t="str">
        <f>IFERROR(__xludf.DUMMYFUNCTION("GOOGLETRANSLATE(A1914,""en"",""hy"")"),"ո՞ւմ հանձնվեց Ճապոնիան WW2-ում:")</f>
        <v>ո՞ւմ հանձնվեց Ճապոնիան WW2-ում:</v>
      </c>
      <c r="D1914" s="3" t="str">
        <f>IFERROR(__xludf.DUMMYFUNCTION("GOOGLETRANSLATE(B1914,""en"",""hy"")"),"Երկրորդ համաշխարհային պատերազմում Ճապոնիան հանձնվեց դաշնակից ուժերին:")</f>
        <v>Երկրորդ համաշխարհային պատերազմում Ճապոնիան հանձնվեց դաշնակից ուժերին:</v>
      </c>
    </row>
    <row r="1915">
      <c r="A1915" s="1" t="s">
        <v>3795</v>
      </c>
      <c r="B1915" s="2" t="s">
        <v>3796</v>
      </c>
      <c r="C1915" s="3" t="str">
        <f>IFERROR(__xludf.DUMMYFUNCTION("GOOGLETRANSLATE(A1915,""en"",""hy"")"),"որտեղ է ապրում Լյուկ Սքայուոքերը աստղային պատերազմներում:")</f>
        <v>որտեղ է ապրում Լյուկ Սքայուոքերը աստղային պատերազմներում:</v>
      </c>
      <c r="D1915" s="3" t="str">
        <f>IFERROR(__xludf.DUMMYFUNCTION("GOOGLETRANSLATE(B1915,""en"",""hy"")"),"Լյուկ Սքայուոքերն ապրում է «Աստղային պատերազմների» անապատային Տատուին մոլորակում:")</f>
        <v>Լյուկ Սքայուոքերն ապրում է «Աստղային պատերազմների» անապատային Տատուին մոլորակում:</v>
      </c>
    </row>
    <row r="1916">
      <c r="A1916" s="1" t="s">
        <v>3797</v>
      </c>
      <c r="B1916" s="2" t="s">
        <v>3798</v>
      </c>
      <c r="C1916" s="3" t="str">
        <f>IFERROR(__xludf.DUMMYFUNCTION("GOOGLETRANSLATE(A1916,""en"",""hy"")"),"Բասկետբոլի ո՞ր թիմում է խաղում Քրիս Համֆրին:")</f>
        <v>Բասկետբոլի ո՞ր թիմում է խաղում Քրիս Համֆրին:</v>
      </c>
      <c r="D1916" s="3" t="str">
        <f>IFERROR(__xludf.DUMMYFUNCTION("GOOGLETRANSLATE(B1916,""en"",""hy"")"),"Իմ վերջին թարմացման տվյալներով՝ Քրիս Համֆրիսը չի խաղում բասկետբոլի որևէ թիմում:")</f>
        <v>Իմ վերջին թարմացման տվյալներով՝ Քրիս Համֆրիսը չի խաղում բասկետբոլի որևէ թիմում:</v>
      </c>
    </row>
    <row r="1917">
      <c r="A1917" s="1" t="s">
        <v>3799</v>
      </c>
      <c r="B1917" s="2" t="s">
        <v>3800</v>
      </c>
      <c r="C1917" s="3" t="str">
        <f>IFERROR(__xludf.DUMMYFUNCTION("GOOGLETRANSLATE(A1917,""en"",""hy"")"),"ինչ է ժամային գոտին Հավայան կղզիներում:")</f>
        <v>ինչ է ժամային գոտին Հավայան կղզիներում:</v>
      </c>
      <c r="D1917" s="3" t="str">
        <f>IFERROR(__xludf.DUMMYFUNCTION("GOOGLETRANSLATE(B1917,""en"",""hy"")"),"Հավայան կղզիներում ժամային գոտին Հավայան-Ալեուտյան ստանդարտ ժամանակն է (HST):")</f>
        <v>Հավայան կղզիներում ժամային գոտին Հավայան-Ալեուտյան ստանդարտ ժամանակն է (HST):</v>
      </c>
    </row>
    <row r="1918">
      <c r="A1918" s="1" t="s">
        <v>3801</v>
      </c>
      <c r="B1918" s="2" t="s">
        <v>3802</v>
      </c>
      <c r="C1918" s="3" t="str">
        <f>IFERROR(__xludf.DUMMYFUNCTION("GOOGLETRANSLATE(A1918,""en"",""hy"")"),"ինչ է անում Ջոն Սենան այս պահին:")</f>
        <v>ինչ է անում Ջոն Սենան այս պահին:</v>
      </c>
      <c r="D1918" s="3" t="str">
        <f>IFERROR(__xludf.DUMMYFUNCTION("GOOGLETRANSLATE(B1918,""en"",""hy"")"),"Ցավում եմ, ես չեմ կարող իրական ժամանակում տեղեկատվություն տրամադրել, քանի որ ես արհեստական ​​ինտելեկտ եմ և չունեմ անհատների վերաբերյալ ընթացիկ թարմացումներ մուտք գործելու հնարավորություն:")</f>
        <v>Ցավում եմ, ես չեմ կարող իրական ժամանակում տեղեկատվություն տրամադրել, քանի որ ես արհեստական ​​ինտելեկտ եմ և չունեմ անհատների վերաբերյալ ընթացիկ թարմացումներ մուտք գործելու հնարավորություն:</v>
      </c>
    </row>
    <row r="1919">
      <c r="A1919" s="1" t="s">
        <v>3803</v>
      </c>
      <c r="B1919" s="2" t="s">
        <v>3804</v>
      </c>
      <c r="C1919" s="3" t="str">
        <f>IFERROR(__xludf.DUMMYFUNCTION("GOOGLETRANSLATE(A1919,""en"",""hy"")"),"որո՞նք են Հարավային Ամերիկայի երկու երկրները:")</f>
        <v>որո՞նք են Հարավային Ամերիկայի երկու երկրները:</v>
      </c>
      <c r="D1919" s="3" t="str">
        <f>IFERROR(__xludf.DUMMYFUNCTION("GOOGLETRANSLATE(B1919,""en"",""hy"")"),"Բրազիլիա և Արգենտինա.")</f>
        <v>Բրազիլիա և Արգենտինա.</v>
      </c>
    </row>
    <row r="1920">
      <c r="A1920" s="1" t="s">
        <v>3805</v>
      </c>
      <c r="B1920" s="2" t="s">
        <v>3806</v>
      </c>
      <c r="C1920" s="3" t="str">
        <f>IFERROR(__xludf.DUMMYFUNCTION("GOOGLETRANSLATE(A1920,""en"",""hy"")"),"որտեղ է Կոբի Բրայանտը սովորել ավագ դպրոց")</f>
        <v>որտեղ է Կոբի Բրայանտը սովորել ավագ դպրոց</v>
      </c>
      <c r="D1920" s="3" t="str">
        <f>IFERROR(__xludf.DUMMYFUNCTION("GOOGLETRANSLATE(B1920,""en"",""hy"")"),"Կոբի Բրայանտը սովորել է Lower Merion ավագ դպրոցում։")</f>
        <v>Կոբի Բրայանտը սովորել է Lower Merion ավագ դպրոցում։</v>
      </c>
    </row>
    <row r="1921">
      <c r="A1921" s="1" t="s">
        <v>3807</v>
      </c>
      <c r="B1921" s="2" t="s">
        <v>3808</v>
      </c>
      <c r="C1921" s="3" t="str">
        <f>IFERROR(__xludf.DUMMYFUNCTION("GOOGLETRANSLATE(A1921,""en"",""hy"")"),"ի՞նչ է արել բժիշկ Գևորգյանը.")</f>
        <v>ի՞նչ է արել բժիշկ Գևորգյանը.</v>
      </c>
      <c r="D1921" s="3" t="str">
        <f>IFERROR(__xludf.DUMMYFUNCTION("GOOGLETRANSLATE(B1921,""en"",""hy"")"),"Բժ.")</f>
        <v>Բժ.</v>
      </c>
    </row>
    <row r="1922">
      <c r="A1922" s="1" t="s">
        <v>3809</v>
      </c>
      <c r="B1922" s="2" t="s">
        <v>3810</v>
      </c>
      <c r="C1922" s="3" t="str">
        <f>IFERROR(__xludf.DUMMYFUNCTION("GOOGLETRANSLATE(A1922,""en"",""hy"")"),"որտեղ է գտնվում Chowchilla-ն:")</f>
        <v>որտեղ է գտնվում Chowchilla-ն:</v>
      </c>
      <c r="D1922" s="3" t="str">
        <f>IFERROR(__xludf.DUMMYFUNCTION("GOOGLETRANSLATE(B1922,""en"",""hy"")"),"Chowchilla գտնվում է Կալիֆորնիա նահանգում, ԱՄՆ։")</f>
        <v>Chowchilla գտնվում է Կալիֆորնիա նահանգում, ԱՄՆ։</v>
      </c>
    </row>
    <row r="1923">
      <c r="A1923" s="1" t="s">
        <v>3811</v>
      </c>
      <c r="B1923" s="2" t="s">
        <v>3812</v>
      </c>
      <c r="C1923" s="3" t="str">
        <f>IFERROR(__xludf.DUMMYFUNCTION("GOOGLETRANSLATE(A1923,""en"",""hy"")"),"ո՞ր երկրում է գտնվում Վատիկան քաղաքը")</f>
        <v>ո՞ր երկրում է գտնվում Վատիկան քաղաքը</v>
      </c>
      <c r="D1923" s="3" t="str">
        <f>IFERROR(__xludf.DUMMYFUNCTION("GOOGLETRANSLATE(B1923,""en"",""hy"")"),"Վատիկանը գտնվում է Իտալիայում։")</f>
        <v>Վատիկանը գտնվում է Իտալիայում։</v>
      </c>
    </row>
    <row r="1924">
      <c r="A1924" s="1" t="s">
        <v>3813</v>
      </c>
      <c r="B1924" s="2" t="s">
        <v>853</v>
      </c>
      <c r="C1924" s="3" t="str">
        <f>IFERROR(__xludf.DUMMYFUNCTION("GOOGLETRANSLATE(A1924,""en"",""hy"")"),"ո՞վ խաղացել է արքայադուստր Լեյայի մոր աստղային պատերազմներում:")</f>
        <v>ո՞վ խաղացել է արքայադուստր Լեյայի մոր աստղային պատերազմներում:</v>
      </c>
      <c r="D1924" s="3" t="str">
        <f>IFERROR(__xludf.DUMMYFUNCTION("GOOGLETRANSLATE(B1924,""en"",""hy"")"),"Նատալի Պորտման.")</f>
        <v>Նատալի Պորտման.</v>
      </c>
    </row>
    <row r="1925">
      <c r="A1925" s="1" t="s">
        <v>3814</v>
      </c>
      <c r="B1925" s="2" t="s">
        <v>3815</v>
      </c>
      <c r="C1925" s="3" t="str">
        <f>IFERROR(__xludf.DUMMYFUNCTION("GOOGLETRANSLATE(A1925,""en"",""hy"")"),"ի՞նչ տեսակի քվեարկության համակարգ ունի Մեծ Բրիտանիան:")</f>
        <v>ի՞նչ տեսակի քվեարկության համակարգ ունի Մեծ Բրիտանիան:</v>
      </c>
      <c r="D1925" s="3" t="str">
        <f>IFERROR(__xludf.DUMMYFUNCTION("GOOGLETRANSLATE(B1925,""en"",""hy"")"),"Մեծ Բրիտանիան ունի առաջին քվեարկության համակարգ:")</f>
        <v>Մեծ Բրիտանիան ունի առաջին քվեարկության համակարգ:</v>
      </c>
    </row>
    <row r="1926">
      <c r="A1926" s="1" t="s">
        <v>3816</v>
      </c>
      <c r="B1926" s="2" t="s">
        <v>3817</v>
      </c>
      <c r="C1926" s="3" t="str">
        <f>IFERROR(__xludf.DUMMYFUNCTION("GOOGLETRANSLATE(A1926,""en"",""hy"")"),"որտեղ է դեկտեմբերին ամենատաք եղանակը Միացյալ Նահանգներում.")</f>
        <v>որտեղ է դեկտեմբերին ամենատաք եղանակը Միացյալ Նահանգներում.</v>
      </c>
      <c r="D1926" s="3" t="str">
        <f>IFERROR(__xludf.DUMMYFUNCTION("GOOGLETRANSLATE(B1926,""en"",""hy"")"),"Դեկտեմբերին Միացյալ Նահանգների ամենատաք եղանակը սովորաբար կարելի է գտնել Ֆլորիդայի, Արիզոնայի և Հարավային Կալիֆոռնիայի նման նահանգներում:")</f>
        <v>Դեկտեմբերին Միացյալ Նահանգների ամենատաք եղանակը սովորաբար կարելի է գտնել Ֆլորիդայի, Արիզոնայի և Հարավային Կալիֆոռնիայի նման նահանգներում:</v>
      </c>
    </row>
    <row r="1927">
      <c r="A1927" s="1" t="s">
        <v>3818</v>
      </c>
      <c r="B1927" s="2" t="s">
        <v>3819</v>
      </c>
      <c r="C1927" s="3" t="str">
        <f>IFERROR(__xludf.DUMMYFUNCTION("GOOGLETRANSLATE(A1927,""en"",""hy"")"),"որտե՞ղ է Դոնալդ Թրամփն ընդունվել քոլեջ:")</f>
        <v>որտե՞ղ է Դոնալդ Թրամփն ընդունվել քոլեջ:</v>
      </c>
      <c r="D1927" s="3" t="str">
        <f>IFERROR(__xludf.DUMMYFUNCTION("GOOGLETRANSLATE(B1927,""en"",""hy"")"),"Դոնալդ Թրամփը հաճախել է Փենսիլվանիայի համալսարան։")</f>
        <v>Դոնալդ Թրամփը հաճախել է Փենսիլվանիայի համալսարան։</v>
      </c>
    </row>
    <row r="1928">
      <c r="A1928" s="1" t="s">
        <v>3820</v>
      </c>
      <c r="B1928" s="2" t="s">
        <v>3821</v>
      </c>
      <c r="C1928" s="3" t="str">
        <f>IFERROR(__xludf.DUMMYFUNCTION("GOOGLETRANSLATE(A1928,""en"",""hy"")"),"ի՞նչ է սովորել Ջոն Հովարդը համալսարանում:")</f>
        <v>ի՞նչ է սովորել Ջոն Հովարդը համալսարանում:</v>
      </c>
      <c r="D1928" s="3" t="str">
        <f>IFERROR(__xludf.DUMMYFUNCTION("GOOGLETRANSLATE(B1928,""en"",""hy"")"),"Ջոն Հովարդը իրավունք է սովորել Սիդնեյի համալսարանում։")</f>
        <v>Ջոն Հովարդը իրավունք է սովորել Սիդնեյի համալսարանում։</v>
      </c>
    </row>
    <row r="1929">
      <c r="A1929" s="1" t="s">
        <v>3822</v>
      </c>
      <c r="B1929" s="2" t="s">
        <v>3823</v>
      </c>
      <c r="C1929" s="3" t="str">
        <f>IFERROR(__xludf.DUMMYFUNCTION("GOOGLETRANSLATE(A1929,""en"",""hy"")"),"ի՞նչ է արել դուքս Էլինգթոնը։")</f>
        <v>ի՞նչ է արել դուքս Էլինգթոնը։</v>
      </c>
      <c r="D1929" s="3" t="str">
        <f>IFERROR(__xludf.DUMMYFUNCTION("GOOGLETRANSLATE(B1929,""en"",""hy"")"),"Դյուկ Էլինգթոնը ջազ դաշնակահար էր, կոմպոզիտոր և նվագախմբի ղեկավար։")</f>
        <v>Դյուկ Էլինգթոնը ջազ դաշնակահար էր, կոմպոզիտոր և նվագախմբի ղեկավար։</v>
      </c>
    </row>
    <row r="1930">
      <c r="A1930" s="1" t="s">
        <v>3824</v>
      </c>
      <c r="B1930" s="2" t="s">
        <v>3825</v>
      </c>
      <c r="C1930" s="3" t="str">
        <f>IFERROR(__xludf.DUMMYFUNCTION("GOOGLETRANSLATE(A1930,""en"",""hy"")"),"ո՞ր համալսարանից է նախագահ Օբաման ստացել իր բակալավրի կոչումը:")</f>
        <v>ո՞ր համալսարանից է նախագահ Օբաման ստացել իր բակալավրի կոչումը:</v>
      </c>
      <c r="D1930" s="3" t="str">
        <f>IFERROR(__xludf.DUMMYFUNCTION("GOOGLETRANSLATE(B1930,""en"",""hy"")"),"Նախագահ Օբաման իր բակալավրի կոչումը ստացել է Կոլումբիայի համալսարանից։")</f>
        <v>Նախագահ Օբաման իր բակալավրի կոչումը ստացել է Կոլումբիայի համալսարանից։</v>
      </c>
    </row>
    <row r="1931">
      <c r="A1931" s="1" t="s">
        <v>3826</v>
      </c>
      <c r="B1931" s="2">
        <v>1923.0</v>
      </c>
      <c r="C1931" s="3" t="str">
        <f>IFERROR(__xludf.DUMMYFUNCTION("GOOGLETRANSLATE(A1931,""en"",""hy"")"),"ո՞ր տարում յանկիները շահեցին իրենց առաջին համաշխարհային սերիան:")</f>
        <v>ո՞ր տարում յանկիները շահեցին իրենց առաջին համաշխարհային սերիան:</v>
      </c>
      <c r="D1931" s="3" t="str">
        <f>IFERROR(__xludf.DUMMYFUNCTION("GOOGLETRANSLATE(B1931,""en"",""hy"")"),"1923 թ")</f>
        <v>1923 թ</v>
      </c>
    </row>
    <row r="1932">
      <c r="A1932" s="1" t="s">
        <v>3827</v>
      </c>
      <c r="B1932" s="2" t="s">
        <v>3828</v>
      </c>
      <c r="C1932" s="3" t="str">
        <f>IFERROR(__xludf.DUMMYFUNCTION("GOOGLETRANSLATE(A1932,""en"",""hy"")"),"ե՞րբ է վերջին անգամ նոր անգլիացի հայրենասերները հաղթել սուպերգավաթում:")</f>
        <v>ե՞րբ է վերջին անգամ նոր անգլիացի հայրենասերները հաղթել սուպերգավաթում:</v>
      </c>
      <c r="D1932" s="3" t="str">
        <f>IFERROR(__xludf.DUMMYFUNCTION("GOOGLETRANSLATE(B1932,""en"",""hy"")"),"The New England Patriots-ը վերջին անգամ հաղթել է Super Bowl-ը 2019 թվականի փետրվարին:")</f>
        <v>The New England Patriots-ը վերջին անգամ հաղթել է Super Bowl-ը 2019 թվականի փետրվարին:</v>
      </c>
    </row>
    <row r="1933">
      <c r="A1933" s="1" t="s">
        <v>3829</v>
      </c>
      <c r="B1933" s="2" t="s">
        <v>3830</v>
      </c>
      <c r="C1933" s="3" t="str">
        <f>IFERROR(__xludf.DUMMYFUNCTION("GOOGLETRANSLATE(A1933,""en"",""hy"")"),"ինչ ֆիլմեր է պատմել Մորգան Ֆրիմանը:")</f>
        <v>ինչ ֆիլմեր է պատմել Մորգան Ֆրիմանը:</v>
      </c>
      <c r="D1933" s="3" t="str">
        <f>IFERROR(__xludf.DUMMYFUNCTION("GOOGLETRANSLATE(B1933,""en"",""hy"")"),"Մորգան Ֆրիմանը պատմել է մի քանի ֆիլմերի, այդ թվում՝ «Պինգվինների մարտը», «Շոուշենքի փրկագնումը» և «Աշխարհների պատերազմը»:")</f>
        <v>Մորգան Ֆրիմանը պատմել է մի քանի ֆիլմերի, այդ թվում՝ «Պինգվինների մարտը», «Շոուշենքի փրկագնումը» և «Աշխարհների պատերազմը»:</v>
      </c>
    </row>
    <row r="1934">
      <c r="A1934" s="1" t="s">
        <v>3831</v>
      </c>
      <c r="B1934" s="2" t="s">
        <v>3832</v>
      </c>
      <c r="C1934" s="3" t="str">
        <f>IFERROR(__xludf.DUMMYFUNCTION("GOOGLETRANSLATE(A1934,""en"",""hy"")"),"որտեղ են գտնվում Ատլանտայի բազեները:")</f>
        <v>որտեղ են գտնվում Ատլանտայի բազեները:</v>
      </c>
      <c r="D1934" s="3" t="str">
        <f>IFERROR(__xludf.DUMMYFUNCTION("GOOGLETRANSLATE(B1934,""en"",""hy"")"),"Atlanta Falcons-ը գտնվում է Ատլանտայում, Ջորջիա:")</f>
        <v>Atlanta Falcons-ը գտնվում է Ատլանտայում, Ջորջիա:</v>
      </c>
    </row>
    <row r="1935">
      <c r="A1935" s="1" t="s">
        <v>3833</v>
      </c>
      <c r="B1935" s="2" t="s">
        <v>3834</v>
      </c>
      <c r="C1935" s="3" t="str">
        <f>IFERROR(__xludf.DUMMYFUNCTION("GOOGLETRANSLATE(A1935,""en"",""hy"")"),"ինչ է սուրբ Ֆրանցիսկոսի հովանավոր սուրբը:")</f>
        <v>ինչ է սուրբ Ֆրանցիսկոսի հովանավոր սուրբը:</v>
      </c>
      <c r="D1935" s="3" t="str">
        <f>IFERROR(__xludf.DUMMYFUNCTION("GOOGLETRANSLATE(B1935,""en"",""hy"")"),"Սուրբ Ֆրանցիսկոսը կենդանիների և շրջակա միջավայրի հովանավորն է:")</f>
        <v>Սուրբ Ֆրանցիսկոսը կենդանիների և շրջակա միջավայրի հովանավորն է:</v>
      </c>
    </row>
    <row r="1936">
      <c r="A1936" s="1" t="s">
        <v>3835</v>
      </c>
      <c r="B1936" s="2" t="s">
        <v>3836</v>
      </c>
      <c r="C1936" s="3" t="str">
        <f>IFERROR(__xludf.DUMMYFUNCTION("GOOGLETRANSLATE(A1936,""en"",""hy"")"),"որտեղ է ծնվել Օբաման")</f>
        <v>որտեղ է ծնվել Օբաման</v>
      </c>
      <c r="D1936" s="3" t="str">
        <f>IFERROR(__xludf.DUMMYFUNCTION("GOOGLETRANSLATE(B1936,""en"",""hy"")"),"Օբաման ծնվել է Հոնոլուլուում, Հավայան կղզիներ։")</f>
        <v>Օբաման ծնվել է Հոնոլուլուում, Հավայան կղզիներ։</v>
      </c>
    </row>
    <row r="1937">
      <c r="A1937" s="1" t="s">
        <v>3837</v>
      </c>
      <c r="B1937" s="2" t="s">
        <v>3838</v>
      </c>
      <c r="C1937" s="3" t="str">
        <f>IFERROR(__xludf.DUMMYFUNCTION("GOOGLETRANSLATE(A1937,""en"",""hy"")"),"որտեղ է ծնվել Թոմի Էմանուելը:")</f>
        <v>որտեղ է ծնվել Թոմի Էմանուելը:</v>
      </c>
      <c r="D1937" s="3" t="str">
        <f>IFERROR(__xludf.DUMMYFUNCTION("GOOGLETRANSLATE(B1937,""en"",""hy"")"),"Թոմի Էմանուելը ծնվել է Ավստրալիայի Նոր Հարավային Ուելս նահանգի Մուսվելբրուկ քաղաքում:")</f>
        <v>Թոմի Էմանուելը ծնվել է Ավստրալիայի Նոր Հարավային Ուելս նահանգի Մուսվելբրուկ քաղաքում:</v>
      </c>
    </row>
    <row r="1938">
      <c r="A1938" s="1" t="s">
        <v>3839</v>
      </c>
      <c r="B1938" s="2" t="s">
        <v>3840</v>
      </c>
      <c r="C1938" s="3" t="str">
        <f>IFERROR(__xludf.DUMMYFUNCTION("GOOGLETRANSLATE(A1938,""en"",""hy"")"),"Ի՞նչ տեխնիկա է օգտագործել Ֆրիդա Կալոն իր նկարներում:")</f>
        <v>Ի՞նչ տեխնիկա է օգտագործել Ֆրիդա Կալոն իր նկարներում:</v>
      </c>
      <c r="D1938" s="3" t="str">
        <f>IFERROR(__xludf.DUMMYFUNCTION("GOOGLETRANSLATE(B1938,""en"",""hy"")"),"Ֆրիդա Կալոն իր նկարներում օգտագործել է տարբեր տեխնիկա, այդ թվում՝ ինքնադիմանկար, սիմվոլիզմ, սյուրռեալիզմ և վառ գույներ:")</f>
        <v>Ֆրիդա Կալոն իր նկարներում օգտագործել է տարբեր տեխնիկա, այդ թվում՝ ինքնադիմանկար, սիմվոլիզմ, սյուրռեալիզմ և վառ գույներ:</v>
      </c>
    </row>
    <row r="1939">
      <c r="A1939" s="1" t="s">
        <v>3841</v>
      </c>
      <c r="B1939" s="2" t="s">
        <v>3842</v>
      </c>
      <c r="C1939" s="3" t="str">
        <f>IFERROR(__xludf.DUMMYFUNCTION("GOOGLETRANSLATE(A1939,""en"",""hy"")"),"ո՞վ է Լարի Դեյվիդը խաղում Սայնֆելդում:")</f>
        <v>ո՞վ է Լարի Դեյվիդը խաղում Սայնֆելդում:</v>
      </c>
      <c r="D1939" s="3" t="str">
        <f>IFERROR(__xludf.DUMMYFUNCTION("GOOGLETRANSLATE(B1939,""en"",""hy"")"),"Լարի Դեյվիդը խաղում է Ջորջ Կոստանցայի կերպարը Սայնֆելդում։")</f>
        <v>Լարի Դեյվիդը խաղում է Ջորջ Կոստանցայի կերպարը Սայնֆելդում։</v>
      </c>
    </row>
    <row r="1940">
      <c r="A1940" s="1" t="s">
        <v>3843</v>
      </c>
      <c r="B1940" s="2" t="s">
        <v>3844</v>
      </c>
      <c r="C1940" s="3" t="str">
        <f>IFERROR(__xludf.DUMMYFUNCTION("GOOGLETRANSLATE(A1940,""en"",""hy"")"),"ինչպիսի՞ իշխանություն ունի Իսրայելը.")</f>
        <v>ինչպիսի՞ իշխանություն ունի Իսրայելը.</v>
      </c>
      <c r="D1940" s="3" t="str">
        <f>IFERROR(__xludf.DUMMYFUNCTION("GOOGLETRANSLATE(B1940,""en"",""hy"")"),"Իսրայելն ունի խորհրդարանական ժողովրդավարություն.")</f>
        <v>Իսրայելն ունի խորհրդարանական ժողովրդավարություն.</v>
      </c>
    </row>
    <row r="1941">
      <c r="A1941" s="1" t="s">
        <v>3845</v>
      </c>
      <c r="B1941" s="2" t="s">
        <v>3846</v>
      </c>
      <c r="C1941" s="3" t="str">
        <f>IFERROR(__xludf.DUMMYFUNCTION("GOOGLETRANSLATE(A1941,""en"",""hy"")"),"ի՞նչ քաղաքական փորձ ուներ Աբրահամ Լինքոլնը:")</f>
        <v>ի՞նչ քաղաքական փորձ ուներ Աբրահամ Լինքոլնը:</v>
      </c>
      <c r="D1941" s="3" t="str">
        <f>IFERROR(__xludf.DUMMYFUNCTION("GOOGLETRANSLATE(B1941,""en"",""hy"")"),"Աբրահամ Լինքոլնը Իլինոյս նահանգի օրենսդիր մարմնում և ԱՄՆ Ներկայացուցիչների պալատում աշխատելու փորձ ուներ՝ նախքան Միացյալ Նահանգների նախագահ դառնալը:")</f>
        <v>Աբրահամ Լինքոլնը Իլինոյս նահանգի օրենսդիր մարմնում և ԱՄՆ Ներկայացուցիչների պալատում աշխատելու փորձ ուներ՝ նախքան Միացյալ Նահանգների նախագահ դառնալը:</v>
      </c>
    </row>
    <row r="1942">
      <c r="A1942" s="1" t="s">
        <v>3847</v>
      </c>
      <c r="B1942" s="2" t="s">
        <v>3848</v>
      </c>
      <c r="C1942" s="3" t="str">
        <f>IFERROR(__xludf.DUMMYFUNCTION("GOOGLETRANSLATE(A1942,""en"",""hy"")"),"որտեղ է ապրում Բրայան Ուիլյամսը")</f>
        <v>որտեղ է ապրում Բրայան Ուիլյամսը</v>
      </c>
      <c r="D1942" s="3" t="str">
        <f>IFERROR(__xludf.DUMMYFUNCTION("GOOGLETRANSLATE(B1942,""en"",""hy"")"),"Բրայան Ուիլյամսն ապրում է Կոնեկտիկուտում։")</f>
        <v>Բրայան Ուիլյամսն ապրում է Կոնեկտիկուտում։</v>
      </c>
    </row>
    <row r="1943">
      <c r="A1943" s="1" t="s">
        <v>3849</v>
      </c>
      <c r="B1943" s="2" t="s">
        <v>3850</v>
      </c>
      <c r="C1943" s="3" t="str">
        <f>IFERROR(__xludf.DUMMYFUNCTION("GOOGLETRANSLATE(A1943,""en"",""hy"")"),"որտեղ է գտնվում Լիթթոնի կենտրոնը:")</f>
        <v>որտեղ է գտնվում Լիթթոնի կենտրոնը:</v>
      </c>
      <c r="D1943" s="3" t="str">
        <f>IFERROR(__xludf.DUMMYFUNCTION("GOOGLETRANSLATE(B1943,""en"",""hy"")"),"Downtown Littleton-ը գտնվում է Կոլորադոյի Լիթլթոն քաղաքում։")</f>
        <v>Downtown Littleton-ը գտնվում է Կոլորադոյի Լիթլթոն քաղաքում։</v>
      </c>
    </row>
    <row r="1944">
      <c r="A1944" s="1" t="s">
        <v>3851</v>
      </c>
      <c r="B1944" s="2" t="s">
        <v>3852</v>
      </c>
      <c r="C1944" s="3" t="str">
        <f>IFERROR(__xludf.DUMMYFUNCTION("GOOGLETRANSLATE(A1944,""en"",""hy"")"),"ինչում է նկարահանվել Շոնի Սմիթը:")</f>
        <v>ինչում է նկարահանվել Շոնի Սմիթը:</v>
      </c>
      <c r="D1944" s="3" t="str">
        <f>IFERROR(__xludf.DUMMYFUNCTION("GOOGLETRANSLATE(B1944,""en"",""hy"")"),"Շոնի Սմիթը նկարահանվել է «Saw» սարսափ ֆիլմաշարում։")</f>
        <v>Շոնի Սմիթը նկարահանվել է «Saw» սարսափ ֆիլմաշարում։</v>
      </c>
    </row>
    <row r="1945">
      <c r="A1945" s="1" t="s">
        <v>3853</v>
      </c>
      <c r="B1945" s="2" t="s">
        <v>3854</v>
      </c>
      <c r="C1945" s="3" t="str">
        <f>IFERROR(__xludf.DUMMYFUNCTION("GOOGLETRANSLATE(A1945,""en"",""hy"")"),"Ո՞ր բաժանմանն է գտնվում Ցինցինատի Բենգալսը:")</f>
        <v>Ո՞ր բաժանմանն է գտնվում Ցինցինատի Բենգալսը:</v>
      </c>
      <c r="D1945" s="3" t="str">
        <f>IFERROR(__xludf.DUMMYFUNCTION("GOOGLETRANSLATE(B1945,""en"",""hy"")"),"Cincinnati Bengals-ը գտնվում է AFC Հյուսիսային դիվիզիոնում:")</f>
        <v>Cincinnati Bengals-ը գտնվում է AFC Հյուսիսային դիվիզիոնում:</v>
      </c>
    </row>
    <row r="1946">
      <c r="A1946" s="1" t="s">
        <v>3855</v>
      </c>
      <c r="B1946" s="2" t="s">
        <v>3856</v>
      </c>
      <c r="C1946" s="3" t="str">
        <f>IFERROR(__xludf.DUMMYFUNCTION("GOOGLETRANSLATE(A1946,""en"",""hy"")"),"ի՞նչ տեխնիկա է օգտագործել Վինսենթ Վան Գոգն իր նկարներում:")</f>
        <v>ի՞նչ տեխնիկա է օգտագործել Վինսենթ Վան Գոգն իր նկարներում:</v>
      </c>
      <c r="D1946" s="3" t="str">
        <f>IFERROR(__xludf.DUMMYFUNCTION("GOOGLETRANSLATE(B1946,""en"",""hy"")"),"Վինսենթ վան Գոգն իր նկարներում օգտագործել է իմպաստո կոչվող տեխնիկան:")</f>
        <v>Վինսենթ վան Գոգն իր նկարներում օգտագործել է իմպաստո կոչվող տեխնիկան:</v>
      </c>
    </row>
    <row r="1947">
      <c r="A1947" s="1" t="s">
        <v>3857</v>
      </c>
      <c r="B1947" s="2" t="s">
        <v>3858</v>
      </c>
      <c r="C1947" s="3" t="str">
        <f>IFERROR(__xludf.DUMMYFUNCTION("GOOGLETRANSLATE(A1947,""en"",""hy"")"),"որտեղից էր Տուսեն Շարբոնոն")</f>
        <v>որտեղից էր Տուսեն Շարբոնոն</v>
      </c>
      <c r="D1947" s="3" t="str">
        <f>IFERROR(__xludf.DUMMYFUNCTION("GOOGLETRANSLATE(B1947,""en"",""hy"")"),"Տուսեն Շարբոնոն Ֆրանսիայից էր։")</f>
        <v>Տուսեն Շարբոնոն Ֆրանսիայից էր։</v>
      </c>
    </row>
    <row r="1948">
      <c r="A1948" s="1" t="s">
        <v>3859</v>
      </c>
      <c r="B1948" s="2" t="s">
        <v>3860</v>
      </c>
      <c r="C1948" s="3" t="str">
        <f>IFERROR(__xludf.DUMMYFUNCTION("GOOGLETRANSLATE(A1948,""en"",""hy"")"),"ո՞ր երկրներն են ներառում Արևմտյան Եվրոպան:")</f>
        <v>ո՞ր երկրներն են ներառում Արևմտյան Եվրոպան:</v>
      </c>
      <c r="D1948" s="3" t="str">
        <f>IFERROR(__xludf.DUMMYFUNCTION("GOOGLETRANSLATE(B1948,""en"",""hy"")"),"Արևմտյան Եվրոպայի երկրների օրինակներ են Գերմանիան, Ֆրանսիան, Միացյալ Թագավորությունը, Իսպանիան և Իտալիան:")</f>
        <v>Արևմտյան Եվրոպայի երկրների օրինակներ են Գերմանիան, Ֆրանսիան, Միացյալ Թագավորությունը, Իսպանիան և Իտալիան:</v>
      </c>
    </row>
    <row r="1949">
      <c r="A1949" s="1" t="s">
        <v>3861</v>
      </c>
      <c r="B1949" s="2" t="s">
        <v>575</v>
      </c>
      <c r="C1949" s="3" t="str">
        <f>IFERROR(__xludf.DUMMYFUNCTION("GOOGLETRANSLATE(A1949,""en"",""hy"")"),"Ո՞ր ժամային գոտում է ներկայումս գտնվում Նոր Մեքսիկան:")</f>
        <v>Ո՞ր ժամային գոտում է ներկայումս գտնվում Նոր Մեքսիկան:</v>
      </c>
      <c r="D1949" s="3" t="str">
        <f>IFERROR(__xludf.DUMMYFUNCTION("GOOGLETRANSLATE(B1949,""en"",""hy"")"),"Լեռնային Ժամային Գոտի.")</f>
        <v>Լեռնային Ժամային Գոտի.</v>
      </c>
    </row>
    <row r="1950">
      <c r="A1950" s="1" t="s">
        <v>3862</v>
      </c>
      <c r="B1950" s="2" t="s">
        <v>3863</v>
      </c>
      <c r="C1950" s="3" t="str">
        <f>IFERROR(__xludf.DUMMYFUNCTION("GOOGLETRANSLATE(A1950,""en"",""hy"")"),"ով է Չինաստանի ներկայիս նախագահը 2010 թ.")</f>
        <v>ով է Չինաստանի ներկայիս նախագահը 2010 թ.</v>
      </c>
      <c r="D1950" s="3" t="str">
        <f>IFERROR(__xludf.DUMMYFUNCTION("GOOGLETRANSLATE(B1950,""en"",""hy"")"),"Չինաստանի ներկայիս նախագահը 2010 թվականին Հու Ցզինտաոն էր։")</f>
        <v>Չինաստանի ներկայիս նախագահը 2010 թվականին Հու Ցզինտաոն էր։</v>
      </c>
    </row>
    <row r="1951">
      <c r="A1951" s="1" t="s">
        <v>3864</v>
      </c>
      <c r="B1951" s="2" t="s">
        <v>3865</v>
      </c>
      <c r="C1951" s="3" t="str">
        <f>IFERROR(__xludf.DUMMYFUNCTION("GOOGLETRANSLATE(A1951,""en"",""hy"")"),"ինչպես է կոչվում Միսուրիի օրենսդիր մարմինը:")</f>
        <v>ինչպես է կոչվում Միսուրիի օրենսդիր մարմինը:</v>
      </c>
      <c r="D1951" s="3" t="str">
        <f>IFERROR(__xludf.DUMMYFUNCTION("GOOGLETRANSLATE(B1951,""en"",""hy"")"),"Միսսուրիի օրենսդիր մարմինը կոչվում է Միսսուրիի Գլխավոր ասամբլեա:")</f>
        <v>Միսսուրիի օրենսդիր մարմինը կոչվում է Միսսուրիի Գլխավոր ասամբլեա:</v>
      </c>
    </row>
    <row r="1952">
      <c r="A1952" s="1" t="s">
        <v>3866</v>
      </c>
      <c r="B1952" s="2" t="s">
        <v>3867</v>
      </c>
      <c r="C1952" s="3" t="str">
        <f>IFERROR(__xludf.DUMMYFUNCTION("GOOGLETRANSLATE(A1952,""en"",""hy"")"),"ի՞նչ է արել Հարիետ Բիչեր Սթոուն որպես աբոլիցիոնիստ:")</f>
        <v>ի՞նչ է արել Հարիետ Բիչեր Սթոուն որպես աբոլիցիոնիստ:</v>
      </c>
      <c r="D1952" s="3" t="str">
        <f>IFERROR(__xludf.DUMMYFUNCTION("GOOGLETRANSLATE(B1952,""en"",""hy"")"),"Հարիեթ Բիչեր Սթոուն գրել է «Քեռի Թոմի տնակը» հակաստրկատիրական վեպը, որն օգնեց բարձրացնել ստրկության անարդարության մասին իրազեկվածությունը և ազդեցիկ էր աբոլիցիոնիստական ​​շարժման վրա:")</f>
        <v>Հարիեթ Բիչեր Սթոուն գրել է «Քեռի Թոմի տնակը» հակաստրկատիրական վեպը, որն օգնեց բարձրացնել ստրկության անարդարության մասին իրազեկվածությունը և ազդեցիկ էր աբոլիցիոնիստական ​​շարժման վրա:</v>
      </c>
    </row>
    <row r="1953">
      <c r="A1953" s="1" t="s">
        <v>3868</v>
      </c>
      <c r="B1953" s="2" t="s">
        <v>839</v>
      </c>
      <c r="C1953" s="3" t="str">
        <f>IFERROR(__xludf.DUMMYFUNCTION("GOOGLETRANSLATE(A1953,""en"",""hy"")"),"ո՞ր նահանգում է գտնվում Պրետորիան")</f>
        <v>ո՞ր նահանգում է գտնվում Պրետորիան</v>
      </c>
      <c r="D1953" s="3" t="str">
        <f>IFERROR(__xludf.DUMMYFUNCTION("GOOGLETRANSLATE(B1953,""en"",""hy"")"),"Գաուտենգ նահանգ.")</f>
        <v>Գաուտենգ նահանգ.</v>
      </c>
    </row>
    <row r="1954">
      <c r="A1954" s="1" t="s">
        <v>3869</v>
      </c>
      <c r="B1954" s="2" t="s">
        <v>3870</v>
      </c>
      <c r="C1954" s="3" t="str">
        <f>IFERROR(__xludf.DUMMYFUNCTION("GOOGLETRANSLATE(A1954,""en"",""hy"")"),"ո՞ր քոլեջն է հաճախել Ջերի Ռայսը:")</f>
        <v>ո՞ր քոլեջն է հաճախել Ջերի Ռայսը:</v>
      </c>
      <c r="D1954" s="3" t="str">
        <f>IFERROR(__xludf.DUMMYFUNCTION("GOOGLETRANSLATE(B1954,""en"",""hy"")"),"Ջերի Ռայսը սովորել է Միսիսիպի հովտի պետական ​​համալսարանում:")</f>
        <v>Ջերի Ռայսը սովորել է Միսիսիպի հովտի պետական ​​համալսարանում:</v>
      </c>
    </row>
    <row r="1955">
      <c r="A1955" s="1" t="s">
        <v>3871</v>
      </c>
      <c r="B1955" s="2" t="s">
        <v>3872</v>
      </c>
      <c r="C1955" s="3" t="str">
        <f>IFERROR(__xludf.DUMMYFUNCTION("GOOGLETRANSLATE(A1955,""en"",""hy"")"),"Ո՞վ է Լիզ Լիմոնն ամուսնանում 30 ռոքի վրա:")</f>
        <v>Ո՞վ է Լիզ Լիմոնն ամուսնանում 30 ռոքի վրա:</v>
      </c>
      <c r="D1955" s="3" t="str">
        <f>IFERROR(__xludf.DUMMYFUNCTION("GOOGLETRANSLATE(B1955,""en"",""hy"")"),"Criss Chros.")</f>
        <v>Criss Chros.</v>
      </c>
    </row>
    <row r="1956">
      <c r="A1956" s="1" t="s">
        <v>3873</v>
      </c>
      <c r="B1956" s="2" t="s">
        <v>3874</v>
      </c>
      <c r="C1956" s="3" t="str">
        <f>IFERROR(__xludf.DUMMYFUNCTION("GOOGLETRANSLATE(A1956,""en"",""hy"")"),"որտեղ էր գտնվում Ապոմատոքսի ճակատամարտը:")</f>
        <v>որտեղ էր գտնվում Ապոմատոքսի ճակատամարտը:</v>
      </c>
      <c r="D1956" s="3" t="str">
        <f>IFERROR(__xludf.DUMMYFUNCTION("GOOGLETRANSLATE(B1956,""en"",""hy"")"),"Ապոմատոքսի ճակատամարտը տեղի է ունեցել Վիրջինիա նահանգի Ապոմատտոքս կոմսությունում։")</f>
        <v>Ապոմատոքսի ճակատամարտը տեղի է ունեցել Վիրջինիա նահանգի Ապոմատտոքս կոմսությունում։</v>
      </c>
    </row>
    <row r="1957">
      <c r="A1957" s="1" t="s">
        <v>3875</v>
      </c>
      <c r="B1957" s="2" t="s">
        <v>3876</v>
      </c>
      <c r="C1957" s="3" t="str">
        <f>IFERROR(__xludf.DUMMYFUNCTION("GOOGLETRANSLATE(A1957,""en"",""hy"")"),"ո՞ր երկրի համար է նավարկել Ջոն Քաբոտը:")</f>
        <v>ո՞ր երկրի համար է նավարկել Ջոն Քաբոտը:</v>
      </c>
      <c r="D1957" s="3" t="str">
        <f>IFERROR(__xludf.DUMMYFUNCTION("GOOGLETRANSLATE(B1957,""en"",""hy"")"),"Ջոն Քաբոտը նավարկեց դեպի Անգլիա։")</f>
        <v>Ջոն Քաբոտը նավարկեց դեպի Անգլիա։</v>
      </c>
    </row>
    <row r="1958">
      <c r="A1958" s="1" t="s">
        <v>3877</v>
      </c>
      <c r="B1958" s="2" t="s">
        <v>3878</v>
      </c>
      <c r="C1958" s="3" t="str">
        <f>IFERROR(__xludf.DUMMYFUNCTION("GOOGLETRANSLATE(A1958,""en"",""hy"")"),"Ե՞րբ է առաջին անգամ ժայթքել Սուրբ Հելենները:")</f>
        <v>Ե՞րբ է առաջին անգամ ժայթքել Սուրբ Հելենները:</v>
      </c>
      <c r="D1958" s="3" t="str">
        <f>IFERROR(__xludf.DUMMYFUNCTION("GOOGLETRANSLATE(B1958,""en"",""hy"")"),"Սուրբ Հելենս լեռն առաջին անգամ ժայթքել է 1980 թվականի մայիսի 18-ին:")</f>
        <v>Սուրբ Հելենս լեռն առաջին անգամ ժայթքել է 1980 թվականի մայիսի 18-ին:</v>
      </c>
    </row>
    <row r="1959">
      <c r="A1959" s="1" t="s">
        <v>3879</v>
      </c>
      <c r="B1959" s="2" t="s">
        <v>3880</v>
      </c>
      <c r="C1959" s="3" t="str">
        <f>IFERROR(__xludf.DUMMYFUNCTION("GOOGLETRANSLATE(A1959,""en"",""hy"")"),"որտեղի՞ց է ծագել Հռոմ անունը:")</f>
        <v>որտեղի՞ց է ծագել Հռոմ անունը:</v>
      </c>
      <c r="D1959" s="3" t="str">
        <f>IFERROR(__xludf.DUMMYFUNCTION("GOOGLETRANSLATE(B1959,""en"",""hy"")"),"Հռոմ անունը ծագել է հին լատիներեն «Ռոմա» բառից։")</f>
        <v>Հռոմ անունը ծագել է հին լատիներեն «Ռոմա» բառից։</v>
      </c>
    </row>
    <row r="1960">
      <c r="A1960" s="1" t="s">
        <v>3881</v>
      </c>
      <c r="B1960" s="2" t="s">
        <v>3882</v>
      </c>
      <c r="C1960" s="3" t="str">
        <f>IFERROR(__xludf.DUMMYFUNCTION("GOOGLETRANSLATE(A1960,""en"",""hy"")"),"Ո՞ր ժամային գոտին է Ֆրեզնոն:")</f>
        <v>Ո՞ր ժամային գոտին է Ֆրեզնոն:</v>
      </c>
      <c r="D1960" s="3" t="str">
        <f>IFERROR(__xludf.DUMMYFUNCTION("GOOGLETRANSLATE(B1960,""en"",""hy"")"),"Ֆրեզնո, Կալիֆորնիա գտնվում է Խաղաղ օվկիանոսի ժամային գոտում:")</f>
        <v>Ֆրեզնո, Կալիֆորնիա գտնվում է Խաղաղ օվկիանոսի ժամային գոտում:</v>
      </c>
    </row>
    <row r="1961">
      <c r="A1961" s="1" t="s">
        <v>3883</v>
      </c>
      <c r="B1961" s="2" t="s">
        <v>3884</v>
      </c>
      <c r="C1961" s="3" t="str">
        <f>IFERROR(__xludf.DUMMYFUNCTION("GOOGLETRANSLATE(A1961,""en"",""hy"")"),"ով էր Միսուրիի նահանգապետը 1996թ.")</f>
        <v>ով էր Միսուրիի նահանգապետը 1996թ.</v>
      </c>
      <c r="D1961" s="3" t="str">
        <f>IFERROR(__xludf.DUMMYFUNCTION("GOOGLETRANSLATE(B1961,""en"",""hy"")"),"Մել Կարնահան")</f>
        <v>Մել Կարնահան</v>
      </c>
    </row>
    <row r="1962">
      <c r="A1962" s="1" t="s">
        <v>3885</v>
      </c>
      <c r="B1962" s="2" t="s">
        <v>3886</v>
      </c>
      <c r="C1962" s="3" t="str">
        <f>IFERROR(__xludf.DUMMYFUNCTION("GOOGLETRANSLATE(A1962,""en"",""hy"")"),"ո՞րն է եղել Sage Stallone-ի մահվան պատճառը:")</f>
        <v>ո՞րն է եղել Sage Stallone-ի մահվան պատճառը:</v>
      </c>
      <c r="D1962" s="3" t="str">
        <f>IFERROR(__xludf.DUMMYFUNCTION("GOOGLETRANSLATE(B1962,""en"",""hy"")"),"Սեյջ Ստալոնեի մահվան պատճառը կորոնար անոթային հիվանդությունն էր։")</f>
        <v>Սեյջ Ստալոնեի մահվան պատճառը կորոնար անոթային հիվանդությունն էր։</v>
      </c>
    </row>
    <row r="1963">
      <c r="A1963" s="1" t="s">
        <v>3887</v>
      </c>
      <c r="B1963" s="2" t="s">
        <v>3888</v>
      </c>
      <c r="C1963" s="3" t="str">
        <f>IFERROR(__xludf.DUMMYFUNCTION("GOOGLETRANSLATE(A1963,""en"",""hy"")"),"որտեղ է ապրել թագուհի Իզաբելլան")</f>
        <v>որտեղ է ապրել թագուհի Իզաբելլան</v>
      </c>
      <c r="D1963" s="3" t="str">
        <f>IFERROR(__xludf.DUMMYFUNCTION("GOOGLETRANSLATE(B1963,""en"",""hy"")"),"Իզաբելլան թագուհին ապրում էր Իսպանիայում։")</f>
        <v>Իզաբելլան թագուհին ապրում էր Իսպանիայում։</v>
      </c>
    </row>
    <row r="1964">
      <c r="A1964" s="1" t="s">
        <v>3889</v>
      </c>
      <c r="B1964" s="2" t="s">
        <v>3890</v>
      </c>
      <c r="C1964" s="3" t="str">
        <f>IFERROR(__xludf.DUMMYFUNCTION("GOOGLETRANSLATE(A1964,""en"",""hy"")"),"ով խաղաց Կարլ Ֆրեդրիկսենի մեջ:")</f>
        <v>ով խաղաց Կարլ Ֆրեդրիկսենի մեջ:</v>
      </c>
      <c r="D1964" s="3" t="str">
        <f>IFERROR(__xludf.DUMMYFUNCTION("GOOGLETRANSLATE(B1964,""en"",""hy"")"),"Էդ Ասները Up-ում խաղացել է Կարլ Ֆրեդրիքսենի դերը։")</f>
        <v>Էդ Ասները Up-ում խաղացել է Կարլ Ֆրեդրիքսենի դերը։</v>
      </c>
    </row>
    <row r="1965">
      <c r="A1965" s="1" t="s">
        <v>3891</v>
      </c>
      <c r="B1965" s="2" t="s">
        <v>3892</v>
      </c>
      <c r="C1965" s="3" t="str">
        <f>IFERROR(__xludf.DUMMYFUNCTION("GOOGLETRANSLATE(A1965,""en"",""hy"")"),"որտեղ է Ռոբերտ Պատինսոնը սովորել դերասանական դպրոց:")</f>
        <v>որտեղ է Ռոբերտ Պատինսոնը սովորել դերասանական դպրոց:</v>
      </c>
      <c r="D1965" s="3" t="str">
        <f>IFERROR(__xludf.DUMMYFUNCTION("GOOGLETRANSLATE(B1965,""en"",""hy"")"),"Ռոբերտ Պատինսոնը դերասանական կրթության համար հաճախել է Հարրոդիան դպրոց:")</f>
        <v>Ռոբերտ Պատինսոնը դերասանական կրթության համար հաճախել է Հարրոդիան դպրոց:</v>
      </c>
    </row>
    <row r="1966">
      <c r="A1966" s="1" t="s">
        <v>3893</v>
      </c>
      <c r="B1966" s="2" t="s">
        <v>3894</v>
      </c>
      <c r="C1966" s="3" t="str">
        <f>IFERROR(__xludf.DUMMYFUNCTION("GOOGLETRANSLATE(A1966,""en"",""hy"")"),"ինչ լեզվով է խոսում Իտալիան:")</f>
        <v>ինչ լեզվով է խոսում Իտալիան:</v>
      </c>
      <c r="D1966" s="3" t="str">
        <f>IFERROR(__xludf.DUMMYFUNCTION("GOOGLETRANSLATE(B1966,""en"",""hy"")"),"Իտալական.")</f>
        <v>Իտալական.</v>
      </c>
    </row>
    <row r="1967">
      <c r="A1967" s="1" t="s">
        <v>3895</v>
      </c>
      <c r="B1967" s="2" t="s">
        <v>3896</v>
      </c>
      <c r="C1967" s="3" t="str">
        <f>IFERROR(__xludf.DUMMYFUNCTION("GOOGLETRANSLATE(A1967,""en"",""hy"")"),"ով շահեց սուպեր գավաթը xliv 2010?")</f>
        <v>ով շահեց սուպեր գավաթը xliv 2010?</v>
      </c>
      <c r="D1967" s="3" t="str">
        <f>IFERROR(__xludf.DUMMYFUNCTION("GOOGLETRANSLATE(B1967,""en"",""hy"")"),"New Orleans Saints-ը հաղթել է Super Bowl XLIV-ը 2010 թվականին:")</f>
        <v>New Orleans Saints-ը հաղթել է Super Bowl XLIV-ը 2010 թվականին:</v>
      </c>
    </row>
    <row r="1968">
      <c r="A1968" s="1" t="s">
        <v>3897</v>
      </c>
      <c r="B1968" s="2" t="s">
        <v>3898</v>
      </c>
      <c r="C1968" s="3" t="str">
        <f>IFERROR(__xludf.DUMMYFUNCTION("GOOGLETRANSLATE(A1968,""en"",""hy"")"),"ի՞նչ իրադարձություններ են ստիպել Ռուզվելտին ավելի շատ ինտերնացիոնալիստ դառնալ:")</f>
        <v>ի՞նչ իրադարձություններ են ստիպել Ռուզվելտին ավելի շատ ինտերնացիոնալիստ դառնալ:</v>
      </c>
      <c r="D1968" s="3" t="str">
        <f>IFERROR(__xludf.DUMMYFUNCTION("GOOGLETRANSLATE(B1968,""en"",""hy"")"),"Իրադարձությունները, որոնք ստիպեցին Ռուզվելտին ավելի շատ ինտերնացիոնալիստ դառնալ, Մեծ դեպրեսիան և Երկրորդ համաշխարհային պատերազմն էին:")</f>
        <v>Իրադարձությունները, որոնք ստիպեցին Ռուզվելտին ավելի շատ ինտերնացիոնալիստ դառնալ, Մեծ դեպրեսիան և Երկրորդ համաշխարհային պատերազմն էին:</v>
      </c>
    </row>
    <row r="1969">
      <c r="A1969" s="1" t="s">
        <v>3899</v>
      </c>
      <c r="B1969" s="2" t="s">
        <v>3900</v>
      </c>
      <c r="C1969" s="3" t="str">
        <f>IFERROR(__xludf.DUMMYFUNCTION("GOOGLETRANSLATE(A1969,""en"",""hy"")"),"ի՞նչ են ներկայացնում Մալիի դրոշի գույները:")</f>
        <v>ի՞նչ են ներկայացնում Մալիի դրոշի գույները:</v>
      </c>
      <c r="D1969" s="3" t="str">
        <f>IFERROR(__xludf.DUMMYFUNCTION("GOOGLETRANSLATE(B1969,""en"",""hy"")"),"Մալիի դրոշի գույները ներկայացնում են.
- Կանաչ. խորհրդանշում է հույսը և գյուղատնտեսությունը:
- Ոսկի. ներկայացնում է մաքրությունը, հանքային հարստությունը և Սահարա անապատը:
- Կարմիր. խորհրդանշում է ժողովրդի թափած արյունը անկախության համար պայքարում:")</f>
        <v>Մալիի դրոշի գույները ներկայացնում են.
- Կանաչ. խորհրդանշում է հույսը և գյուղատնտեսությունը:
- Ոսկի. ներկայացնում է մաքրությունը, հանքային հարստությունը և Սահարա անապատը:
- Կարմիր. խորհրդանշում է ժողովրդի թափած արյունը անկախության համար պայքարում:</v>
      </c>
    </row>
    <row r="1970">
      <c r="A1970" s="1" t="s">
        <v>3901</v>
      </c>
      <c r="B1970" s="2" t="s">
        <v>3902</v>
      </c>
      <c r="C1970" s="3" t="str">
        <f>IFERROR(__xludf.DUMMYFUNCTION("GOOGLETRANSLATE(A1970,""en"",""hy"")"),"Ե՞րբ է սկսվում դպրոցը Լոս Անջելես Կալիֆորնիայում 2011 թ.")</f>
        <v>Ե՞րբ է սկսվում դպրոցը Լոս Անջելես Կալիֆորնիայում 2011 թ.</v>
      </c>
      <c r="D1970" s="3" t="str">
        <f>IFERROR(__xludf.DUMMYFUNCTION("GOOGLETRANSLATE(B1970,""en"",""hy"")"),"Դպրոցը սովորաբար սկսվում է օգոստոսի վերջին կամ սեպտեմբերի սկզբին Լոս Անջելեսում, Կալիֆորնիա:")</f>
        <v>Դպրոցը սովորաբար սկսվում է օգոստոսի վերջին կամ սեպտեմբերի սկզբին Լոս Անջելեսում, Կալիֆորնիա:</v>
      </c>
    </row>
    <row r="1971">
      <c r="A1971" s="1" t="s">
        <v>3903</v>
      </c>
      <c r="B1971" s="2" t="s">
        <v>3904</v>
      </c>
      <c r="C1971" s="3" t="str">
        <f>IFERROR(__xludf.DUMMYFUNCTION("GOOGLETRANSLATE(A1971,""en"",""hy"")"),"Ո՞ր տարիներին են յանկիները հաղթել առաջնությունում:")</f>
        <v>Ո՞ր տարիներին են յանկիները հաղթել առաջնությունում:</v>
      </c>
      <c r="D1971" s="3" t="str">
        <f>IFERROR(__xludf.DUMMYFUNCTION("GOOGLETRANSLATE(B1971,""en"",""hy"")"),"«Նյու Յորք Յանկիսն» իր պատմության ընթացքում բազմիցս հաղթել է առաջնությունը: Նրանք 27 անգամ հաղթել են աշխարհի առաջնությունում։")</f>
        <v>«Նյու Յորք Յանկիսն» իր պատմության ընթացքում բազմիցս հաղթել է առաջնությունը: Նրանք 27 անգամ հաղթել են աշխարհի առաջնությունում։</v>
      </c>
    </row>
    <row r="1972">
      <c r="A1972" s="1" t="s">
        <v>3905</v>
      </c>
      <c r="B1972" s="2" t="s">
        <v>3906</v>
      </c>
      <c r="C1972" s="3" t="str">
        <f>IFERROR(__xludf.DUMMYFUNCTION("GOOGLETRANSLATE(A1972,""en"",""hy"")"),"ի՞նչ արեց Սամուել դե Շամպլենը:")</f>
        <v>ի՞նչ արեց Սամուել դե Շամպլենը:</v>
      </c>
      <c r="D1972" s="3" t="str">
        <f>IFERROR(__xludf.DUMMYFUNCTION("GOOGLETRANSLATE(B1972,""en"",""hy"")"),"Սամուել դը Շամպլենը ուսումնասիրեց և բնակավայրեր հիմնեց Նոր Ֆրանսիայում, որն այժմ հայտնի է որպես Կանադա։")</f>
        <v>Սամուել դը Շամպլենը ուսումնասիրեց և բնակավայրեր հիմնեց Նոր Ֆրանսիայում, որն այժմ հայտնի է որպես Կանադա։</v>
      </c>
    </row>
    <row r="1973">
      <c r="A1973" s="1" t="s">
        <v>3907</v>
      </c>
      <c r="B1973" s="2" t="s">
        <v>3908</v>
      </c>
      <c r="C1973" s="3" t="str">
        <f>IFERROR(__xludf.DUMMYFUNCTION("GOOGLETRANSLATE(A1973,""en"",""hy"")"),"ինչո՞վ էր հայտնի Ուիլյամ Ֆոլքները:")</f>
        <v>ինչո՞վ էր հայտնի Ուիլյամ Ֆոլքները:</v>
      </c>
      <c r="D1973" s="3" t="str">
        <f>IFERROR(__xludf.DUMMYFUNCTION("GOOGLETRANSLATE(B1973,""en"",""hy"")"),"Ուիլյամ Ֆոլքները հայտնի էր իր յուրահատուկ գրելու ոճով, բարդ պատմվածքներով և Ամերիկայի հարավի ուսումնասիրությամբ:")</f>
        <v>Ուիլյամ Ֆոլքները հայտնի էր իր յուրահատուկ գրելու ոճով, բարդ պատմվածքներով և Ամերիկայի հարավի ուսումնասիրությամբ:</v>
      </c>
    </row>
    <row r="1974">
      <c r="A1974" s="1" t="s">
        <v>3909</v>
      </c>
      <c r="B1974" s="2" t="s">
        <v>3910</v>
      </c>
      <c r="C1974" s="3" t="str">
        <f>IFERROR(__xludf.DUMMYFUNCTION("GOOGLETRANSLATE(A1974,""en"",""hy"")"),"ինչ լեզվով էին խոսում միվոկ հնդիկները:")</f>
        <v>ինչ լեզվով էին խոսում միվոկ հնդիկները:</v>
      </c>
      <c r="D1974" s="3" t="str">
        <f>IFERROR(__xludf.DUMMYFUNCTION("GOOGLETRANSLATE(B1974,""en"",""hy"")"),"Miwok հնդիկները խոսում էին Miwok լեզվով:")</f>
        <v>Miwok հնդիկները խոսում էին Miwok լեզվով:</v>
      </c>
    </row>
    <row r="1975">
      <c r="A1975" s="1" t="s">
        <v>3911</v>
      </c>
      <c r="B1975" s="2" t="s">
        <v>3912</v>
      </c>
      <c r="C1975" s="3" t="str">
        <f>IFERROR(__xludf.DUMMYFUNCTION("GOOGLETRANSLATE(A1975,""en"",""hy"")"),"ովքե՞ր էին Օդրի Հեփբերնի ամուսինները:")</f>
        <v>ովքե՞ր էին Օդրի Հեփբերնի ամուսինները:</v>
      </c>
      <c r="D1975" s="3" t="str">
        <f>IFERROR(__xludf.DUMMYFUNCTION("GOOGLETRANSLATE(B1975,""en"",""hy"")"),"Օդրի Հեփբերնը երկու ամուսին ուներ. Նրանց անուններն էին Մել Ֆերեր և Անդրեա Դոտտի։")</f>
        <v>Օդրի Հեփբերնը երկու ամուսին ուներ. Նրանց անուններն էին Մել Ֆերեր և Անդրեա Դոտտի։</v>
      </c>
    </row>
    <row r="1976">
      <c r="A1976" s="1" t="s">
        <v>3913</v>
      </c>
      <c r="B1976" s="2" t="s">
        <v>3914</v>
      </c>
      <c r="C1976" s="3" t="str">
        <f>IFERROR(__xludf.DUMMYFUNCTION("GOOGLETRANSLATE(A1976,""en"",""hy"")"),"ովքե՞ր են եղել Եղիսաբեթ 1 թագուհու ծնողները:")</f>
        <v>ովքե՞ր են եղել Եղիսաբեթ 1 թագուհու ծնողները:</v>
      </c>
      <c r="D1976" s="3" t="str">
        <f>IFERROR(__xludf.DUMMYFUNCTION("GOOGLETRANSLATE(B1976,""en"",""hy"")"),"Եղիսաբեթ I թագուհու ծնողներն էին Հենրի VIII թագավորը և Աննա Բոլեյնը։")</f>
        <v>Եղիսաբեթ I թագուհու ծնողներն էին Հենրի VIII թագավորը և Աննա Բոլեյնը։</v>
      </c>
    </row>
    <row r="1977">
      <c r="A1977" s="1" t="s">
        <v>3915</v>
      </c>
      <c r="B1977" s="2" t="s">
        <v>3916</v>
      </c>
      <c r="C1977" s="3" t="str">
        <f>IFERROR(__xludf.DUMMYFUNCTION("GOOGLETRANSLATE(A1977,""en"",""hy"")"),"ինչ ես ուզում ինձնից jerrod niemann բառերի իմաստը.")</f>
        <v>ինչ ես ուզում ինձնից jerrod niemann բառերի իմաստը.</v>
      </c>
      <c r="D1977" s="3" t="str">
        <f>IFERROR(__xludf.DUMMYFUNCTION("GOOGLETRANSLATE(B1977,""en"",""hy"")"),"Ջերոդ Նիմանի «What Do You Want» երգի բառերի իմաստը մի մարդու մասին է, ով արտահայտում է իր հիասթափությունն ու շփոթությունը նախկին զուգընկերոջը, ով շարունակում է կապ հաստատել հարաբերությունների ավարտից հետո: Նրանք հարցնում են, թե ինչու է նախկինը փորձում կապ"&amp;"ի մեջ մնալ և ազնվություն է խնդրում իրենց մտադրությունների մասին:")</f>
        <v>Ջերոդ Նիմանի «What Do You Want» երգի բառերի իմաստը մի մարդու մասին է, ով արտահայտում է իր հիասթափությունն ու շփոթությունը նախկին զուգընկերոջը, ով շարունակում է կապ հաստատել հարաբերությունների ավարտից հետո: Նրանք հարցնում են, թե ինչու է նախկինը փորձում կապի մեջ մնալ և ազնվություն է խնդրում իրենց մտադրությունների մասին:</v>
      </c>
    </row>
    <row r="1978">
      <c r="A1978" s="1" t="s">
        <v>3917</v>
      </c>
      <c r="B1978" s="2" t="s">
        <v>3918</v>
      </c>
      <c r="C1978" s="3" t="str">
        <f>IFERROR(__xludf.DUMMYFUNCTION("GOOGLETRANSLATE(A1978,""en"",""hy"")"),"ինչ արեց Ռոբերտ Կոխը")</f>
        <v>ինչ արեց Ռոբերտ Կոխը</v>
      </c>
      <c r="D1978" s="3" t="str">
        <f>IFERROR(__xludf.DUMMYFUNCTION("GOOGLETRANSLATE(B1978,""en"",""hy"")"),"Ռոբերտ Կոխը գերմանացի բժիշկ և մանրէաբան էր, ով հայտնի է մանրէաբանության ոլորտում իր հայտնագործություններով, ներառյալ տուբերկուլյոզի, խոլերայի և սիբիրախտի հարուցիչները բացահայտելով:")</f>
        <v>Ռոբերտ Կոխը գերմանացի բժիշկ և մանրէաբան էր, ով հայտնի է մանրէաբանության ոլորտում իր հայտնագործություններով, ներառյալ տուբերկուլյոզի, խոլերայի և սիբիրախտի հարուցիչները բացահայտելով:</v>
      </c>
    </row>
    <row r="1979">
      <c r="A1979" s="1" t="s">
        <v>3919</v>
      </c>
      <c r="B1979" s="2" t="s">
        <v>3920</v>
      </c>
      <c r="C1979" s="3" t="str">
        <f>IFERROR(__xludf.DUMMYFUNCTION("GOOGLETRANSLATE(A1979,""en"",""hy"")"),"ո՞ւմ համար է խաղում Կրիշտիանու Ռոնալդուն")</f>
        <v>ո՞ւմ համար է խաղում Կրիշտիանու Ռոնալդուն</v>
      </c>
      <c r="D1979" s="3" t="str">
        <f>IFERROR(__xludf.DUMMYFUNCTION("GOOGLETRANSLATE(B1979,""en"",""hy"")"),"Կրիշտիանու Ռոնալդուն այժմ խաղում է «Մանչեսթեր Յունայթեդում»:")</f>
        <v>Կրիշտիանու Ռոնալդուն այժմ խաղում է «Մանչեսթեր Յունայթեդում»:</v>
      </c>
    </row>
    <row r="1980">
      <c r="A1980" s="1" t="s">
        <v>3921</v>
      </c>
      <c r="B1980" s="2" t="s">
        <v>3922</v>
      </c>
      <c r="C1980" s="3" t="str">
        <f>IFERROR(__xludf.DUMMYFUNCTION("GOOGLETRANSLATE(A1980,""en"",""hy"")"),"ո՞ր արժույթն է ավելի լավ տանել Դոմինիկյան Հանրապետություն:")</f>
        <v>ո՞ր արժույթն է ավելի լավ տանել Դոմինիկյան Հանրապետություն:</v>
      </c>
      <c r="D1980" s="3" t="str">
        <f>IFERROR(__xludf.DUMMYFUNCTION("GOOGLETRANSLATE(B1980,""en"",""hy"")"),"Դոմինիկյան Հանրապետություն տանելու լավագույն արժույթը Դոմինիկյան պեսոն է (DOP):")</f>
        <v>Դոմինիկյան Հանրապետություն տանելու լավագույն արժույթը Դոմինիկյան պեսոն է (DOP):</v>
      </c>
    </row>
    <row r="1981">
      <c r="A1981" s="1" t="s">
        <v>3923</v>
      </c>
      <c r="B1981" s="2" t="s">
        <v>3924</v>
      </c>
      <c r="C1981" s="3" t="str">
        <f>IFERROR(__xludf.DUMMYFUNCTION("GOOGLETRANSLATE(A1981,""en"",""hy"")"),"ով է Բեթթի Ուայթը")</f>
        <v>ով է Բեթթի Ուայթը</v>
      </c>
      <c r="D1981" s="3" t="str">
        <f>IFERROR(__xludf.DUMMYFUNCTION("GOOGLETRANSLATE(B1981,""en"",""hy"")"),"Բեթի Ուայթը ամերիկացի դերասանուհի և կատակերգու է։")</f>
        <v>Բեթի Ուայթը ամերիկացի դերասանուհի և կատակերգու է։</v>
      </c>
    </row>
    <row r="1982">
      <c r="A1982" s="1" t="s">
        <v>3925</v>
      </c>
      <c r="B1982" s="2" t="s">
        <v>3926</v>
      </c>
      <c r="C1982" s="3" t="str">
        <f>IFERROR(__xludf.DUMMYFUNCTION("GOOGLETRANSLATE(A1982,""en"",""hy"")"),"ի՞նչ է մինչ այժմ հայտնաբերվել Մարսի վրա.")</f>
        <v>ի՞նչ է մինչ այժմ հայտնաբերվել Մարսի վրա.</v>
      </c>
      <c r="D1982" s="3" t="str">
        <f>IFERROR(__xludf.DUMMYFUNCTION("GOOGLETRANSLATE(B1982,""en"",""hy"")"),"Մարսի վրա մինչ այժմ հայտնաբերվել են ջրային սառույց, անցյալի ջրային հոսքեր, մթնոլորտ, որը հիմնականում բաղկացած է ածխաթթու գազից և անցյալի մանրէաբանական կյանքի հնարավոր նշանները:")</f>
        <v>Մարսի վրա մինչ այժմ հայտնաբերվել են ջրային սառույց, անցյալի ջրային հոսքեր, մթնոլորտ, որը հիմնականում բաղկացած է ածխաթթու գազից և անցյալի մանրէաբանական կյանքի հնարավոր նշանները:</v>
      </c>
    </row>
    <row r="1983">
      <c r="A1983" s="1" t="s">
        <v>3927</v>
      </c>
      <c r="B1983" s="2" t="s">
        <v>3928</v>
      </c>
      <c r="C1983" s="3" t="str">
        <f>IFERROR(__xludf.DUMMYFUNCTION("GOOGLETRANSLATE(A1983,""en"",""hy"")"),"ով է Լեյթոն Հյուիթը")</f>
        <v>ով է Լեյթոն Հյուիթը</v>
      </c>
      <c r="D1983" s="3" t="str">
        <f>IFERROR(__xludf.DUMMYFUNCTION("GOOGLETRANSLATE(B1983,""en"",""hy"")"),"Լեյթոն Հյուիթը թոշակի անցած ավստրալացի պրոֆեսիոնալ թենիսիստ է։")</f>
        <v>Լեյթոն Հյուիթը թոշակի անցած ավստրալացի պրոֆեսիոնալ թենիսիստ է։</v>
      </c>
    </row>
    <row r="1984">
      <c r="A1984" s="1" t="s">
        <v>3929</v>
      </c>
      <c r="B1984" s="2" t="s">
        <v>3930</v>
      </c>
      <c r="C1984" s="3" t="str">
        <f>IFERROR(__xludf.DUMMYFUNCTION("GOOGLETRANSLATE(A1984,""en"",""hy"")"),"Ո՞ր ֆիլմերում է նկարահանվել Քվենտին Տարանտինոն:")</f>
        <v>Ո՞ր ֆիլմերում է նկարահանվել Քվենտին Տարանտինոն:</v>
      </c>
      <c r="D1984" s="3" t="str">
        <f>IFERROR(__xludf.DUMMYFUNCTION("GOOGLETRANSLATE(B1984,""en"",""hy"")"),"Քվենտին Տարանտինոն ոչ մի ֆիլմում չի նկարահանվել. Նա հիմնականում հայտնի է որպես կինոռեժիսոր և ռեժիսոր։")</f>
        <v>Քվենտին Տարանտինոն ոչ մի ֆիլմում չի նկարահանվել. Նա հիմնականում հայտնի է որպես կինոռեժիսոր և ռեժիսոր։</v>
      </c>
    </row>
    <row r="1985">
      <c r="A1985" s="1" t="s">
        <v>3931</v>
      </c>
      <c r="B1985" s="2" t="s">
        <v>3932</v>
      </c>
      <c r="C1985" s="3" t="str">
        <f>IFERROR(__xludf.DUMMYFUNCTION("GOOGLETRANSLATE(A1985,""en"",""hy"")"),"ինչ լեզվով է խոսում Նոր Զելանդիան:")</f>
        <v>ինչ լեզվով է խոսում Նոր Զելանդիան:</v>
      </c>
      <c r="D1985" s="3" t="str">
        <f>IFERROR(__xludf.DUMMYFUNCTION("GOOGLETRANSLATE(B1985,""en"",""hy"")"),"Նոր Զելանդիայի պաշտոնական լեզուն անգլերենն է։")</f>
        <v>Նոր Զելանդիայի պաշտոնական լեզուն անգլերենն է։</v>
      </c>
    </row>
    <row r="1986">
      <c r="A1986" s="1" t="s">
        <v>3933</v>
      </c>
      <c r="B1986" s="2" t="s">
        <v>3934</v>
      </c>
      <c r="C1986" s="3" t="str">
        <f>IFERROR(__xludf.DUMMYFUNCTION("GOOGLETRANSLATE(A1986,""en"",""hy"")"),"ինչպիսի՞ քաղցկեղով է սպանվել Լարի Հեգմենը:")</f>
        <v>ինչպիսի՞ քաղցկեղով է սպանվել Լարի Հեգմենը:</v>
      </c>
      <c r="D1986" s="3" t="str">
        <f>IFERROR(__xludf.DUMMYFUNCTION("GOOGLETRANSLATE(B1986,""en"",""hy"")"),"Լարի Հագմանը մահացել է սուր միելոիդ լեյկոզի (ԱՄԼ) հետ կապված բարդություններից:")</f>
        <v>Լարի Հագմանը մահացել է սուր միելոիդ լեյկոզի (ԱՄԼ) հետ կապված բարդություններից:</v>
      </c>
    </row>
    <row r="1987">
      <c r="A1987" s="1" t="s">
        <v>3935</v>
      </c>
      <c r="B1987" s="2" t="s">
        <v>3936</v>
      </c>
      <c r="C1987" s="3" t="str">
        <f>IFERROR(__xludf.DUMMYFUNCTION("GOOGLETRANSLATE(A1987,""en"",""hy"")"),"ի՞նչ թմրանյութեր է օգտագործում Չարլի Շինը:")</f>
        <v>ի՞նչ թմրանյութեր է օգտագործում Չարլի Շինը:</v>
      </c>
      <c r="D1987" s="3" t="str">
        <f>IFERROR(__xludf.DUMMYFUNCTION("GOOGLETRANSLATE(B1987,""en"",""hy"")"),"Կներեք, բայց ես չեմ կարող օգնել այդ հարցին:")</f>
        <v>Կներեք, բայց ես չեմ կարող օգնել այդ հարցին:</v>
      </c>
    </row>
    <row r="1988">
      <c r="A1988" s="1" t="s">
        <v>3937</v>
      </c>
      <c r="B1988" s="2" t="s">
        <v>3938</v>
      </c>
      <c r="C1988" s="3" t="str">
        <f>IFERROR(__xludf.DUMMYFUNCTION("GOOGLETRANSLATE(A1988,""en"",""hy"")"),"ով է հանդիպում Քլինթ Իսթվուդի հետ")</f>
        <v>ով է հանդիպում Քլինթ Իսթվուդի հետ</v>
      </c>
      <c r="D1988" s="3" t="str">
        <f>IFERROR(__xludf.DUMMYFUNCTION("GOOGLETRANSLATE(B1988,""en"",""hy"")"),"Քլինթ Իսթվուդի ժամադրության կյանքը հանրությանը հայտնի չէ, քանի որ նա գաղտնի է պահում իր անձնական հարաբերությունները:")</f>
        <v>Քլինթ Իսթվուդի ժամադրության կյանքը հանրությանը հայտնի չէ, քանի որ նա գաղտնի է պահում իր անձնական հարաբերությունները:</v>
      </c>
    </row>
    <row r="1989">
      <c r="A1989" s="1" t="s">
        <v>3939</v>
      </c>
      <c r="B1989" s="2" t="s">
        <v>3940</v>
      </c>
      <c r="C1989" s="3" t="str">
        <f>IFERROR(__xludf.DUMMYFUNCTION("GOOGLETRANSLATE(A1989,""en"",""hy"")"),"ո՞ր շրջանում է գտնվում Սակրամենտոն:")</f>
        <v>ո՞ր շրջանում է գտնվում Սակրամենտոն:</v>
      </c>
      <c r="D1989" s="3" t="str">
        <f>IFERROR(__xludf.DUMMYFUNCTION("GOOGLETRANSLATE(B1989,""en"",""hy"")"),"Սակրամենտո գտնվում է Սակրամենտո կոմսությունում։")</f>
        <v>Սակրամենտո գտնվում է Սակրամենտո կոմսությունում։</v>
      </c>
    </row>
    <row r="1990">
      <c r="A1990" s="1" t="s">
        <v>3941</v>
      </c>
      <c r="B1990" s="2" t="s">
        <v>3942</v>
      </c>
      <c r="C1990" s="3" t="str">
        <f>IFERROR(__xludf.DUMMYFUNCTION("GOOGLETRANSLATE(A1990,""en"",""hy"")"),"ինչի՞ց է մահացել Օդրի Հեփբերնը.")</f>
        <v>ինչի՞ց է մահացել Օդրի Հեփբերնը.</v>
      </c>
      <c r="D1990" s="3" t="str">
        <f>IFERROR(__xludf.DUMMYFUNCTION("GOOGLETRANSLATE(B1990,""en"",""hy"")"),"Օդրի Հեփբերնը մահացել է կույր աղիքի քաղցկեղից։")</f>
        <v>Օդրի Հեփբերնը մահացել է կույր աղիքի քաղցկեղից։</v>
      </c>
    </row>
    <row r="1991">
      <c r="A1991" s="1" t="s">
        <v>3943</v>
      </c>
      <c r="B1991" s="2" t="s">
        <v>3944</v>
      </c>
      <c r="C1991" s="3" t="str">
        <f>IFERROR(__xludf.DUMMYFUNCTION("GOOGLETRANSLATE(A1991,""en"",""hy"")"),"Ո՞ր երկրում է գրվել Վերսալի պայմանագիրը:")</f>
        <v>Ո՞ր երկրում է գրվել Վերսալի պայմանագիրը:</v>
      </c>
      <c r="D1991" s="3" t="str">
        <f>IFERROR(__xludf.DUMMYFUNCTION("GOOGLETRANSLATE(B1991,""en"",""hy"")"),"Ֆրանսիայում գրվել է Վերսալի պայմանագիրը։")</f>
        <v>Ֆրանսիայում գրվել է Վերսալի պայմանագիրը։</v>
      </c>
    </row>
    <row r="1992">
      <c r="A1992" s="1" t="s">
        <v>3945</v>
      </c>
      <c r="B1992" s="2" t="s">
        <v>3946</v>
      </c>
      <c r="C1992" s="3" t="str">
        <f>IFERROR(__xludf.DUMMYFUNCTION("GOOGLETRANSLATE(A1992,""en"",""hy"")"),"ինչ է Սուրբ Մարիամ թալիսմանը:")</f>
        <v>ինչ է Սուրբ Մարիամ թալիսմանը:</v>
      </c>
      <c r="D1992" s="3" t="str">
        <f>IFERROR(__xludf.DUMMYFUNCTION("GOOGLETRANSLATE(B1992,""en"",""hy"")"),"Ցավում եմ, բայց ինձ հասանելի չեն թալիսմանների մասին կոնկրետ տեղեկություններ: Կարո՞ղ եք ավելի շատ համատեքստ ներկայացնել կամ նշել, թե որ Սուրբ Մարիամին եք ակնարկում:")</f>
        <v>Ցավում եմ, բայց ինձ հասանելի չեն թալիսմանների մասին կոնկրետ տեղեկություններ: Կարո՞ղ եք ավելի շատ համատեքստ ներկայացնել կամ նշել, թե որ Սուրբ Մարիամին եք ակնարկում:</v>
      </c>
    </row>
    <row r="1993">
      <c r="A1993" s="1" t="s">
        <v>3947</v>
      </c>
      <c r="B1993" s="2" t="s">
        <v>3948</v>
      </c>
      <c r="C1993" s="3" t="str">
        <f>IFERROR(__xludf.DUMMYFUNCTION("GOOGLETRANSLATE(A1993,""en"",""hy"")"),"ով էր Իրվինգ Բեռլինը և ինչ արեց:")</f>
        <v>ով էր Իրվինգ Բեռլինը և ինչ արեց:</v>
      </c>
      <c r="D1993" s="3" t="str">
        <f>IFERROR(__xludf.DUMMYFUNCTION("GOOGLETRANSLATE(B1993,""en"",""hy"")"),"Իրվինգ Բեռլինը ամերիկացի կոմպոզիտոր և երգահան էր։ Նա գրել է բազմաթիվ հայտնի երգեր, այդ թվում՝ «White Christmas» և «God Bless America»:")</f>
        <v>Իրվինգ Բեռլինը ամերիկացի կոմպոզիտոր և երգահան էր։ Նա գրել է բազմաթիվ հայտնի երգեր, այդ թվում՝ «White Christmas» և «God Bless America»:</v>
      </c>
    </row>
    <row r="1994">
      <c r="A1994" s="1" t="s">
        <v>3949</v>
      </c>
      <c r="B1994" s="2" t="s">
        <v>3950</v>
      </c>
      <c r="C1994" s="3" t="str">
        <f>IFERROR(__xludf.DUMMYFUNCTION("GOOGLETRANSLATE(A1994,""en"",""hy"")"),"ով է կրակել Լենոնին")</f>
        <v>ով է կրակել Լենոնին</v>
      </c>
      <c r="D1994" s="3" t="str">
        <f>IFERROR(__xludf.DUMMYFUNCTION("GOOGLETRANSLATE(B1994,""en"",""hy"")"),"Մարկ Դեյվիդ Չեփմենը կրակել է Ջոն Լենոնի վրա.")</f>
        <v>Մարկ Դեյվիդ Չեփմենը կրակել է Ջոն Լենոնի վրա.</v>
      </c>
    </row>
    <row r="1995">
      <c r="A1995" s="1" t="s">
        <v>3951</v>
      </c>
      <c r="B1995" s="2" t="s">
        <v>3952</v>
      </c>
      <c r="C1995" s="3" t="str">
        <f>IFERROR(__xludf.DUMMYFUNCTION("GOOGLETRANSLATE(A1995,""en"",""hy"")"),"ի՞նչ տեղի ունեցավ Ուիլյամ Հենրի Հարիսոնի նախագահության ժամանակ:")</f>
        <v>ի՞նչ տեղի ունեցավ Ուիլյամ Հենրի Հարիսոնի նախագահության ժամանակ:</v>
      </c>
      <c r="D1995" s="3" t="str">
        <f>IFERROR(__xludf.DUMMYFUNCTION("GOOGLETRANSLATE(B1995,""en"",""hy"")"),"Ուիլյամ Հենրի Հարիսոնի նախագահությունը կարճ տեւեց, քանի որ նա մահացավ պաշտոնը ստանձնելուց ընդամենը 32 օր անց:")</f>
        <v>Ուիլյամ Հենրի Հարիսոնի նախագահությունը կարճ տեւեց, քանի որ նա մահացավ պաշտոնը ստանձնելուց ընդամենը 32 օր անց:</v>
      </c>
    </row>
    <row r="1996">
      <c r="A1996" s="1" t="s">
        <v>3953</v>
      </c>
      <c r="B1996" s="2" t="s">
        <v>3954</v>
      </c>
      <c r="C1996" s="3" t="str">
        <f>IFERROR(__xludf.DUMMYFUNCTION("GOOGLETRANSLATE(A1996,""en"",""hy"")"),"որտեղ է գտնվում Denver Broncos մարզադաշտը:")</f>
        <v>որտեղ է գտնվում Denver Broncos մարզադաշտը:</v>
      </c>
      <c r="D1996" s="3" t="str">
        <f>IFERROR(__xludf.DUMMYFUNCTION("GOOGLETRANSLATE(B1996,""en"",""hy"")"),"Denver Broncos մարզադաշտը գտնվում է Կոլորադոյի Դենվեր քաղաքում։")</f>
        <v>Denver Broncos մարզադաշտը գտնվում է Կոլորադոյի Դենվեր քաղաքում։</v>
      </c>
    </row>
    <row r="1997">
      <c r="A1997" s="1" t="s">
        <v>3955</v>
      </c>
      <c r="B1997" s="2" t="s">
        <v>3956</v>
      </c>
      <c r="C1997" s="3" t="str">
        <f>IFERROR(__xludf.DUMMYFUNCTION("GOOGLETRANSLATE(A1997,""en"",""hy"")"),"որտեղ էր ապրում սըր Էռնեստ Շեքլթոնը")</f>
        <v>որտեղ էր ապրում սըր Էռնեստ Շեքլթոնը</v>
      </c>
      <c r="D1997" s="3" t="str">
        <f>IFERROR(__xludf.DUMMYFUNCTION("GOOGLETRANSLATE(B1997,""en"",""hy"")"),"Սըր Էռնեստ Շեքլթոնն իր կյանքի ընթացքում ապրել է տարբեր վայրերում, այդ թվում՝ Անգլիայում և Հարավային Ջորջիա կղզում:")</f>
        <v>Սըր Էռնեստ Շեքլթոնն իր կյանքի ընթացքում ապրել է տարբեր վայրերում, այդ թվում՝ Անգլիայում և Հարավային Ջորջիա կղզում:</v>
      </c>
    </row>
    <row r="1998">
      <c r="A1998" s="1" t="s">
        <v>3957</v>
      </c>
      <c r="B1998" s="2" t="s">
        <v>3958</v>
      </c>
      <c r="C1998" s="3" t="str">
        <f>IFERROR(__xludf.DUMMYFUNCTION("GOOGLETRANSLATE(A1998,""en"",""hy"")"),"ի՞նչ տեսակի երաժշտություն է Սքոթ Ջոփլինը:")</f>
        <v>ի՞նչ տեսակի երաժշտություն է Սքոթ Ջոփլինը:</v>
      </c>
      <c r="D1998" s="3" t="str">
        <f>IFERROR(__xludf.DUMMYFUNCTION("GOOGLETRANSLATE(B1998,""en"",""hy"")"),"Սքոթ Ջոպլինը հայտնի է ռեգթայմ երաժշտության մեջ իր ներդրումով։")</f>
        <v>Սքոթ Ջոպլինը հայտնի է ռեգթայմ երաժշտության մեջ իր ներդրումով։</v>
      </c>
    </row>
    <row r="1999">
      <c r="A1999" s="1" t="s">
        <v>3959</v>
      </c>
      <c r="B1999" s="2" t="s">
        <v>3960</v>
      </c>
      <c r="C1999" s="3" t="str">
        <f>IFERROR(__xludf.DUMMYFUNCTION("GOOGLETRANSLATE(A1999,""en"",""hy"")"),"որտեղի՞ց է ծագել ուելսերենը:")</f>
        <v>որտեղի՞ց է ծագել ուելսերենը:</v>
      </c>
      <c r="D1999" s="3" t="str">
        <f>IFERROR(__xludf.DUMMYFUNCTION("GOOGLETRANSLATE(B1999,""en"",""hy"")"),"Ուելսերենը ծագել է Ուելսից։")</f>
        <v>Ուելսերենը ծագել է Ուելսից։</v>
      </c>
    </row>
    <row r="2000">
      <c r="A2000" s="1" t="s">
        <v>3961</v>
      </c>
      <c r="B2000" s="2" t="s">
        <v>3962</v>
      </c>
      <c r="C2000" s="3" t="str">
        <f>IFERROR(__xludf.DUMMYFUNCTION("GOOGLETRANSLATE(A2000,""en"",""hy"")"),"ով է Լեյան կարծում, որ իր հայրն է:")</f>
        <v>ով է Լեյան կարծում, որ իր հայրն է:</v>
      </c>
      <c r="D2000" s="3" t="str">
        <f>IFERROR(__xludf.DUMMYFUNCTION("GOOGLETRANSLATE(B2000,""en"",""hy"")"),"Լեյան կարծում է, որ իր հայրը Անակին Սքայուոքերն է՝ Դարթ Վեյդերը:")</f>
        <v>Լեյան կարծում է, որ իր հայրը Անակին Սքայուոքերն է՝ Դարթ Վեյդերը:</v>
      </c>
    </row>
    <row r="2001">
      <c r="A2001" s="1" t="s">
        <v>3963</v>
      </c>
      <c r="B2001" s="2" t="s">
        <v>3964</v>
      </c>
      <c r="C2001" s="3" t="str">
        <f>IFERROR(__xludf.DUMMYFUNCTION("GOOGLETRANSLATE(A2001,""en"",""hy"")"),"ի՞նչ լեզուներով են խոսում մարդիկ Շվեյցարիայում:")</f>
        <v>ի՞նչ լեզուներով են խոսում մարդիկ Շվեյցարիայում:</v>
      </c>
      <c r="D2001" s="3" t="str">
        <f>IFERROR(__xludf.DUMMYFUNCTION("GOOGLETRANSLATE(B2001,""en"",""hy"")"),"Շվեյցարիայում պաշտոնական լեզուներն են գերմաներենը, ֆրանսերենը, իտալերենը և ռոմանշերենը։")</f>
        <v>Շվեյցարիայում պաշտոնական լեզուներն են գերմաներենը, ֆրանսերենը, իտալերենը և ռոմանշերենը։</v>
      </c>
    </row>
    <row r="2002">
      <c r="A2002" s="1" t="s">
        <v>3965</v>
      </c>
      <c r="B2002" s="2" t="s">
        <v>3966</v>
      </c>
      <c r="C2002" s="3" t="str">
        <f>IFERROR(__xludf.DUMMYFUNCTION("GOOGLETRANSLATE(A2002,""en"",""hy"")"),"ով է Ֆրանսիայի նախագահը")</f>
        <v>ով է Ֆրանսիայի նախագահը</v>
      </c>
      <c r="D2002" s="3" t="str">
        <f>IFERROR(__xludf.DUMMYFUNCTION("GOOGLETRANSLATE(B2002,""en"",""hy"")"),"Էմանուել Մակրոն.")</f>
        <v>Էմանուել Մակրոն.</v>
      </c>
    </row>
    <row r="2003">
      <c r="A2003" s="1" t="s">
        <v>3967</v>
      </c>
      <c r="B2003" s="2" t="s">
        <v>3968</v>
      </c>
      <c r="C2003" s="3" t="str">
        <f>IFERROR(__xludf.DUMMYFUNCTION("GOOGLETRANSLATE(A2003,""en"",""hy"")"),"ով է հնչեցրել Ալֆի ձայնը")</f>
        <v>ով է հնչեցրել Ալֆի ձայնը</v>
      </c>
      <c r="D2003" s="3" t="str">
        <f>IFERROR(__xludf.DUMMYFUNCTION("GOOGLETRANSLATE(B2003,""en"",""hy"")"),"Պոլ Ֆուսկո")</f>
        <v>Պոլ Ֆուսկո</v>
      </c>
    </row>
    <row r="2004">
      <c r="A2004" s="1" t="s">
        <v>3969</v>
      </c>
      <c r="B2004" s="2" t="s">
        <v>3970</v>
      </c>
      <c r="C2004" s="3" t="str">
        <f>IFERROR(__xludf.DUMMYFUNCTION("GOOGLETRANSLATE(A2004,""en"",""hy"")"),"ո՞րն էր Թեոդոր Ռուզվելտի քաղաքական կուսակցությունը:")</f>
        <v>ո՞րն էր Թեոդոր Ռուզվելտի քաղաքական կուսակցությունը:</v>
      </c>
      <c r="D2004" s="3" t="str">
        <f>IFERROR(__xludf.DUMMYFUNCTION("GOOGLETRANSLATE(B2004,""en"",""hy"")"),"Թեոդոր Ռուզվելտի քաղաքական կուսակցությունը Հանրապետական ​​կուսակցությունն էր։")</f>
        <v>Թեոդոր Ռուզվելտի քաղաքական կուսակցությունը Հանրապետական ​​կուսակցությունն էր։</v>
      </c>
    </row>
    <row r="2005">
      <c r="A2005" s="1" t="s">
        <v>3971</v>
      </c>
      <c r="B2005" s="2" t="s">
        <v>3972</v>
      </c>
      <c r="C2005" s="3" t="str">
        <f>IFERROR(__xludf.DUMMYFUNCTION("GOOGLETRANSLATE(A2005,""en"",""hy"")"),"Ո՞ր տարում են հիմնադրվել ցինցինատի կարմիրները:")</f>
        <v>Ո՞ր տարում են հիմնադրվել ցինցինատի կարմիրները:</v>
      </c>
      <c r="D2005" s="3" t="str">
        <f>IFERROR(__xludf.DUMMYFUNCTION("GOOGLETRANSLATE(B2005,""en"",""hy"")"),"Cincinnati Reds-ը հիմնադրվել է 1881 թվականին։")</f>
        <v>Cincinnati Reds-ը հիմնադրվել է 1881 թվականին։</v>
      </c>
    </row>
    <row r="2006">
      <c r="A2006" s="1" t="s">
        <v>3973</v>
      </c>
      <c r="B2006" s="2" t="s">
        <v>3974</v>
      </c>
      <c r="C2006" s="3" t="str">
        <f>IFERROR(__xludf.DUMMYFUNCTION("GOOGLETRANSLATE(A2006,""en"",""hy"")"),"որտե՞ղ է Ուլիսի դրամաշնորհը գնում դպրոց:")</f>
        <v>որտե՞ղ է Ուլիսի դրամաշնորհը գնում դպրոց:</v>
      </c>
      <c r="D2006" s="3" t="str">
        <f>IFERROR(__xludf.DUMMYFUNCTION("GOOGLETRANSLATE(B2006,""en"",""hy"")"),"Ուլիսես Ս. Գրանտը հաճախել է Վեսթ Փոյնթում գտնվող Միացյալ Նահանգների ռազմական ակադեմիան:")</f>
        <v>Ուլիսես Ս. Գրանտը հաճախել է Վեսթ Փոյնթում գտնվող Միացյալ Նահանգների ռազմական ակադեմիան:</v>
      </c>
    </row>
    <row r="2007">
      <c r="A2007" s="1" t="s">
        <v>3975</v>
      </c>
      <c r="B2007" s="2" t="s">
        <v>1643</v>
      </c>
      <c r="C2007" s="3" t="str">
        <f>IFERROR(__xludf.DUMMYFUNCTION("GOOGLETRANSLATE(A2007,""en"",""hy"")"),"որտեղ են արտադրվում kia մեքենաները.")</f>
        <v>որտեղ են արտադրվում kia մեքենաները.</v>
      </c>
      <c r="D2007" s="3" t="str">
        <f>IFERROR(__xludf.DUMMYFUNCTION("GOOGLETRANSLATE(B2007,""en"",""hy"")"),"Kia մեքենաները արտադրվում են Հարավային Կորեայում։")</f>
        <v>Kia մեքենաները արտադրվում են Հարավային Կորեայում։</v>
      </c>
    </row>
    <row r="2008">
      <c r="A2008" s="1" t="s">
        <v>3976</v>
      </c>
      <c r="B2008" s="2" t="s">
        <v>3977</v>
      </c>
      <c r="C2008" s="3" t="str">
        <f>IFERROR(__xludf.DUMMYFUNCTION("GOOGLETRANSLATE(A2008,""en"",""hy"")"),"Ո՞ր ամսագրում է աշխատել Էդգար Ալան Պոն:")</f>
        <v>Ո՞ր ամսագրում է աշխատել Էդգար Ալան Պոն:</v>
      </c>
      <c r="D2008" s="3" t="str">
        <f>IFERROR(__xludf.DUMMYFUNCTION("GOOGLETRANSLATE(B2008,""en"",""hy"")"),"Էդգար Ալան Պոն իր կարիերայի ընթացքում աշխատել է տարբեր ամսագրերում, այդ թվում՝ Southern Literary Messenger-ում, Graham's Magazine-ում և Burton's Gentleman's Magazine-ում:")</f>
        <v>Էդգար Ալան Պոն իր կարիերայի ընթացքում աշխատել է տարբեր ամսագրերում, այդ թվում՝ Southern Literary Messenger-ում, Graham's Magazine-ում և Burton's Gentleman's Magazine-ում:</v>
      </c>
    </row>
    <row r="2009">
      <c r="A2009" s="1" t="s">
        <v>3978</v>
      </c>
      <c r="B2009" s="2" t="s">
        <v>3979</v>
      </c>
      <c r="C2009" s="3" t="str">
        <f>IFERROR(__xludf.DUMMYFUNCTION("GOOGLETRANSLATE(A2009,""en"",""hy"")"),"որտեղ են արտադրվում արևի ճառագայթների սարքերը:")</f>
        <v>որտեղ են արտադրվում արևի ճառագայթների սարքերը:</v>
      </c>
      <c r="D2009" s="3" t="str">
        <f>IFERROR(__xludf.DUMMYFUNCTION("GOOGLETRANSLATE(B2009,""en"",""hy"")"),"Sunbeam սարքերը արտադրվում են աշխարհի տարբեր վայրերում, ներառյալ Միացյալ Նահանգները, Չինաստանը և Մեքսիկան:")</f>
        <v>Sunbeam սարքերը արտադրվում են աշխարհի տարբեր վայրերում, ներառյալ Միացյալ Նահանգները, Չինաստանը և Մեքսիկան:</v>
      </c>
    </row>
    <row r="2010">
      <c r="A2010" s="1" t="s">
        <v>3980</v>
      </c>
      <c r="B2010" s="2" t="s">
        <v>3981</v>
      </c>
      <c r="C2010" s="3" t="str">
        <f>IFERROR(__xludf.DUMMYFUNCTION("GOOGLETRANSLATE(A2010,""en"",""hy"")"),"որտեղ էին ապրում chickasaw հնդիկները:")</f>
        <v>որտեղ էին ապրում chickasaw հնդիկները:</v>
      </c>
      <c r="D2010" s="3" t="str">
        <f>IFERROR(__xludf.DUMMYFUNCTION("GOOGLETRANSLATE(B2010,""en"",""hy"")"),"Chickasaw հնդիկները հիմնականում ապրում էին այժմյան Միսիսիպի, Թենեսի, Ալաբամա և Կենտուկի նահանգներում:")</f>
        <v>Chickasaw հնդիկները հիմնականում ապրում էին այժմյան Միսիսիպի, Թենեսի, Ալաբամա և Կենտուկի նահանգներում:</v>
      </c>
    </row>
    <row r="2011">
      <c r="A2011" s="1" t="s">
        <v>3982</v>
      </c>
      <c r="B2011" s="2" t="s">
        <v>3983</v>
      </c>
      <c r="C2011" s="3" t="str">
        <f>IFERROR(__xludf.DUMMYFUNCTION("GOOGLETRANSLATE(A2011,""en"",""hy"")"),"ի՞նչ տեղի ունեցավ Անն Ֆրանկի մահից հետո:")</f>
        <v>ի՞նչ տեղի ունեցավ Անն Ֆրանկի մահից հետո:</v>
      </c>
      <c r="D2011" s="3" t="str">
        <f>IFERROR(__xludf.DUMMYFUNCTION("GOOGLETRANSLATE(B2011,""en"",""hy"")"),"Աննա Ֆրանկի մահից հետո նրա օրագիրը հրատարակվեց և միջազգային ճանաչում ձեռք բերեց որպես Հոլոքոստի ժամանակ հրեական փորձառության հզոր անձնական պատմություն: Այդ ժամանակվանից այն թարգմանվել է բազմաթիվ լեզուներով և շարունակում է ընթերցվել ու ուսումնասիրվել աշխար"&amp;"հի բոլոր մարդկանց կողմից:")</f>
        <v>Աննա Ֆրանկի մահից հետո նրա օրագիրը հրատարակվեց և միջազգային ճանաչում ձեռք բերեց որպես Հոլոքոստի ժամանակ հրեական փորձառության հզոր անձնական պատմություն: Այդ ժամանակվանից այն թարգմանվել է բազմաթիվ լեզուներով և շարունակում է ընթերցվել ու ուսումնասիրվել աշխարհի բոլոր մարդկանց կողմից:</v>
      </c>
    </row>
    <row r="2012">
      <c r="A2012" s="1" t="s">
        <v>3984</v>
      </c>
      <c r="B2012" s="2" t="s">
        <v>3985</v>
      </c>
      <c r="C2012" s="3" t="str">
        <f>IFERROR(__xludf.DUMMYFUNCTION("GOOGLETRANSLATE(A2012,""en"",""hy"")"),"ի՞նչ երաժշտություն է գրել Անտոնիո Վիվալդին:")</f>
        <v>ի՞նչ երաժշտություն է գրել Անտոնիո Վիվալդին:</v>
      </c>
      <c r="D2012" s="3" t="str">
        <f>IFERROR(__xludf.DUMMYFUNCTION("GOOGLETRANSLATE(B2012,""en"",""hy"")"),"Անտոնիո Վիվալդին ստեղծել է բարոկկո երաժշտություն՝ ներառյալ կոնցերտներ, սիմֆոնիաներ և օպերաներ։")</f>
        <v>Անտոնիո Վիվալդին ստեղծել է բարոկկո երաժշտություն՝ ներառյալ կոնցերտներ, սիմֆոնիաներ և օպերաներ։</v>
      </c>
    </row>
    <row r="2013">
      <c r="A2013" s="1" t="s">
        <v>3986</v>
      </c>
      <c r="B2013" s="2" t="s">
        <v>3987</v>
      </c>
      <c r="C2013" s="3" t="str">
        <f>IFERROR(__xludf.DUMMYFUNCTION("GOOGLETRANSLATE(A2013,""en"",""hy"")"),"ով է բեթմենի դերը 2012 թվականին:")</f>
        <v>ով է բեթմենի դերը 2012 թվականին:</v>
      </c>
      <c r="D2013" s="3" t="str">
        <f>IFERROR(__xludf.DUMMYFUNCTION("GOOGLETRANSLATE(B2013,""en"",""hy"")"),"Քրիստիան Բեյլ.")</f>
        <v>Քրիստիան Բեյլ.</v>
      </c>
    </row>
    <row r="2014">
      <c r="A2014" s="1" t="s">
        <v>3988</v>
      </c>
      <c r="B2014" s="2" t="s">
        <v>3989</v>
      </c>
      <c r="C2014" s="3" t="str">
        <f>IFERROR(__xludf.DUMMYFUNCTION("GOOGLETRANSLATE(A2014,""en"",""hy"")"),"ո՞րն է ժամային գոտին Վանկուվերում:")</f>
        <v>ո՞րն է ժամային գոտին Վանկուվերում:</v>
      </c>
      <c r="D2014" s="3" t="str">
        <f>IFERROR(__xludf.DUMMYFUNCTION("GOOGLETRANSLATE(B2014,""en"",""hy"")"),"Խաղաղօվկիանոսյան ստանդարտ ժամանակ (PST) կամ Խաղաղօվկիանոսյան ամառային ժամանակ (PDT)՝ կախված տարվա եղանակից:")</f>
        <v>Խաղաղօվկիանոսյան ստանդարտ ժամանակ (PST) կամ Խաղաղօվկիանոսյան ամառային ժամանակ (PDT)՝ կախված տարվա եղանակից:</v>
      </c>
    </row>
    <row r="2015">
      <c r="A2015" s="1" t="s">
        <v>3990</v>
      </c>
      <c r="B2015" s="2" t="s">
        <v>3991</v>
      </c>
      <c r="C2015" s="3" t="str">
        <f>IFERROR(__xludf.DUMMYFUNCTION("GOOGLETRANSLATE(A2015,""en"",""hy"")"),"ժամը քանիսն է աշխարհի գավաթի ֆուտբոլը")</f>
        <v>ժամը քանիսն է աշխարհի գավաթի ֆուտբոլը</v>
      </c>
      <c r="D2015" s="3" t="str">
        <f>IFERROR(__xludf.DUMMYFUNCTION("GOOGLETRANSLATE(B2015,""en"",""hy"")"),"Աշխարհի գավաթի ֆուտբոլի խաղերը սովորաբար սկսվում են ցերեկը կամ երեկոյան՝ կախված ժամային գոտուց և ժամանակացույցից: Յուրաքանչյուր հանդիպման ճշգրիտ ժամանակը կարող է տարբեր լինել:")</f>
        <v>Աշխարհի գավաթի ֆուտբոլի խաղերը սովորաբար սկսվում են ցերեկը կամ երեկոյան՝ կախված ժամային գոտուց և ժամանակացույցից: Յուրաքանչյուր հանդիպման ճշգրիտ ժամանակը կարող է տարբեր լինել:</v>
      </c>
    </row>
    <row r="2016">
      <c r="A2016" s="1" t="s">
        <v>3992</v>
      </c>
      <c r="B2016" s="2" t="s">
        <v>3993</v>
      </c>
      <c r="C2016" s="3" t="str">
        <f>IFERROR(__xludf.DUMMYFUNCTION("GOOGLETRANSLATE(A2016,""en"",""hy"")"),"Ո՞ր շրջանում է գտնվում Սթոքթոն Քա-ն:")</f>
        <v>Ո՞ր շրջանում է գտնվում Սթոքթոն Քա-ն:</v>
      </c>
      <c r="D2016" s="3" t="str">
        <f>IFERROR(__xludf.DUMMYFUNCTION("GOOGLETRANSLATE(B2016,""en"",""hy"")"),"Սան Խոակին շրջան")</f>
        <v>Սան Խոակին շրջան</v>
      </c>
    </row>
    <row r="2017">
      <c r="A2017" s="1" t="s">
        <v>3994</v>
      </c>
      <c r="B2017" s="2" t="s">
        <v>3995</v>
      </c>
      <c r="C2017" s="3" t="str">
        <f>IFERROR(__xludf.DUMMYFUNCTION("GOOGLETRANSLATE(A2017,""en"",""hy"")"),"ինչ արեց Ռոնի Ռադկեն")</f>
        <v>ինչ արեց Ռոնի Ռադկեն</v>
      </c>
      <c r="D2017" s="3" t="str">
        <f>IFERROR(__xludf.DUMMYFUNCTION("GOOGLETRANSLATE(B2017,""en"",""hy"")"),"Ռոննի Ռադկեն երաժիշտ և վոկալիստ է, որը հայտնի է Falling in Reverse խմբի կազմում։")</f>
        <v>Ռոննի Ռադկեն երաժիշտ և վոկալիստ է, որը հայտնի է Falling in Reverse խմբի կազմում։</v>
      </c>
    </row>
    <row r="2018">
      <c r="A2018" s="1" t="s">
        <v>3996</v>
      </c>
      <c r="B2018" s="2" t="s">
        <v>3997</v>
      </c>
      <c r="C2018" s="3" t="str">
        <f>IFERROR(__xludf.DUMMYFUNCTION("GOOGLETRANSLATE(A2018,""en"",""hy"")"),"որտեղ է ապրում Սելենա Գոմեսը հենց հիմա 2010 թ.")</f>
        <v>որտեղ է ապրում Սելենա Գոմեսը հենց հիմա 2010 թ.</v>
      </c>
      <c r="D2018" s="3" t="str">
        <f>IFERROR(__xludf.DUMMYFUNCTION("GOOGLETRANSLATE(B2018,""en"",""hy"")"),"Որպես AI լեզվի մոդել՝ ես իրական ժամանակի տեղեկատվություն չունեմ: Այնուամենայնիվ, 2010 թվականի դրությամբ Սելենա Գոմեսը սեփական տուն ուներ Լոս Անջելեսում, Կալիֆորնիա:")</f>
        <v>Որպես AI լեզվի մոդել՝ ես իրական ժամանակի տեղեկատվություն չունեմ: Այնուամենայնիվ, 2010 թվականի դրությամբ Սելենա Գոմեսը սեփական տուն ուներ Լոս Անջելեսում, Կալիֆորնիա:</v>
      </c>
    </row>
    <row r="2019">
      <c r="A2019" s="1" t="s">
        <v>3998</v>
      </c>
      <c r="B2019" s="2" t="s">
        <v>3999</v>
      </c>
      <c r="C2019" s="3" t="str">
        <f>IFERROR(__xludf.DUMMYFUNCTION("GOOGLETRANSLATE(A2019,""en"",""hy"")"),"ով է ռաջյա սաբհայի անդամը")</f>
        <v>ով է ռաջյա սաբհայի անդամը</v>
      </c>
      <c r="D2019" s="3" t="str">
        <f>IFERROR(__xludf.DUMMYFUNCTION("GOOGLETRANSLATE(B2019,""en"",""hy"")"),"Ռաջյա Սաբհայում, որը Հնդկաստանի խորհրդարանի վերին պալատն է, ներկայումս կա 245 անդամ:")</f>
        <v>Ռաջյա Սաբհայում, որը Հնդկաստանի խորհրդարանի վերին պալատն է, ներկայումս կա 245 անդամ:</v>
      </c>
    </row>
    <row r="2020">
      <c r="A2020" s="1" t="s">
        <v>4000</v>
      </c>
      <c r="B2020" s="2" t="s">
        <v>4001</v>
      </c>
      <c r="C2020" s="3" t="str">
        <f>IFERROR(__xludf.DUMMYFUNCTION("GOOGLETRANSLATE(A2020,""en"",""hy"")"),"ինչպիսի՞ կառավարման ձև ունի Չեխիայի Հանրապետությունը.")</f>
        <v>ինչպիսի՞ կառավարման ձև ունի Չեխիայի Հանրապետությունը.</v>
      </c>
      <c r="D2020" s="3" t="str">
        <f>IFERROR(__xludf.DUMMYFUNCTION("GOOGLETRANSLATE(B2020,""en"",""hy"")"),"Չեխիան ունի կառավարման խորհրդարանական հանրապետություն։")</f>
        <v>Չեխիան ունի կառավարման խորհրդարանական հանրապետություն։</v>
      </c>
    </row>
    <row r="2021">
      <c r="A2021" s="1" t="s">
        <v>4002</v>
      </c>
      <c r="B2021" s="2" t="s">
        <v>4003</v>
      </c>
      <c r="C2021" s="3" t="str">
        <f>IFERROR(__xludf.DUMMYFUNCTION("GOOGLETRANSLATE(A2021,""en"",""hy"")"),"ով է այժմ Սիրիայի ղեկավարը.")</f>
        <v>ով է այժմ Սիրիայի ղեկավարը.</v>
      </c>
      <c r="D2021" s="3" t="str">
        <f>IFERROR(__xludf.DUMMYFUNCTION("GOOGLETRANSLATE(B2021,""en"",""hy"")"),"Սիրիայի գործող ղեկավարը Բաշար ալ-Ասադն է։")</f>
        <v>Սիրիայի գործող ղեկավարը Բաշար ալ-Ասադն է։</v>
      </c>
    </row>
    <row r="2022">
      <c r="A2022" s="1" t="s">
        <v>4004</v>
      </c>
      <c r="B2022" s="2" t="s">
        <v>4005</v>
      </c>
      <c r="C2022" s="3" t="str">
        <f>IFERROR(__xludf.DUMMYFUNCTION("GOOGLETRANSLATE(A2022,""en"",""hy"")"),"ի՞նչ էր Էլի Ուիթնիի կրթությունը:")</f>
        <v>ի՞նչ էր Էլի Ուիթնիի կրթությունը:</v>
      </c>
      <c r="D2022" s="3" t="str">
        <f>IFERROR(__xludf.DUMMYFUNCTION("GOOGLETRANSLATE(B2022,""en"",""hy"")"),"Էլի Ուիթնիի կրթությունը եղել է մեքենաշինություն:")</f>
        <v>Էլի Ուիթնիի կրթությունը եղել է մեքենաշինություն:</v>
      </c>
    </row>
    <row r="2023">
      <c r="A2023" s="1" t="s">
        <v>4006</v>
      </c>
      <c r="B2023" s="2" t="s">
        <v>4007</v>
      </c>
      <c r="C2023" s="3" t="str">
        <f>IFERROR(__xludf.DUMMYFUNCTION("GOOGLETRANSLATE(A2023,""en"",""hy"")"),"Ո՞ր ֆիլմերում է նկարահանվել Ռենե Զելվեգերը")</f>
        <v>Ո՞ր ֆիլմերում է նկարահանվել Ռենե Զելվեգերը</v>
      </c>
      <c r="D2023" s="3" t="str">
        <f>IFERROR(__xludf.DUMMYFUNCTION("GOOGLETRANSLATE(B2023,""en"",""hy"")"),"Ռենե Զելվեգերը նկարահանվել է այնպիսի ֆիլմերում, ինչպիսիք են «Բրիջիթ Ջոնսի օրագիրը», «Չիկագո», «Ջերի Մագուայրը» և «Սառը լեռը»:")</f>
        <v>Ռենե Զելվեգերը նկարահանվել է այնպիսի ֆիլմերում, ինչպիսիք են «Բրիջիթ Ջոնսի օրագիրը», «Չիկագո», «Ջերի Մագուայրը» և «Սառը լեռը»:</v>
      </c>
    </row>
    <row r="2024">
      <c r="A2024" s="1" t="s">
        <v>4008</v>
      </c>
      <c r="B2024" s="2" t="s">
        <v>4009</v>
      </c>
      <c r="C2024" s="3" t="str">
        <f>IFERROR(__xludf.DUMMYFUNCTION("GOOGLETRANSLATE(A2024,""en"",""hy"")"),"ո՞ր այլ գրողներն են ազդել Չարլզ Դիքենսի վրա:")</f>
        <v>ո՞ր այլ գրողներն են ազդել Չարլզ Դիքենսի վրա:</v>
      </c>
      <c r="D2024" s="3" t="str">
        <f>IFERROR(__xludf.DUMMYFUNCTION("GOOGLETRANSLATE(B2024,""en"",""hy"")"),"Չարլզ Դիքենսի վրա ազդած գրողներից ոմանք ներառում են Ուիլյամ Շեքսպիրը, Միգել դե Սերվանտեսը և Հենրի Ֆիլդինգը։")</f>
        <v>Չարլզ Դիքենսի վրա ազդած գրողներից ոմանք ներառում են Ուիլյամ Շեքսպիրը, Միգել դե Սերվանտեսը և Հենրի Ֆիլդինգը։</v>
      </c>
    </row>
    <row r="2025">
      <c r="A2025" s="1" t="s">
        <v>4010</v>
      </c>
      <c r="B2025" s="2" t="s">
        <v>4011</v>
      </c>
      <c r="C2025" s="3" t="str">
        <f>IFERROR(__xludf.DUMMYFUNCTION("GOOGLETRANSLATE(A2025,""en"",""hy"")"),"որտեղ է մեծացել Ջեյ Զին:")</f>
        <v>որտեղ է մեծացել Ջեյ Զին:</v>
      </c>
      <c r="D2025" s="3" t="str">
        <f>IFERROR(__xludf.DUMMYFUNCTION("GOOGLETRANSLATE(B2025,""en"",""hy"")"),"Ջեյ Զին մեծացել է Բրուքլինում, Նյու Յորք:")</f>
        <v>Ջեյ Զին մեծացել է Բրուքլինում, Նյու Յորք:</v>
      </c>
    </row>
    <row r="2026">
      <c r="A2026" s="1" t="s">
        <v>4012</v>
      </c>
      <c r="B2026" s="2" t="s">
        <v>4013</v>
      </c>
      <c r="C2026" s="3" t="str">
        <f>IFERROR(__xludf.DUMMYFUNCTION("GOOGLETRANSLATE(A2026,""en"",""hy"")"),"ո՞ր երկու երկրների հետ է մենք պատերազմում.")</f>
        <v>ո՞ր երկու երկրների հետ է մենք պատերազմում.</v>
      </c>
      <c r="D2026" s="3" t="str">
        <f>IFERROR(__xludf.DUMMYFUNCTION("GOOGLETRANSLATE(B2026,""en"",""hy"")"),"ԱՄՆ-ը ներկայումս զինված հակամարտություն է վարում Աֆղանստանի և Իրաքի հետ։")</f>
        <v>ԱՄՆ-ը ներկայումս զինված հակամարտություն է վարում Աֆղանստանի և Իրաքի հետ։</v>
      </c>
    </row>
    <row r="2027">
      <c r="A2027" s="1" t="s">
        <v>4014</v>
      </c>
      <c r="B2027" s="2" t="s">
        <v>4015</v>
      </c>
      <c r="C2027" s="3" t="str">
        <f>IFERROR(__xludf.DUMMYFUNCTION("GOOGLETRANSLATE(A2027,""en"",""hy"")"),"որտեղի՞ց սկսվեց ասորական կայսրությունը.")</f>
        <v>որտեղի՞ց սկսվեց ասորական կայսրությունը.</v>
      </c>
      <c r="D2027" s="3" t="str">
        <f>IFERROR(__xludf.DUMMYFUNCTION("GOOGLETRANSLATE(B2027,""en"",""hy"")"),"Ասորական կայսրությունը սկիզբ է առել Հին Միջագետքի տարածաշրջանից։")</f>
        <v>Ասորական կայսրությունը սկիզբ է առել Հին Միջագետքի տարածաշրջանից։</v>
      </c>
    </row>
    <row r="2028">
      <c r="A2028" s="1" t="s">
        <v>4016</v>
      </c>
      <c r="B2028" s="2" t="s">
        <v>4017</v>
      </c>
      <c r="C2028" s="3" t="str">
        <f>IFERROR(__xludf.DUMMYFUNCTION("GOOGLETRANSLATE(A2028,""en"",""hy"")"),"ինչ արժույթ ունի Դոմինիկյան Հանրապետությունը:")</f>
        <v>ինչ արժույթ ունի Դոմինիկյան Հանրապետությունը:</v>
      </c>
      <c r="D2028" s="3" t="str">
        <f>IFERROR(__xludf.DUMMYFUNCTION("GOOGLETRANSLATE(B2028,""en"",""hy"")"),"Դոմինիկյան Հանրապետության արժույթը Դոմինիկյան պեսոն է։")</f>
        <v>Դոմինիկյան Հանրապետության արժույթը Դոմինիկյան պեսոն է։</v>
      </c>
    </row>
    <row r="2029">
      <c r="A2029" s="1" t="s">
        <v>4018</v>
      </c>
      <c r="B2029" s="2" t="s">
        <v>4019</v>
      </c>
      <c r="C2029" s="3" t="str">
        <f>IFERROR(__xludf.DUMMYFUNCTION("GOOGLETRANSLATE(A2029,""en"",""hy"")"),"ինչ է Դանիել Ռեդքլիֆի անունը սևազգեստ կնոջ մեջ:")</f>
        <v>ինչ է Դանիել Ռեդքլիֆի անունը սևազգեստ կնոջ մեջ:</v>
      </c>
      <c r="D2029" s="3" t="str">
        <f>IFERROR(__xludf.DUMMYFUNCTION("GOOGLETRANSLATE(B2029,""en"",""hy"")"),"«Սևազգեստ կինը» ֆիլմում Դենիել Ռեդքլիֆի անունը Արթուր Քիփս է:")</f>
        <v>«Սևազգեստ կինը» ֆիլմում Դենիել Ռեդքլիֆի անունը Արթուր Քիփս է:</v>
      </c>
    </row>
    <row r="2030">
      <c r="A2030" s="1" t="s">
        <v>4020</v>
      </c>
      <c r="B2030" s="2" t="s">
        <v>4021</v>
      </c>
      <c r="C2030" s="3" t="str">
        <f>IFERROR(__xludf.DUMMYFUNCTION("GOOGLETRANSLATE(A2030,""en"",""hy"")"),"ինչ գումար են նրանք օգտագործում Թաիլանդում:")</f>
        <v>ինչ գումար են նրանք օգտագործում Թաիլանդում:</v>
      </c>
      <c r="D2030" s="3" t="str">
        <f>IFERROR(__xludf.DUMMYFUNCTION("GOOGLETRANSLATE(B2030,""en"",""hy"")"),"Թաիլանդում օգտագործվող արժույթը թաիլանդական բահն է:")</f>
        <v>Թաիլանդում օգտագործվող արժույթը թաիլանդական բահն է:</v>
      </c>
    </row>
    <row r="2031">
      <c r="A2031" s="1" t="s">
        <v>4022</v>
      </c>
      <c r="B2031" s="2" t="s">
        <v>4023</v>
      </c>
      <c r="C2031" s="3" t="str">
        <f>IFERROR(__xludf.DUMMYFUNCTION("GOOGLETRANSLATE(A2031,""en"",""hy"")"),"որտեղ էր գտնվում Վերդենի ճակատամարտը")</f>
        <v>որտեղ էր գտնվում Վերդենի ճակատամարտը</v>
      </c>
      <c r="D2031" s="3" t="str">
        <f>IFERROR(__xludf.DUMMYFUNCTION("GOOGLETRANSLATE(B2031,""en"",""hy"")"),"Վերդենի ճակատամարտը տեղի ունեցավ Ֆրանսիայում։")</f>
        <v>Վերդենի ճակատամարտը տեղի ունեցավ Ֆրանսիայում։</v>
      </c>
    </row>
    <row r="2032">
      <c r="A2032" s="1" t="s">
        <v>4024</v>
      </c>
      <c r="B2032" s="2" t="s">
        <v>4025</v>
      </c>
      <c r="C2032" s="3" t="str">
        <f>IFERROR(__xludf.DUMMYFUNCTION("GOOGLETRANSLATE(A2032,""en"",""hy"")"),"որտեղ է այժմ ապրում Ավրիլ Լավինը:")</f>
        <v>որտեղ է այժմ ապրում Ավրիլ Լավինը:</v>
      </c>
      <c r="D2032" s="3" t="str">
        <f>IFERROR(__xludf.DUMMYFUNCTION("GOOGLETRANSLATE(B2032,""en"",""hy"")"),"Որպես AI լեզվի մոդել՝ ես իրական ժամանակի տեղեկատվություն չունեմ: Այնուամենայնիվ, իմ վերջին տեղեկություններով, Ավրիլ Լավինը հիմնականում բնակվում է Լոս Անջելեսում, Կալիֆորնիա:")</f>
        <v>Որպես AI լեզվի մոդել՝ ես իրական ժամանակի տեղեկատվություն չունեմ: Այնուամենայնիվ, իմ վերջին տեղեկություններով, Ավրիլ Լավինը հիմնականում բնակվում է Լոս Անջելեսում, Կալիֆորնիա:</v>
      </c>
    </row>
    <row r="2033">
      <c r="A2033" s="1" t="s">
        <v>4026</v>
      </c>
      <c r="B2033" s="2" t="s">
        <v>673</v>
      </c>
      <c r="C2033" s="3" t="str">
        <f>IFERROR(__xludf.DUMMYFUNCTION("GOOGLETRANSLATE(A2033,""en"",""hy"")"),"ով է խաղում stewie griffin's voice family guy?")</f>
        <v>ով է խաղում stewie griffin's voice family guy?</v>
      </c>
      <c r="D2033" s="3" t="str">
        <f>IFERROR(__xludf.DUMMYFUNCTION("GOOGLETRANSLATE(B2033,""en"",""hy"")"),"Սեթ ՄակՖարլեյն.")</f>
        <v>Սեթ ՄակՖարլեյն.</v>
      </c>
    </row>
    <row r="2034">
      <c r="A2034" s="1" t="s">
        <v>4027</v>
      </c>
      <c r="B2034" s="2" t="s">
        <v>4028</v>
      </c>
      <c r="C2034" s="3" t="str">
        <f>IFERROR(__xludf.DUMMYFUNCTION("GOOGLETRANSLATE(A2034,""en"",""hy"")"),"ինչ պետք է տեսնեմ Լոնդոնում Անգլիայում:")</f>
        <v>ինչ պետք է տեսնեմ Լոնդոնում Անգլիայում:</v>
      </c>
      <c r="D2034" s="3" t="str">
        <f>IFERROR(__xludf.DUMMYFUNCTION("GOOGLETRANSLATE(B2034,""en"",""hy"")"),"Դուք պետք է տեսնեք Բիգ Բենը, Լոնդոնի աշտարակը, Բուքինգհեմյան պալատը և Բրիտանական թանգարանը:")</f>
        <v>Դուք պետք է տեսնեք Բիգ Բենը, Լոնդոնի աշտարակը, Բուքինգհեմյան պալատը և Բրիտանական թանգարանը:</v>
      </c>
    </row>
    <row r="2035">
      <c r="A2035" s="1" t="s">
        <v>4029</v>
      </c>
      <c r="B2035" s="2" t="s">
        <v>4030</v>
      </c>
      <c r="C2035" s="3" t="str">
        <f>IFERROR(__xludf.DUMMYFUNCTION("GOOGLETRANSLATE(A2035,""en"",""hy"")"),"ինչ արժույթ է օգտագործվում Անգլիայում 2012 թ.")</f>
        <v>ինչ արժույթ է օգտագործվում Անգլիայում 2012 թ.</v>
      </c>
      <c r="D2035" s="3" t="str">
        <f>IFERROR(__xludf.DUMMYFUNCTION("GOOGLETRANSLATE(B2035,""en"",""hy"")"),"2012 թվականին Անգլիայում օգտագործվող արժույթը բրիտանական ֆունտն է (GBP):")</f>
        <v>2012 թվականին Անգլիայում օգտագործվող արժույթը բրիտանական ֆունտն է (GBP):</v>
      </c>
    </row>
    <row r="2036">
      <c r="A2036" s="1" t="s">
        <v>4031</v>
      </c>
      <c r="B2036" s="2" t="s">
        <v>4032</v>
      </c>
      <c r="C2036" s="3" t="str">
        <f>IFERROR(__xludf.DUMMYFUNCTION("GOOGLETRANSLATE(A2036,""en"",""hy"")"),"ինչ լեզվով են խոսում իրաքցիները")</f>
        <v>ինչ լեզվով են խոսում իրաքցիները</v>
      </c>
      <c r="D2036" s="3" t="str">
        <f>IFERROR(__xludf.DUMMYFUNCTION("GOOGLETRANSLATE(B2036,""en"",""hy"")"),"արաբերեն.")</f>
        <v>արաբերեն.</v>
      </c>
    </row>
    <row r="2037">
      <c r="A2037" s="1" t="s">
        <v>4033</v>
      </c>
      <c r="B2037" s="2" t="s">
        <v>4034</v>
      </c>
      <c r="C2037" s="3" t="str">
        <f>IFERROR(__xludf.DUMMYFUNCTION("GOOGLETRANSLATE(A2037,""en"",""hy"")"),"որտե՞ղ է Փոլ Ռադը սովորել ավագ դպրոց:")</f>
        <v>որտե՞ղ է Փոլ Ռադը սովորել ավագ դպրոց:</v>
      </c>
      <c r="D2037" s="3" t="str">
        <f>IFERROR(__xludf.DUMMYFUNCTION("GOOGLETRANSLATE(B2037,""en"",""hy"")"),"Փոլ Ռադը հաճախել է Կանզաս նահանգի Օվերլենդ Պարկ քաղաքում գտնվող Shawnee Mission West ավագ դպրոցը:")</f>
        <v>Փոլ Ռադը հաճախել է Կանզաս նահանգի Օվերլենդ Պարկ քաղաքում գտնվող Shawnee Mission West ավագ դպրոցը:</v>
      </c>
    </row>
    <row r="2038">
      <c r="A2038" s="1" t="s">
        <v>4035</v>
      </c>
      <c r="B2038" s="2" t="s">
        <v>4036</v>
      </c>
      <c r="C2038" s="3" t="str">
        <f>IFERROR(__xludf.DUMMYFUNCTION("GOOGLETRANSLATE(A2038,""en"",""hy"")"),"ինչ չափիչ լարեր Ջոն Մայեր")</f>
        <v>ինչ չափիչ լարեր Ջոն Մայեր</v>
      </c>
      <c r="D2038" s="3" t="str">
        <f>IFERROR(__xludf.DUMMYFUNCTION("GOOGLETRANSLATE(B2038,""en"",""hy"")"),"Ջոն Մայերն իր կիթառների վրա սովորաբար օգտագործում է .011-.052 չափիչ լարեր:")</f>
        <v>Ջոն Մայերն իր կիթառների վրա սովորաբար օգտագործում է .011-.052 չափիչ լարեր:</v>
      </c>
    </row>
    <row r="2039">
      <c r="A2039" s="1" t="s">
        <v>4037</v>
      </c>
      <c r="B2039" s="2" t="s">
        <v>4038</v>
      </c>
      <c r="C2039" s="3" t="str">
        <f>IFERROR(__xludf.DUMMYFUNCTION("GOOGLETRANSLATE(A2039,""en"",""hy"")"),"ինչով է կրակել Էյբ Լինքոլնին")</f>
        <v>ինչով է կրակել Էյբ Լինքոլնին</v>
      </c>
      <c r="D2039" s="3" t="str">
        <f>IFERROR(__xludf.DUMMYFUNCTION("GOOGLETRANSLATE(B2039,""en"",""hy"")"),"Էյբ Լինքոլնի վրա կրակել են .44 տրամաչափի մեկ կրակոց Deringer ատրճանակից։")</f>
        <v>Էյբ Լինքոլնի վրա կրակել են .44 տրամաչափի մեկ կրակոց Deringer ատրճանակից։</v>
      </c>
    </row>
    <row r="2040">
      <c r="A2040" s="1" t="s">
        <v>4039</v>
      </c>
      <c r="B2040" s="2" t="s">
        <v>4040</v>
      </c>
      <c r="C2040" s="3" t="str">
        <f>IFERROR(__xludf.DUMMYFUNCTION("GOOGLETRANSLATE(A2040,""en"",""hy"")"),"ինչ խաղաց ռեգինա դահլիճը")</f>
        <v>ինչ խաղաց ռեգինա դահլիճը</v>
      </c>
      <c r="D2040" s="3" t="str">
        <f>IFERROR(__xludf.DUMMYFUNCTION("GOOGLETRANSLATE(B2040,""en"",""hy"")"),"Ռեգինա Հոլը դերասանուհի է, որը հայտնի է այնպիսի ֆիլմերում, ինչպիսիք են «Սարսափ ֆիլմը» և «Աղջիկների ճամփորդությունը»։")</f>
        <v>Ռեգինա Հոլը դերասանուհի է, որը հայտնի է այնպիսի ֆիլմերում, ինչպիսիք են «Սարսափ ֆիլմը» և «Աղջիկների ճամփորդությունը»։</v>
      </c>
    </row>
    <row r="2041">
      <c r="A2041" s="1" t="s">
        <v>4041</v>
      </c>
      <c r="B2041" s="2" t="s">
        <v>2792</v>
      </c>
      <c r="C2041" s="3" t="str">
        <f>IFERROR(__xludf.DUMMYFUNCTION("GOOGLETRANSLATE(A2041,""en"",""hy"")"),"ո՞վ է մթնշաղին խաղում Ջեյկոբ սև:")</f>
        <v>ո՞վ է մթնշաղին խաղում Ջեյկոբ սև:</v>
      </c>
      <c r="D2041" s="3" t="str">
        <f>IFERROR(__xludf.DUMMYFUNCTION("GOOGLETRANSLATE(B2041,""en"",""hy"")"),"Թեյլոր Լոթներ.")</f>
        <v>Թեյլոր Լոթներ.</v>
      </c>
    </row>
    <row r="2042">
      <c r="A2042" s="1" t="s">
        <v>4042</v>
      </c>
      <c r="B2042" s="2" t="s">
        <v>4043</v>
      </c>
      <c r="C2042" s="3" t="str">
        <f>IFERROR(__xludf.DUMMYFUNCTION("GOOGLETRANSLATE(A2042,""en"",""hy"")"),"ինչ ամերիկյան կոպեկ արժե փող.")</f>
        <v>ինչ ամերիկյան կոպեկ արժե փող.</v>
      </c>
      <c r="D2042" s="3" t="str">
        <f>IFERROR(__xludf.DUMMYFUNCTION("GOOGLETRANSLATE(B2042,""en"",""hy"")"),"1943 թվականի պղնձի կոպեկը փող արժե։")</f>
        <v>1943 թվականի պղնձի կոպեկը փող արժե։</v>
      </c>
    </row>
    <row r="2043">
      <c r="A2043" s="1" t="s">
        <v>4044</v>
      </c>
      <c r="B2043" s="2" t="s">
        <v>4045</v>
      </c>
      <c r="C2043" s="3" t="str">
        <f>IFERROR(__xludf.DUMMYFUNCTION("GOOGLETRANSLATE(A2043,""en"",""hy"")"),"ի՞նչ գիրք է գրել Հակոբ Ռիսը։")</f>
        <v>ի՞նչ գիրք է գրել Հակոբ Ռիսը։</v>
      </c>
      <c r="D2043" s="3" t="str">
        <f>IFERROR(__xludf.DUMMYFUNCTION("GOOGLETRANSLATE(B2043,""en"",""hy"")"),"Յակոբ Ռիսը գրել է գիրքը, որը կոչվում է «Ինչպես է ապրում մյուս կեսը»:")</f>
        <v>Յակոբ Ռիսը գրել է գիրքը, որը կոչվում է «Ինչպես է ապրում մյուս կեսը»:</v>
      </c>
    </row>
    <row r="2044">
      <c r="A2044" s="1" t="s">
        <v>4046</v>
      </c>
      <c r="B2044" s="2" t="s">
        <v>4047</v>
      </c>
      <c r="C2044" s="3" t="str">
        <f>IFERROR(__xludf.DUMMYFUNCTION("GOOGLETRANSLATE(A2044,""en"",""hy"")"),"Ո՞ր օդանավակայանն է մոտ Սքոթսդեյլ Արիզոնա:")</f>
        <v>Ո՞ր օդանավակայանն է մոտ Սքոթսդեյլ Արիզոնա:</v>
      </c>
      <c r="D2044" s="3" t="str">
        <f>IFERROR(__xludf.DUMMYFUNCTION("GOOGLETRANSLATE(B2044,""en"",""hy"")"),"Phoenix Sky Harbor միջազգային օդանավակայանը Արիզոնա նահանգի Սքոթսդեյլ քաղաքին ամենամոտ օդանավակայանն է:")</f>
        <v>Phoenix Sky Harbor միջազգային օդանավակայանը Արիզոնա նահանգի Սքոթսդեյլ քաղաքին ամենամոտ օդանավակայանն է:</v>
      </c>
    </row>
    <row r="2045">
      <c r="A2045" s="1" t="s">
        <v>4048</v>
      </c>
      <c r="B2045" s="2" t="s">
        <v>4049</v>
      </c>
      <c r="C2045" s="3" t="str">
        <f>IFERROR(__xludf.DUMMYFUNCTION("GOOGLETRANSLATE(A2045,""en"",""hy"")"),"ով է խաղում Նոա Բենեթ")</f>
        <v>ով է խաղում Նոա Բենեթ</v>
      </c>
      <c r="D2045" s="3" t="str">
        <f>IFERROR(__xludf.DUMMYFUNCTION("GOOGLETRANSLATE(B2045,""en"",""hy"")"),"Ջեք Քոլման.")</f>
        <v>Ջեք Քոլման.</v>
      </c>
    </row>
    <row r="2046">
      <c r="A2046" s="1" t="s">
        <v>4050</v>
      </c>
      <c r="B2046" s="2" t="s">
        <v>4051</v>
      </c>
      <c r="C2046" s="3" t="str">
        <f>IFERROR(__xludf.DUMMYFUNCTION("GOOGLETRANSLATE(A2046,""en"",""hy"")"),"Ե՞րբ են իշխանության եկել իտալացի ֆաշիստները.")</f>
        <v>Ե՞րբ են իշխանության եկել իտալացի ֆաշիստները.</v>
      </c>
      <c r="D2046" s="3" t="str">
        <f>IFERROR(__xludf.DUMMYFUNCTION("GOOGLETRANSLATE(B2046,""en"",""hy"")"),"Իտալացի ֆաշիստները իշխանության եկան 1922 թ.")</f>
        <v>Իտալացի ֆաշիստները իշխանության եկան 1922 թ.</v>
      </c>
    </row>
    <row r="2047">
      <c r="A2047" s="1" t="s">
        <v>4052</v>
      </c>
      <c r="B2047" s="2" t="s">
        <v>4053</v>
      </c>
      <c r="C2047" s="3" t="str">
        <f>IFERROR(__xludf.DUMMYFUNCTION("GOOGLETRANSLATE(A2047,""en"",""hy"")"),"Ո՞վ է հաղթել ամերիկյան կուռք 2006-ի 5-րդ սեզոնին:")</f>
        <v>Ո՞վ է հաղթել ամերիկյան կուռք 2006-ի 5-րդ սեզոնին:</v>
      </c>
      <c r="D2047" s="3" t="str">
        <f>IFERROR(__xludf.DUMMYFUNCTION("GOOGLETRANSLATE(B2047,""en"",""hy"")"),"Թեյլոր Հիքս.")</f>
        <v>Թեյլոր Հիքս.</v>
      </c>
    </row>
    <row r="2048">
      <c r="A2048" s="1" t="s">
        <v>4054</v>
      </c>
      <c r="B2048" s="2" t="s">
        <v>4055</v>
      </c>
      <c r="C2048" s="3" t="str">
        <f>IFERROR(__xludf.DUMMYFUNCTION("GOOGLETRANSLATE(A2048,""en"",""hy"")"),"ինչ տեսնել Վիետնամում երկու շաբաթից.")</f>
        <v>ինչ տեսնել Վիետնամում երկու շաբաթից.</v>
      </c>
      <c r="D2048" s="3" t="str">
        <f>IFERROR(__xludf.DUMMYFUNCTION("GOOGLETRANSLATE(B2048,""en"",""hy"")"),"Դուք կարող եք այցելել այնպիսի հայտնի ուղղություններ, ինչպիսիք են Հանոյը, Հալոնգ Բեյը, Հոյ Անը և Հո Չի Մին քաղաքը: Բացի այդ, դուք կարող եք ուսումնասիրել Մեկոնգ դելտան կամ այցելել հնագույն մայրաքաղաք Հու:")</f>
        <v>Դուք կարող եք այցելել այնպիսի հայտնի ուղղություններ, ինչպիսիք են Հանոյը, Հալոնգ Բեյը, Հոյ Անը և Հո Չի Մին քաղաքը: Բացի այդ, դուք կարող եք ուսումնասիրել Մեկոնգ դելտան կամ այցելել հնագույն մայրաքաղաք Հու:</v>
      </c>
    </row>
    <row r="2049">
      <c r="A2049" s="1" t="s">
        <v>4056</v>
      </c>
      <c r="B2049" s="2" t="s">
        <v>4057</v>
      </c>
      <c r="C2049" s="3" t="str">
        <f>IFERROR(__xludf.DUMMYFUNCTION("GOOGLETRANSLATE(A2049,""en"",""hy"")"),"որտեղ են խաղում Չիկագոյի ձագերը")</f>
        <v>որտեղ են խաղում Չիկագոյի ձագերը</v>
      </c>
      <c r="D2049" s="3" t="str">
        <f>IFERROR(__xludf.DUMMYFUNCTION("GOOGLETRANSLATE(B2049,""en"",""hy"")"),"Չիկագո Քաբսը խաղում է Ռիգլի Ֆիլդում:")</f>
        <v>Չիկագո Քաբսը խաղում է Ռիգլի Ֆիլդում:</v>
      </c>
    </row>
    <row r="2050">
      <c r="A2050" s="1" t="s">
        <v>4058</v>
      </c>
      <c r="B2050" s="2" t="s">
        <v>4059</v>
      </c>
      <c r="C2050" s="3" t="str">
        <f>IFERROR(__xludf.DUMMYFUNCTION("GOOGLETRANSLATE(A2050,""en"",""hy"")"),"որտեղ է մահացել Ռեյգանը")</f>
        <v>որտեղ է մահացել Ռեյգանը</v>
      </c>
      <c r="D2050" s="3" t="str">
        <f>IFERROR(__xludf.DUMMYFUNCTION("GOOGLETRANSLATE(B2050,""en"",""hy"")"),"Ռեյգանը մահացել է Կալիֆորնիայի Լոս Անջելես քաղաքում գտնվող իր տանը։")</f>
        <v>Ռեյգանը մահացել է Կալիֆորնիայի Լոս Անջելես քաղաքում գտնվող իր տանը։</v>
      </c>
    </row>
    <row r="2051">
      <c r="A2051" s="1" t="s">
        <v>4060</v>
      </c>
      <c r="B2051" s="2" t="s">
        <v>4061</v>
      </c>
      <c r="C2051" s="3" t="str">
        <f>IFERROR(__xludf.DUMMYFUNCTION("GOOGLETRANSLATE(A2051,""en"",""hy"")"),"Ե՞րբ է Յան Թորփը հայտնի դարձել:")</f>
        <v>Ե՞րբ է Յան Թորփը հայտնի դարձել:</v>
      </c>
      <c r="D2051" s="3" t="str">
        <f>IFERROR(__xludf.DUMMYFUNCTION("GOOGLETRANSLATE(B2051,""en"",""hy"")"),"Յան Թորփը հայտնի դարձավ 1990-ականների վերջին և 2000-ականների սկզբին։")</f>
        <v>Յան Թորփը հայտնի դարձավ 1990-ականների վերջին և 2000-ականների սկզբին։</v>
      </c>
    </row>
    <row r="2052">
      <c r="A2052" s="1" t="s">
        <v>4062</v>
      </c>
      <c r="B2052" s="2" t="s">
        <v>4063</v>
      </c>
      <c r="C2052" s="3" t="str">
        <f>IFERROR(__xludf.DUMMYFUNCTION("GOOGLETRANSLATE(A2052,""en"",""hy"")"),"ինչ լեզուն է օգտագործվում Ինդոնեզիայում:")</f>
        <v>ինչ լեզուն է օգտագործվում Ինդոնեզիայում:</v>
      </c>
      <c r="D2052" s="3" t="str">
        <f>IFERROR(__xludf.DUMMYFUNCTION("GOOGLETRANSLATE(B2052,""en"",""hy"")"),"Ինդոնեզիայում օգտագործվող լեզուն ինդոնեզերենն է։")</f>
        <v>Ինդոնեզիայում օգտագործվող լեզուն ինդոնեզերենն է։</v>
      </c>
    </row>
    <row r="2053">
      <c r="A2053" s="1" t="s">
        <v>4064</v>
      </c>
      <c r="B2053" s="2" t="s">
        <v>4065</v>
      </c>
      <c r="C2053" s="3" t="str">
        <f>IFERROR(__xludf.DUMMYFUNCTION("GOOGLETRANSLATE(A2053,""en"",""hy"")"),"ինչո՞վ էր հայտնի Իրվինգ Լանգմյուիրը:")</f>
        <v>ինչո՞վ էր հայտնի Իրվինգ Լանգմյուիրը:</v>
      </c>
      <c r="D2053" s="3" t="str">
        <f>IFERROR(__xludf.DUMMYFUNCTION("GOOGLETRANSLATE(B2053,""en"",""hy"")"),"Իրվինգ Լանգմյուիրը հայտնի էր մակերևույթի քիմիայի վերաբերյալ իր աշխատանքով և Լանգմյուիր-Բլոդջեթ ֆիլմի տեխնիկայի մշակմամբ։")</f>
        <v>Իրվինգ Լանգմյուիրը հայտնի էր մակերևույթի քիմիայի վերաբերյալ իր աշխատանքով և Լանգմյուիր-Բլոդջեթ ֆիլմի տեխնիկայի մշակմամբ։</v>
      </c>
    </row>
    <row r="2054">
      <c r="A2054" s="1" t="s">
        <v>4066</v>
      </c>
      <c r="B2054" s="2" t="s">
        <v>4067</v>
      </c>
      <c r="C2054" s="3" t="str">
        <f>IFERROR(__xludf.DUMMYFUNCTION("GOOGLETRANSLATE(A2054,""en"",""hy"")"),"ինչ ավանդույթներ կան Ջամայկայում:")</f>
        <v>ինչ ավանդույթներ կան Ջամայկայում:</v>
      </c>
      <c r="D2054" s="3" t="str">
        <f>IFERROR(__xludf.DUMMYFUNCTION("GOOGLETRANSLATE(B2054,""en"",""hy"")"),"Ճամայկայի որոշ ավանդույթներ ներառում են Ջամայկայի Անկախության օրը տոնելը, ավանդական ճամայկայական խոհանոցը վայելելը, օրինակ՝ հավ ու կոտլետներ, ինչպես նաև մասնակցել ռեգգի երաժշտությանը և պարին:")</f>
        <v>Ճամայկայի որոշ ավանդույթներ ներառում են Ջամայկայի Անկախության օրը տոնելը, ավանդական ճամայկայական խոհանոցը վայելելը, օրինակ՝ հավ ու կոտլետներ, ինչպես նաև մասնակցել ռեգգի երաժշտությանը և պարին:</v>
      </c>
    </row>
    <row r="2055">
      <c r="A2055" s="1" t="s">
        <v>4068</v>
      </c>
      <c r="B2055" s="2" t="s">
        <v>4069</v>
      </c>
      <c r="C2055" s="3" t="str">
        <f>IFERROR(__xludf.DUMMYFUNCTION("GOOGLETRANSLATE(A2055,""en"",""hy"")"),"ինչպես է կոչվում Չինաստանի պաշտոնական լեզուն:")</f>
        <v>ինչպես է կոչվում Չինաստանի պաշտոնական լեզուն:</v>
      </c>
      <c r="D2055" s="3" t="str">
        <f>IFERROR(__xludf.DUMMYFUNCTION("GOOGLETRANSLATE(B2055,""en"",""hy"")"),"Չինաստանի պաշտոնական լեզուն կոչվում է մանդարին։")</f>
        <v>Չինաստանի պաշտոնական լեզուն կոչվում է մանդարին։</v>
      </c>
    </row>
    <row r="2056">
      <c r="A2056" s="1" t="s">
        <v>4070</v>
      </c>
      <c r="B2056" s="2" t="s">
        <v>4071</v>
      </c>
      <c r="C2056" s="3" t="str">
        <f>IFERROR(__xludf.DUMMYFUNCTION("GOOGLETRANSLATE(A2056,""en"",""hy"")"),"որտեղ է Միթ Ռոմնին գնացել տարրական դպրոց:")</f>
        <v>որտեղ է Միթ Ռոմնին գնացել տարրական դպրոց:</v>
      </c>
      <c r="D2056" s="3" t="str">
        <f>IFERROR(__xludf.DUMMYFUNCTION("GOOGLETRANSLATE(B2056,""en"",""hy"")"),"Միթ Ռոմնին հաճախել է Միչիգանի հանրային տարրական դպրոցներ:")</f>
        <v>Միթ Ռոմնին հաճախել է Միչիգանի հանրային տարրական դպրոցներ:</v>
      </c>
    </row>
    <row r="2057">
      <c r="A2057" s="1" t="s">
        <v>4072</v>
      </c>
      <c r="B2057" s="2" t="s">
        <v>4073</v>
      </c>
      <c r="C2057" s="3" t="str">
        <f>IFERROR(__xludf.DUMMYFUNCTION("GOOGLETRANSLATE(A2057,""en"",""hy"")"),"որտեղ է գտնվում Սուրբ Լոուրենս գետի ծոցը:")</f>
        <v>որտեղ է գտնվում Սուրբ Լոուրենս գետի ծոցը:</v>
      </c>
      <c r="D2057" s="3" t="str">
        <f>IFERROR(__xludf.DUMMYFUNCTION("GOOGLETRANSLATE(B2057,""en"",""hy"")"),"Սուրբ Լոուրենսի ծոցը գտնվում է Կանադայի Ատլանտյան ափերի մոտ:")</f>
        <v>Սուրբ Լոուրենսի ծոցը գտնվում է Կանադայի Ատլանտյան ափերի մոտ:</v>
      </c>
    </row>
    <row r="2058">
      <c r="A2058" s="1" t="s">
        <v>4074</v>
      </c>
      <c r="B2058" s="2" t="s">
        <v>4075</v>
      </c>
      <c r="C2058" s="3" t="str">
        <f>IFERROR(__xludf.DUMMYFUNCTION("GOOGLETRANSLATE(A2058,""en"",""hy"")"),"ինչ էր Մարտին Լյութեր Քինգ կրտսերի ծնողների անունը:")</f>
        <v>ինչ էր Մարտին Լյութեր Քինգ կրտսերի ծնողների անունը:</v>
      </c>
      <c r="D2058" s="3" t="str">
        <f>IFERROR(__xludf.DUMMYFUNCTION("GOOGLETRANSLATE(B2058,""en"",""hy"")"),"Մարտին Լյութեր Քինգ կրտսերի ծնողներն էին Մայքլ Քինգ ավագը և Ալբերտա Ուիլյամս Քինգը։")</f>
        <v>Մարտին Լյութեր Քինգ կրտսերի ծնողներն էին Մայքլ Քինգ ավագը և Ալբերտա Ուիլյամս Քինգը։</v>
      </c>
    </row>
    <row r="2059">
      <c r="A2059" s="1" t="s">
        <v>4076</v>
      </c>
      <c r="B2059" s="2" t="s">
        <v>4077</v>
      </c>
      <c r="C2059" s="3" t="str">
        <f>IFERROR(__xludf.DUMMYFUNCTION("GOOGLETRANSLATE(A2059,""en"",""hy"")"),"ինչ գումար է օգտագործում Գվատեմալան")</f>
        <v>ինչ գումար է օգտագործում Գվատեմալան</v>
      </c>
      <c r="D2059" s="3" t="str">
        <f>IFERROR(__xludf.DUMMYFUNCTION("GOOGLETRANSLATE(B2059,""en"",""hy"")"),"Գվատեմալայում օգտագործվող արժույթը գվատեմալական քեցալն է։")</f>
        <v>Գվատեմալայում օգտագործվող արժույթը գվատեմալական քեցալն է։</v>
      </c>
    </row>
    <row r="2060">
      <c r="A2060" s="1" t="s">
        <v>4078</v>
      </c>
      <c r="B2060" s="2" t="s">
        <v>4079</v>
      </c>
      <c r="C2060" s="3" t="str">
        <f>IFERROR(__xludf.DUMMYFUNCTION("GOOGLETRANSLATE(A2060,""en"",""hy"")"),"ով էր նախագահը, երբ Նելսոն Ռոքֆելլերը փոխնախագահ էր:")</f>
        <v>ով էր նախագահը, երբ Նելսոն Ռոքֆելլերը փոխնախագահ էր:</v>
      </c>
      <c r="D2060" s="3" t="str">
        <f>IFERROR(__xludf.DUMMYFUNCTION("GOOGLETRANSLATE(B2060,""en"",""hy"")"),"Ջերալդ Ֆորդ.")</f>
        <v>Ջերալդ Ֆորդ.</v>
      </c>
    </row>
    <row r="2061">
      <c r="A2061" s="1" t="s">
        <v>4080</v>
      </c>
      <c r="B2061" s="2" t="s">
        <v>4081</v>
      </c>
      <c r="C2061" s="3" t="str">
        <f>IFERROR(__xludf.DUMMYFUNCTION("GOOGLETRANSLATE(A2061,""en"",""hy"")"),"Ո՞ր տարին է թոշակի անցել մեյջիկ Ջոնսոնը")</f>
        <v>Ո՞ր տարին է թոշակի անցել մեյջիկ Ջոնսոնը</v>
      </c>
      <c r="D2061" s="3" t="str">
        <f>IFERROR(__xludf.DUMMYFUNCTION("GOOGLETRANSLATE(B2061,""en"",""hy"")"),"Մեջիք Ջոնսոնը բասկետբոլից հեռացավ 1991 թվականին։")</f>
        <v>Մեջիք Ջոնսոնը բասկետբոլից հեռացավ 1991 թվականին։</v>
      </c>
    </row>
    <row r="2062">
      <c r="A2062" s="1" t="s">
        <v>4082</v>
      </c>
      <c r="B2062" s="2" t="s">
        <v>4083</v>
      </c>
      <c r="C2062" s="3" t="str">
        <f>IFERROR(__xludf.DUMMYFUNCTION("GOOGLETRANSLATE(A2062,""en"",""hy"")"),"ինչպիսի՞ կառավարություն ունի այժմ Իսպանիան.")</f>
        <v>ինչպիսի՞ կառավարություն ունի այժմ Իսպանիան.</v>
      </c>
      <c r="D2062" s="3" t="str">
        <f>IFERROR(__xludf.DUMMYFUNCTION("GOOGLETRANSLATE(B2062,""en"",""hy"")"),"Իսպանիան ունի խորհրդարանական սահմանադրական միապետություն։")</f>
        <v>Իսպանիան ունի խորհրդարանական սահմանադրական միապետություն։</v>
      </c>
    </row>
    <row r="2063">
      <c r="A2063" s="1" t="s">
        <v>4084</v>
      </c>
      <c r="B2063" s="2" t="s">
        <v>4085</v>
      </c>
      <c r="C2063" s="3" t="str">
        <f>IFERROR(__xludf.DUMMYFUNCTION("GOOGLETRANSLATE(A2063,""en"",""hy"")"),"ի՞նչ է ասել Ֆրեյդը կանանց մասին.")</f>
        <v>ի՞նչ է ասել Ֆրեյդը կանանց մասին.</v>
      </c>
      <c r="D2063" s="3" t="str">
        <f>IFERROR(__xludf.DUMMYFUNCTION("GOOGLETRANSLATE(B2063,""en"",""hy"")"),"Ֆրեյդը կարծում էր, որ կանայք ավելի թույլ սուպերէգո ունեն և տառապում են «առնանդամի նախանձով»:")</f>
        <v>Ֆրեյդը կարծում էր, որ կանայք ավելի թույլ սուպերէգո ունեն և տառապում են «առնանդամի նախանձով»:</v>
      </c>
    </row>
    <row r="2064">
      <c r="A2064" s="1" t="s">
        <v>4086</v>
      </c>
      <c r="B2064" s="2" t="s">
        <v>4087</v>
      </c>
      <c r="C2064" s="3" t="str">
        <f>IFERROR(__xludf.DUMMYFUNCTION("GOOGLETRANSLATE(A2064,""en"",""hy"")"),"Ո՞վ է խաղում երիտասարդ Ջոն Վինչեստերի դերը գերբնականում:")</f>
        <v>Ո՞վ է խաղում երիտասարդ Ջոն Վինչեստերի դերը գերբնականում:</v>
      </c>
      <c r="D2064" s="3" t="str">
        <f>IFERROR(__xludf.DUMMYFUNCTION("GOOGLETRANSLATE(B2064,""en"",""hy"")"),"Մեթ Քոհեն")</f>
        <v>Մեթ Քոհեն</v>
      </c>
    </row>
    <row r="2065">
      <c r="A2065" s="1" t="s">
        <v>4088</v>
      </c>
      <c r="B2065" s="2" t="s">
        <v>4089</v>
      </c>
      <c r="C2065" s="3" t="str">
        <f>IFERROR(__xludf.DUMMYFUNCTION("GOOGLETRANSLATE(A2065,""en"",""hy"")"),"ով է սպանել Վինսենթ Չին ֆիլմը:")</f>
        <v>ով է սպանել Վինսենթ Չին ֆիլմը:</v>
      </c>
      <c r="D2065" s="3" t="str">
        <f>IFERROR(__xludf.DUMMYFUNCTION("GOOGLETRANSLATE(B2065,""en"",""hy"")"),"«Ո՞վ սպանեց Վինսենթ Չինին» ֆիլմը։ ռեժիսորները՝ Քրիստին Չոյը և Ռենե Թաջիմա-Պենիան։")</f>
        <v>«Ո՞վ սպանեց Վինսենթ Չինին» ֆիլմը։ ռեժիսորները՝ Քրիստին Չոյը և Ռենե Թաջիմա-Պենիան։</v>
      </c>
    </row>
    <row r="2066">
      <c r="A2066" s="1" t="s">
        <v>4090</v>
      </c>
      <c r="B2066" s="2" t="s">
        <v>4091</v>
      </c>
      <c r="C2066" s="3" t="str">
        <f>IFERROR(__xludf.DUMMYFUNCTION("GOOGLETRANSLATE(A2066,""en"",""hy"")"),"որտեղի՞ց է ծագումով Շակիրան:")</f>
        <v>որտեղի՞ց է ծագումով Շակիրան:</v>
      </c>
      <c r="D2066" s="3" t="str">
        <f>IFERROR(__xludf.DUMMYFUNCTION("GOOGLETRANSLATE(B2066,""en"",""hy"")"),"Շակիրան ծագումով Կոլումբիայից է։")</f>
        <v>Շակիրան ծագումով Կոլումբիայից է։</v>
      </c>
    </row>
    <row r="2067">
      <c r="A2067" s="1" t="s">
        <v>4092</v>
      </c>
      <c r="B2067" s="2" t="s">
        <v>4093</v>
      </c>
      <c r="C2067" s="3" t="str">
        <f>IFERROR(__xludf.DUMMYFUNCTION("GOOGLETRANSLATE(A2067,""en"",""hy"")"),"ո՞ր շրջանն է Մանչեսթեր Անգլիան")</f>
        <v>ո՞ր շրջանն է Մանչեսթեր Անգլիան</v>
      </c>
      <c r="D2067" s="3" t="str">
        <f>IFERROR(__xludf.DUMMYFUNCTION("GOOGLETRANSLATE(B2067,""en"",""hy"")"),"Մանչեսթերը գտնվում է Անգլիայի հյուսիս-արևմտյան շրջանում:")</f>
        <v>Մանչեսթերը գտնվում է Անգլիայի հյուսիս-արևմտյան շրջանում:</v>
      </c>
    </row>
    <row r="2068">
      <c r="A2068" s="1" t="s">
        <v>4094</v>
      </c>
      <c r="B2068" s="2" t="s">
        <v>4095</v>
      </c>
      <c r="C2068" s="3" t="str">
        <f>IFERROR(__xludf.DUMMYFUNCTION("GOOGLETRANSLATE(A2068,""en"",""hy"")"),"որտեղ էր գտնվում Գետիսբուրգի պատերազմը:")</f>
        <v>որտեղ էր գտնվում Գետիսբուրգի պատերազմը:</v>
      </c>
      <c r="D2068" s="3" t="str">
        <f>IFERROR(__xludf.DUMMYFUNCTION("GOOGLETRANSLATE(B2068,""en"",""hy"")"),"Գետիսբուրգի պատերազմը տեղի ունեցավ ԱՄՆ Փենսիլվանիա նահանգի Գետիսբուրգ քաղաքում:")</f>
        <v>Գետիսբուրգի պատերազմը տեղի ունեցավ ԱՄՆ Փենսիլվանիա նահանգի Գետիսբուրգ քաղաքում:</v>
      </c>
    </row>
    <row r="2069">
      <c r="A2069" s="1" t="s">
        <v>4096</v>
      </c>
      <c r="B2069" s="2" t="s">
        <v>4097</v>
      </c>
      <c r="C2069" s="3" t="str">
        <f>IFERROR(__xludf.DUMMYFUNCTION("GOOGLETRANSLATE(A2069,""en"",""hy"")"),"ինչի՞ համար են մարդիկ գնում Ամստերդամ")</f>
        <v>ինչի՞ համար են մարդիկ գնում Ամստերդամ</v>
      </c>
      <c r="D2069" s="3" t="str">
        <f>IFERROR(__xludf.DUMMYFUNCTION("GOOGLETRANSLATE(B2069,""en"",""hy"")"),"Մարդիկ Ամստերդամ են մեկնում տարբեր պատճառներով, օրինակ՝ ուսումնասիրելու նրա մշակութային ժառանգությունը, այցելել թանգարաններ, զգալ նրա աշխույժ գիշերային կյանքը, անձնատուր լինել նրա հայտնի սրճարանային մշակույթին, վայելել գեղատեսիլ ջրանցքները և գնահատել գեղե"&amp;"ցիկ ճարտարապետությունը:")</f>
        <v>Մարդիկ Ամստերդամ են մեկնում տարբեր պատճառներով, օրինակ՝ ուսումնասիրելու նրա մշակութային ժառանգությունը, այցելել թանգարաններ, զգալ նրա աշխույժ գիշերային կյանքը, անձնատուր լինել նրա հայտնի սրճարանային մշակույթին, վայելել գեղատեսիլ ջրանցքները և գնահատել գեղեցիկ ճարտարապետությունը:</v>
      </c>
    </row>
    <row r="2070">
      <c r="A2070" s="1" t="s">
        <v>4098</v>
      </c>
      <c r="B2070" s="2" t="s">
        <v>4099</v>
      </c>
      <c r="C2070" s="3" t="str">
        <f>IFERROR(__xludf.DUMMYFUNCTION("GOOGLETRANSLATE(A2070,""en"",""hy"")"),"ով է Կալիֆոռնիայի ընտրված նահանգապետը.")</f>
        <v>ով է Կալիֆոռնիայի ընտրված նահանգապետը.</v>
      </c>
      <c r="D2070" s="3" t="str">
        <f>IFERROR(__xludf.DUMMYFUNCTION("GOOGLETRANSLATE(B2070,""en"",""hy"")"),"2021 թվականի հոկտեմբերի դրությամբ Կալիֆորնիայի ընտրված նահանգապետը Գևին Նյուսոմն է։")</f>
        <v>2021 թվականի հոկտեմբերի դրությամբ Կալիֆորնիայի ընտրված նահանգապետը Գևին Նյուսոմն է։</v>
      </c>
    </row>
    <row r="2071">
      <c r="A2071" s="1" t="s">
        <v>4100</v>
      </c>
      <c r="B2071" s="2" t="s">
        <v>4101</v>
      </c>
      <c r="C2071" s="3" t="str">
        <f>IFERROR(__xludf.DUMMYFUNCTION("GOOGLETRANSLATE(A2071,""en"",""hy"")"),"ինչ լեզվով է խոսում չիլին:")</f>
        <v>ինչ լեզվով է խոսում չիլին:</v>
      </c>
      <c r="D2071" s="3" t="str">
        <f>IFERROR(__xludf.DUMMYFUNCTION("GOOGLETRANSLATE(B2071,""en"",""hy"")"),"Չիլիի պաշտոնական լեզուն իսպաներենն է։")</f>
        <v>Չիլիի պաշտոնական լեզուն իսպաներենն է։</v>
      </c>
    </row>
    <row r="2072">
      <c r="A2072" s="1" t="s">
        <v>4102</v>
      </c>
      <c r="B2072" s="2" t="s">
        <v>4103</v>
      </c>
      <c r="C2072" s="3" t="str">
        <f>IFERROR(__xludf.DUMMYFUNCTION("GOOGLETRANSLATE(A2072,""en"",""hy"")"),"Ո՞ր տարին է Ջոն Գլենը քայլել լուսնի վրա:")</f>
        <v>Ո՞ր տարին է Ջոն Գլենը քայլել լուսնի վրա:</v>
      </c>
      <c r="D2072" s="3" t="str">
        <f>IFERROR(__xludf.DUMMYFUNCTION("GOOGLETRANSLATE(B2072,""en"",""hy"")"),"Ջոն Գլենը չի քայլել լուսնի վրա.")</f>
        <v>Ջոն Գլենը չի քայլել լուսնի վրա.</v>
      </c>
    </row>
    <row r="2073">
      <c r="A2073" s="1" t="s">
        <v>4104</v>
      </c>
      <c r="B2073" s="2" t="s">
        <v>4105</v>
      </c>
      <c r="C2073" s="3" t="str">
        <f>IFERROR(__xludf.DUMMYFUNCTION("GOOGLETRANSLATE(A2073,""en"",""hy"")"),"ինչ արժույթ վերցնել Թուրքիային:")</f>
        <v>ինչ արժույթ վերցնել Թուրքիային:</v>
      </c>
      <c r="D2073" s="3" t="str">
        <f>IFERROR(__xludf.DUMMYFUNCTION("GOOGLETRANSLATE(B2073,""en"",""hy"")"),"Թուրքիայի Սիդ քաղաքում օգտագործվող արժույթը թուրքական լիրան է (TRY):")</f>
        <v>Թուրքիայի Սիդ քաղաքում օգտագործվող արժույթը թուրքական լիրան է (TRY):</v>
      </c>
    </row>
    <row r="2074">
      <c r="A2074" s="1" t="s">
        <v>4106</v>
      </c>
      <c r="B2074" s="2" t="s">
        <v>4107</v>
      </c>
      <c r="C2074" s="3" t="str">
        <f>IFERROR(__xludf.DUMMYFUNCTION("GOOGLETRANSLATE(A2074,""en"",""hy"")"),"ո՞վ է հիմնել նոր դեմոկրատական ​​կուսակցությունը։")</f>
        <v>ո՞վ է հիմնել նոր դեմոկրատական ​​կուսակցությունը։</v>
      </c>
      <c r="D2074" s="3" t="str">
        <f>IFERROR(__xludf.DUMMYFUNCTION("GOOGLETRANSLATE(B2074,""en"",""hy"")"),"Նոր դեմոկրատական ​​կուսակցությունը հիմնադրվել է Թոմի Դուգլասի կողմից։")</f>
        <v>Նոր դեմոկրատական ​​կուսակցությունը հիմնադրվել է Թոմի Դուգլասի կողմից։</v>
      </c>
    </row>
    <row r="2075">
      <c r="A2075" s="1" t="s">
        <v>4108</v>
      </c>
      <c r="B2075" s="2" t="s">
        <v>4109</v>
      </c>
      <c r="C2075" s="3" t="str">
        <f>IFERROR(__xludf.DUMMYFUNCTION("GOOGLETRANSLATE(A2075,""en"",""hy"")"),"Որո՞նք էին 1917 թվականի ռուսական հեղափոխության պատճառները:")</f>
        <v>Որո՞նք էին 1917 թվականի ռուսական հեղափոխության պատճառները:</v>
      </c>
      <c r="D2075" s="3" t="str">
        <f>IFERROR(__xludf.DUMMYFUNCTION("GOOGLETRANSLATE(B2075,""en"",""hy"")"),"1917 թվականի ռուսական հեղափոխության հիմնական պատճառներն էին սննդի համատարած պակասը, քաղաքական դժգոհությունը և Առաջին համաշխարհային պատերազմում կրած ռազմական պարտությունները։")</f>
        <v>1917 թվականի ռուսական հեղափոխության հիմնական պատճառներն էին սննդի համատարած պակասը, քաղաքական դժգոհությունը և Առաջին համաշխարհային պատերազմում կրած ռազմական պարտությունները։</v>
      </c>
    </row>
    <row r="2076">
      <c r="A2076" s="1" t="s">
        <v>4110</v>
      </c>
      <c r="B2076" s="2" t="s">
        <v>4111</v>
      </c>
      <c r="C2076" s="3" t="str">
        <f>IFERROR(__xludf.DUMMYFUNCTION("GOOGLETRANSLATE(A2076,""en"",""hy"")"),"Ո՞ր թիմում է Ջոն Մեդենը ֆուտբոլ խաղում:")</f>
        <v>Ո՞ր թիմում է Ջոն Մեդենը ֆուտբոլ խաղում:</v>
      </c>
      <c r="D2076" s="3" t="str">
        <f>IFERROR(__xludf.DUMMYFUNCTION("GOOGLETRANSLATE(B2076,""en"",""hy"")"),"Ջոն Մեդենը ֆուտբոլ չի խաղացել, նա մարզել է Օքլենդ Ռեյդերսը։")</f>
        <v>Ջոն Մեդենը ֆուտբոլ չի խաղացել, նա մարզել է Օքլենդ Ռեյդերսը։</v>
      </c>
    </row>
    <row r="2077">
      <c r="A2077" s="1" t="s">
        <v>4112</v>
      </c>
      <c r="B2077" s="2" t="s">
        <v>4113</v>
      </c>
      <c r="C2077" s="3" t="str">
        <f>IFERROR(__xludf.DUMMYFUNCTION("GOOGLETRANSLATE(A2077,""en"",""hy"")"),"ինչ է անում Ջուլիան Քլերին")</f>
        <v>ինչ է անում Ջուլիան Քլերին</v>
      </c>
      <c r="D2077" s="3" t="str">
        <f>IFERROR(__xludf.DUMMYFUNCTION("GOOGLETRANSLATE(B2077,""en"",""hy"")"),"Ջուլիան Քլարին բրիտանացի կատակերգու, դերասան և հեղինակ է։")</f>
        <v>Ջուլիան Քլարին բրիտանացի կատակերգու, դերասան և հեղինակ է։</v>
      </c>
    </row>
    <row r="2078">
      <c r="A2078" s="1" t="s">
        <v>4114</v>
      </c>
      <c r="B2078" s="2" t="s">
        <v>4115</v>
      </c>
      <c r="C2078" s="3" t="str">
        <f>IFERROR(__xludf.DUMMYFUNCTION("GOOGLETRANSLATE(A2078,""en"",""hy"")"),"որտեղ է թափվում Պոտոմակ գետը.")</f>
        <v>որտեղ է թափվում Պոտոմակ գետը.</v>
      </c>
      <c r="D2078" s="3" t="str">
        <f>IFERROR(__xludf.DUMMYFUNCTION("GOOGLETRANSLATE(B2078,""en"",""hy"")"),"Պոտոմակ գետը հոսում է Չեզապիքի ծովածոց։")</f>
        <v>Պոտոմակ գետը հոսում է Չեզապիքի ծովածոց։</v>
      </c>
    </row>
    <row r="2079">
      <c r="A2079" s="1" t="s">
        <v>4116</v>
      </c>
      <c r="B2079" s="2" t="s">
        <v>4117</v>
      </c>
      <c r="C2079" s="3" t="str">
        <f>IFERROR(__xludf.DUMMYFUNCTION("GOOGLETRANSLATE(A2079,""en"",""hy"")"),"որտեղ է գտնվում օլիմպիական ազգային պարկը:")</f>
        <v>որտեղ է գտնվում օլիմպիական ազգային պարկը:</v>
      </c>
      <c r="D2079" s="3" t="str">
        <f>IFERROR(__xludf.DUMMYFUNCTION("GOOGLETRANSLATE(B2079,""en"",""hy"")"),"Օլիմպիական ազգային պարկը գտնվում է ԱՄՆ Վաշինգտոն նահանգում։")</f>
        <v>Օլիմպիական ազգային պարկը գտնվում է ԱՄՆ Վաշինգտոն նահանգում։</v>
      </c>
    </row>
    <row r="2080">
      <c r="A2080" s="1" t="s">
        <v>4118</v>
      </c>
      <c r="B2080" s="2" t="s">
        <v>4119</v>
      </c>
      <c r="C2080" s="3" t="str">
        <f>IFERROR(__xludf.DUMMYFUNCTION("GOOGLETRANSLATE(A2080,""en"",""hy"")"),"երբ է տեղի ունենում աշխարհի առաջնությունը")</f>
        <v>երբ է տեղի ունենում աշխարհի առաջնությունը</v>
      </c>
      <c r="D2080" s="3" t="str">
        <f>IFERROR(__xludf.DUMMYFUNCTION("GOOGLETRANSLATE(B2080,""en"",""hy"")"),"Աշխարհի առաջնությունը տեղի է ունենում չորս տարին մեկ անգամ:")</f>
        <v>Աշխարհի առաջնությունը տեղի է ունենում չորս տարին մեկ անգամ:</v>
      </c>
    </row>
    <row r="2081">
      <c r="A2081" s="1" t="s">
        <v>4120</v>
      </c>
      <c r="B2081" s="2" t="s">
        <v>4121</v>
      </c>
      <c r="C2081" s="3" t="str">
        <f>IFERROR(__xludf.DUMMYFUNCTION("GOOGLETRANSLATE(A2081,""en"",""hy"")"),"Ո՞ր տարիներին են պողպատեները հաղթել սուպեր գավաթում:")</f>
        <v>Ո՞ր տարիներին են պողպատեները հաղթել սուպեր գավաթում:</v>
      </c>
      <c r="D2081" s="3" t="str">
        <f>IFERROR(__xludf.DUMMYFUNCTION("GOOGLETRANSLATE(B2081,""en"",""hy"")"),"The Steelers-ը հաղթել է Super Bowl-ը 1974, 1975, 1978, 1979, 2005 և 2008 թվականներին:")</f>
        <v>The Steelers-ը հաղթել է Super Bowl-ը 1974, 1975, 1978, 1979, 2005 և 2008 թվականներին:</v>
      </c>
    </row>
    <row r="2082">
      <c r="A2082" s="1" t="s">
        <v>4122</v>
      </c>
      <c r="B2082" s="2" t="s">
        <v>4123</v>
      </c>
      <c r="C2082" s="3" t="str">
        <f>IFERROR(__xludf.DUMMYFUNCTION("GOOGLETRANSLATE(A2082,""en"",""hy"")"),"Ո՞ր արվեստի շարժումից էր առանձնանում Վինսենթ Վան Գոգը:")</f>
        <v>Ո՞ր արվեստի շարժումից էր առանձնանում Վինսենթ Վան Գոգը:</v>
      </c>
      <c r="D2082" s="3" t="str">
        <f>IFERROR(__xludf.DUMMYFUNCTION("GOOGLETRANSLATE(B2082,""en"",""hy"")"),"Վինսենթ վան Գոգը հետիմպրեսիոնիստական ​​արվեստի շարժման մի մասն էր:")</f>
        <v>Վինսենթ վան Գոգը հետիմպրեսիոնիստական ​​արվեստի շարժման մի մասն էր:</v>
      </c>
    </row>
    <row r="2083">
      <c r="A2083" s="1" t="s">
        <v>4124</v>
      </c>
      <c r="B2083" s="2" t="s">
        <v>4125</v>
      </c>
      <c r="C2083" s="3" t="str">
        <f>IFERROR(__xludf.DUMMYFUNCTION("GOOGLETRANSLATE(A2083,""en"",""hy"")"),"որտեղից է գալիս դանիական լեզուն")</f>
        <v>որտեղից է գալիս դանիական լեզուն</v>
      </c>
      <c r="D2083" s="3" t="str">
        <f>IFERROR(__xludf.DUMMYFUNCTION("GOOGLETRANSLATE(B2083,""en"",""hy"")"),"Դանիերենը ծագում է Դանիայից։")</f>
        <v>Դանիերենը ծագում է Դանիայից։</v>
      </c>
    </row>
    <row r="2084">
      <c r="A2084" s="1" t="s">
        <v>4126</v>
      </c>
      <c r="B2084" s="2" t="s">
        <v>4127</v>
      </c>
      <c r="C2084" s="3" t="str">
        <f>IFERROR(__xludf.DUMMYFUNCTION("GOOGLETRANSLATE(A2084,""en"",""hy"")"),"ո՞ր երկրներն են Բալթյան տարածաշրջանում:")</f>
        <v>ո՞ր երկրներն են Բալթյան տարածաշրջանում:</v>
      </c>
      <c r="D2084" s="3" t="str">
        <f>IFERROR(__xludf.DUMMYFUNCTION("GOOGLETRANSLATE(B2084,""en"",""hy"")"),"Բալթյան տարածաշրջանի երկրներն են Էստոնիան, Լատվիան և Լիտվան։")</f>
        <v>Բալթյան տարածաշրջանի երկրներն են Էստոնիան, Լատվիան և Լիտվան։</v>
      </c>
    </row>
    <row r="2085">
      <c r="A2085" s="1" t="s">
        <v>4128</v>
      </c>
      <c r="B2085" s="2" t="s">
        <v>2641</v>
      </c>
      <c r="C2085" s="3" t="str">
        <f>IFERROR(__xludf.DUMMYFUNCTION("GOOGLETRANSLATE(A2085,""en"",""hy"")"),"ո՞ր ազգն է ղեկավարել Հիտլերը")</f>
        <v>ո՞ր ազգն է ղեկավարել Հիտլերը</v>
      </c>
      <c r="D2085" s="3" t="str">
        <f>IFERROR(__xludf.DUMMYFUNCTION("GOOGLETRANSLATE(B2085,""en"",""hy"")"),"Գերմանիա.")</f>
        <v>Գերմանիա.</v>
      </c>
    </row>
    <row r="2086">
      <c r="A2086" s="1" t="s">
        <v>4129</v>
      </c>
      <c r="B2086" s="2" t="s">
        <v>4130</v>
      </c>
      <c r="C2086" s="3" t="str">
        <f>IFERROR(__xludf.DUMMYFUNCTION("GOOGLETRANSLATE(A2086,""en"",""hy"")"),"ժամը քանիսն է Լոնդոնի Հիթրոուում:")</f>
        <v>ժամը քանիսն է Լոնդոնի Հիթրոուում:</v>
      </c>
      <c r="D2086" s="3" t="str">
        <f>IFERROR(__xludf.DUMMYFUNCTION("GOOGLETRANSLATE(B2086,""en"",""hy"")"),"Լոնդոնի Հիթրոու ժամը ներկայումս հասանելի չէ, քանի որ այն տատանվում է կախված ժամային գոտուց և օրվա ընթացիկ ժամից:")</f>
        <v>Լոնդոնի Հիթրոու ժամը ներկայումս հասանելի չէ, քանի որ այն տատանվում է կախված ժամային գոտուց և օրվա ընթացիկ ժամից:</v>
      </c>
    </row>
    <row r="2087">
      <c r="A2087" s="1" t="s">
        <v>4131</v>
      </c>
      <c r="B2087" s="2" t="s">
        <v>4132</v>
      </c>
      <c r="C2087" s="3" t="str">
        <f>IFERROR(__xludf.DUMMYFUNCTION("GOOGLETRANSLATE(A2087,""en"",""hy"")"),"Ե՞րբ են կանանց թույլ տվել մասնակցել օլիմպիական խաղերին:")</f>
        <v>Ե՞րբ են կանանց թույլ տվել մասնակցել օլիմպիական խաղերին:</v>
      </c>
      <c r="D2087" s="3" t="str">
        <f>IFERROR(__xludf.DUMMYFUNCTION("GOOGLETRANSLATE(B2087,""en"",""hy"")"),"Կանանց թույլատրվել է մասնակցել Օլիմպիական խաղերին 1900 թվականից սկսած։")</f>
        <v>Կանանց թույլատրվել է մասնակցել Օլիմպիական խաղերին 1900 թվականից սկսած։</v>
      </c>
    </row>
    <row r="2088">
      <c r="A2088" s="1" t="s">
        <v>4133</v>
      </c>
      <c r="B2088" s="2" t="s">
        <v>4134</v>
      </c>
      <c r="C2088" s="3" t="str">
        <f>IFERROR(__xludf.DUMMYFUNCTION("GOOGLETRANSLATE(A2088,""en"",""hy"")"),"Ո՞ր մայրցամաքով է հոսում Ամազոն գետը:")</f>
        <v>Ո՞ր մայրցամաքով է հոսում Ամազոն գետը:</v>
      </c>
      <c r="D2088" s="3" t="str">
        <f>IFERROR(__xludf.DUMMYFUNCTION("GOOGLETRANSLATE(B2088,""en"",""hy"")"),"Ամազոն գետը հոսում է Հարավային Ամերիկա մայրցամաքով։")</f>
        <v>Ամազոն գետը հոսում է Հարավային Ամերիկա մայրցամաքով։</v>
      </c>
    </row>
    <row r="2089">
      <c r="A2089" s="1" t="s">
        <v>4135</v>
      </c>
      <c r="B2089" s="2" t="s">
        <v>4136</v>
      </c>
      <c r="C2089" s="3" t="str">
        <f>IFERROR(__xludf.DUMMYFUNCTION("GOOGLETRANSLATE(A2089,""en"",""hy"")"),"ինչ է քաղաքը Բելգիայում")</f>
        <v>ինչ է քաղաքը Բելգիայում</v>
      </c>
      <c r="D2089" s="3" t="str">
        <f>IFERROR(__xludf.DUMMYFUNCTION("GOOGLETRANSLATE(B2089,""en"",""hy"")"),"Բրյուսել.")</f>
        <v>Բրյուսել.</v>
      </c>
    </row>
    <row r="2090">
      <c r="A2090" s="1" t="s">
        <v>4137</v>
      </c>
      <c r="B2090" s="2" t="s">
        <v>4138</v>
      </c>
      <c r="C2090" s="3" t="str">
        <f>IFERROR(__xludf.DUMMYFUNCTION("GOOGLETRANSLATE(A2090,""en"",""hy"")"),"ով խաղաց Էլ Գրինուեյ")</f>
        <v>ով խաղաց Էլ Գրինուեյ</v>
      </c>
      <c r="D2090" s="3" t="str">
        <f>IFERROR(__xludf.DUMMYFUNCTION("GOOGLETRANSLATE(B2090,""en"",""hy"")"),"Լոլա Գլաուդինի.")</f>
        <v>Լոլա Գլաուդինի.</v>
      </c>
    </row>
    <row r="2091">
      <c r="A2091" s="1" t="s">
        <v>4139</v>
      </c>
      <c r="B2091" s="2" t="s">
        <v>4140</v>
      </c>
      <c r="C2091" s="3" t="str">
        <f>IFERROR(__xludf.DUMMYFUNCTION("GOOGLETRANSLATE(A2091,""en"",""hy"")"),"ո՞ր միջնակարգ դպրոցն է սովորել Ադոլֆ Հիտլերը:")</f>
        <v>ո՞ր միջնակարգ դպրոցն է սովորել Ադոլֆ Հիտլերը:</v>
      </c>
      <c r="D2091" s="3" t="str">
        <f>IFERROR(__xludf.DUMMYFUNCTION("GOOGLETRANSLATE(B2091,""en"",""hy"")"),"Ադոլֆ Հիտլերը սովորել է Ավստրիայի Լինց քաղաքի միջնակարգ դպրոցում։")</f>
        <v>Ադոլֆ Հիտլերը սովորել է Ավստրիայի Լինց քաղաքի միջնակարգ դպրոցում։</v>
      </c>
    </row>
    <row r="2092">
      <c r="A2092" s="1" t="s">
        <v>4141</v>
      </c>
      <c r="B2092" s="2" t="s">
        <v>4142</v>
      </c>
      <c r="C2092" s="3" t="str">
        <f>IFERROR(__xludf.DUMMYFUNCTION("GOOGLETRANSLATE(A2092,""en"",""hy"")"),"ով էր Էնդի Ուիլյամսի երկրորդ կինը:")</f>
        <v>ով էր Էնդի Ուիլյամսի երկրորդ կինը:</v>
      </c>
      <c r="D2092" s="3" t="str">
        <f>IFERROR(__xludf.DUMMYFUNCTION("GOOGLETRANSLATE(B2092,""en"",""hy"")"),"Էնդի Ուիլյամսի երկրորդ կինը Կլոդին Լոնգետն էր։")</f>
        <v>Էնդի Ուիլյամսի երկրորդ կինը Կլոդին Լոնգետն էր։</v>
      </c>
    </row>
    <row r="2093">
      <c r="A2093" s="1" t="s">
        <v>4143</v>
      </c>
      <c r="B2093" s="4" t="s">
        <v>4144</v>
      </c>
      <c r="C2093" s="3" t="str">
        <f>IFERROR(__xludf.DUMMYFUNCTION("GOOGLETRANSLATE(A2093,""en"",""hy"")"),"որտեղից ես եգիպտական ​​արաբերեն")</f>
        <v>որտեղից ես եգիպտական ​​արաբերեն</v>
      </c>
      <c r="D2093" s="3" t="str">
        <f>IFERROR(__xludf.DUMMYFUNCTION("GOOGLETRANSLATE(B2093,""en"",""hy"")"),"أنا من القاهرة")</f>
        <v>أنا من القاهرة</v>
      </c>
    </row>
    <row r="2094">
      <c r="A2094" s="1" t="s">
        <v>4145</v>
      </c>
      <c r="B2094" s="2" t="s">
        <v>4146</v>
      </c>
      <c r="C2094" s="3" t="str">
        <f>IFERROR(__xludf.DUMMYFUNCTION("GOOGLETRANSLATE(A2094,""en"",""hy"")"),"ինչի՞ց է մահացել կապիտան Սքոթը.")</f>
        <v>ինչի՞ց է մահացել կապիտան Սքոթը.</v>
      </c>
      <c r="D2094" s="3" t="str">
        <f>IFERROR(__xludf.DUMMYFUNCTION("GOOGLETRANSLATE(B2094,""en"",""hy"")"),"Կապիտան Սքոթը մահացավ հիպոթերմիայից, հյուծվածությունից և սովից՝ փորձելով վերադառնալ Հարավային բևեռից։")</f>
        <v>Կապիտան Սքոթը մահացավ հիպոթերմիայից, հյուծվածությունից և սովից՝ փորձելով վերադառնալ Հարավային բևեռից։</v>
      </c>
    </row>
    <row r="2095">
      <c r="A2095" s="1" t="s">
        <v>4147</v>
      </c>
      <c r="B2095" s="2" t="s">
        <v>4148</v>
      </c>
      <c r="C2095" s="3" t="str">
        <f>IFERROR(__xludf.DUMMYFUNCTION("GOOGLETRANSLATE(A2095,""en"",""hy"")"),"որտեղի՞ց է ծագել կաթոլիկ եկեղեցին.")</f>
        <v>որտեղի՞ց է ծագել կաթոլիկ եկեղեցին.</v>
      </c>
      <c r="D2095" s="3" t="str">
        <f>IFERROR(__xludf.DUMMYFUNCTION("GOOGLETRANSLATE(B2095,""en"",""hy"")"),"Կաթոլիկ եկեղեցին առաջացել է Հիսուս Քրիստոսի ուսմունքներից և առաքյալների հաստատումից առաջին դարում։")</f>
        <v>Կաթոլիկ եկեղեցին առաջացել է Հիսուս Քրիստոսի ուսմունքներից և առաքյալների հաստատումից առաջին դարում։</v>
      </c>
    </row>
    <row r="2096">
      <c r="A2096" s="1" t="s">
        <v>4149</v>
      </c>
      <c r="B2096" s="2" t="s">
        <v>4150</v>
      </c>
      <c r="C2096" s="3" t="str">
        <f>IFERROR(__xludf.DUMMYFUNCTION("GOOGLETRANSLATE(A2096,""en"",""hy"")"),"Ո՞ր քաղաքում է մեծացել Էլվիս Փրեսլին:")</f>
        <v>Ո՞ր քաղաքում է մեծացել Էլվիս Փրեսլին:</v>
      </c>
      <c r="D2096" s="3" t="str">
        <f>IFERROR(__xludf.DUMMYFUNCTION("GOOGLETRANSLATE(B2096,""en"",""hy"")"),"Էլվիս Փրեսլին մեծացել է Միսիսիպի նահանգի Տուպելո քաղաքում:")</f>
        <v>Էլվիս Փրեսլին մեծացել է Միսիսիպի նահանգի Տուպելո քաղաքում:</v>
      </c>
    </row>
    <row r="2097">
      <c r="A2097" s="1" t="s">
        <v>4151</v>
      </c>
      <c r="B2097" s="2" t="s">
        <v>1627</v>
      </c>
      <c r="C2097" s="3" t="str">
        <f>IFERROR(__xludf.DUMMYFUNCTION("GOOGLETRANSLATE(A2097,""en"",""hy"")"),"Ո՞ր մայրցամաքում է գտնվում Բելիզը:")</f>
        <v>Ո՞ր մայրցամաքում է գտնվում Բելիզը:</v>
      </c>
      <c r="D2097" s="3" t="str">
        <f>IFERROR(__xludf.DUMMYFUNCTION("GOOGLETRANSLATE(B2097,""en"",""hy"")"),"Հյուսիսային Ամերիկա.")</f>
        <v>Հյուսիսային Ամերիկա.</v>
      </c>
    </row>
    <row r="2098">
      <c r="A2098" s="1" t="s">
        <v>4152</v>
      </c>
      <c r="B2098" s="2" t="s">
        <v>4153</v>
      </c>
      <c r="C2098" s="3" t="str">
        <f>IFERROR(__xludf.DUMMYFUNCTION("GOOGLETRANSLATE(A2098,""en"",""hy"")"),"ով էր Դոնալդ Դակի ընկերուհին")</f>
        <v>ով էր Դոնալդ Դակի ընկերուհին</v>
      </c>
      <c r="D2098" s="3" t="str">
        <f>IFERROR(__xludf.DUMMYFUNCTION("GOOGLETRANSLATE(B2098,""en"",""hy"")"),"Դոնալդ Դաքի ընկերուհին Դեյզի Դաքն է։")</f>
        <v>Դոնալդ Դաքի ընկերուհին Դեյզի Դաքն է։</v>
      </c>
    </row>
    <row r="2099">
      <c r="A2099" s="1" t="s">
        <v>4154</v>
      </c>
      <c r="B2099" s="2" t="s">
        <v>4155</v>
      </c>
      <c r="C2099" s="3" t="str">
        <f>IFERROR(__xludf.DUMMYFUNCTION("GOOGLETRANSLATE(A2099,""en"",""hy"")"),"ո՞ր կուսակցությունն էր Ուինսթոն Չերչիլը քաղաքականության մեջ:")</f>
        <v>ո՞ր կուսակցությունն էր Ուինսթոն Չերչիլը քաղաքականության մեջ:</v>
      </c>
      <c r="D2099" s="3" t="str">
        <f>IFERROR(__xludf.DUMMYFUNCTION("GOOGLETRANSLATE(B2099,""en"",""hy"")"),"Ուինսթոն Չերչիլը Պահպանողական կուսակցության անդամ էր։")</f>
        <v>Ուինսթոն Չերչիլը Պահպանողական կուսակցության անդամ էր։</v>
      </c>
    </row>
    <row r="2100">
      <c r="A2100" s="1" t="s">
        <v>4156</v>
      </c>
      <c r="B2100" s="2" t="s">
        <v>3254</v>
      </c>
      <c r="C2100" s="3" t="str">
        <f>IFERROR(__xludf.DUMMYFUNCTION("GOOGLETRANSLATE(A2100,""en"",""hy"")"),"Ո՞ր 4 թիմերում է խաղացել Ուեյն Գրեցկին:")</f>
        <v>Ո՞ր 4 թիմերում է խաղացել Ուեյն Գրեցկին:</v>
      </c>
      <c r="D2100" s="3" t="str">
        <f>IFERROR(__xludf.DUMMYFUNCTION("GOOGLETRANSLATE(B2100,""en"",""hy"")"),"Ուեյն Գրեցկին խաղացել է Edmonton Oilers, Los Angeles Kings, St. Louis Blues և New York Rangers թիմերում։")</f>
        <v>Ուեյն Գրեցկին խաղացել է Edmonton Oilers, Los Angeles Kings, St. Louis Blues և New York Rangers թիմերում։</v>
      </c>
    </row>
    <row r="2101">
      <c r="A2101" s="1" t="s">
        <v>4157</v>
      </c>
      <c r="B2101" s="2" t="s">
        <v>4158</v>
      </c>
      <c r="C2101" s="3" t="str">
        <f>IFERROR(__xludf.DUMMYFUNCTION("GOOGLETRANSLATE(A2101,""en"",""hy"")"),"ով էր Ֆիլիպ Ռենդոլֆը")</f>
        <v>ով էր Ֆիլիպ Ռենդոլֆը</v>
      </c>
      <c r="D2101" s="3" t="str">
        <f>IFERROR(__xludf.DUMMYFUNCTION("GOOGLETRANSLATE(B2101,""en"",""hy"")"),"Ֆիլիպ Ռենդոլֆը քաղաքացիական իրավունքների նշանավոր առաջնորդ էր և աշխատանքի կազմակերպիչ:")</f>
        <v>Ֆիլիպ Ռենդոլֆը քաղաքացիական իրավունքների նշանավոր առաջնորդ էր և աշխատանքի կազմակերպիչ:</v>
      </c>
    </row>
    <row r="2102">
      <c r="A2102" s="1" t="s">
        <v>4159</v>
      </c>
      <c r="B2102" s="2" t="s">
        <v>4160</v>
      </c>
      <c r="C2102" s="3" t="str">
        <f>IFERROR(__xludf.DUMMYFUNCTION("GOOGLETRANSLATE(A2102,""en"",""hy"")"),"որտեղից են brembo արգելակները:")</f>
        <v>որտեղից են brembo արգելակները:</v>
      </c>
      <c r="D2102" s="3" t="str">
        <f>IFERROR(__xludf.DUMMYFUNCTION("GOOGLETRANSLATE(B2102,""en"",""hy"")"),"Brembo արգելակները Իտալիայից են։")</f>
        <v>Brembo արգելակները Իտալիայից են։</v>
      </c>
    </row>
    <row r="2103">
      <c r="A2103" s="1" t="s">
        <v>4161</v>
      </c>
      <c r="B2103" s="2" t="s">
        <v>4162</v>
      </c>
      <c r="C2103" s="3" t="str">
        <f>IFERROR(__xludf.DUMMYFUNCTION("GOOGLETRANSLATE(A2103,""en"",""hy"")"),"ի՞նչ արեց Թեյլոր Սվիֆթը vmas 2012-ին:")</f>
        <v>ի՞նչ արեց Թեյլոր Սվիֆթը vmas 2012-ին:</v>
      </c>
      <c r="D2103" s="3" t="str">
        <f>IFERROR(__xludf.DUMMYFUNCTION("GOOGLETRANSLATE(B2103,""en"",""hy"")"),"Թեյլոր Սվիֆթը կատարել է իր հիթ «We Are Never Ever Getting Back Together» սինգլը VMA 2012-ին։")</f>
        <v>Թեյլոր Սվիֆթը կատարել է իր հիթ «We Are Never Ever Getting Back Together» սինգլը VMA 2012-ին։</v>
      </c>
    </row>
    <row r="2104">
      <c r="A2104" s="1" t="s">
        <v>4163</v>
      </c>
      <c r="B2104" s="2" t="s">
        <v>4164</v>
      </c>
      <c r="C2104" s="3" t="str">
        <f>IFERROR(__xludf.DUMMYFUNCTION("GOOGLETRANSLATE(A2104,""en"",""hy"")"),"ումի՞ց են ծագել ռուսները.")</f>
        <v>ումի՞ց են ծագել ռուսները.</v>
      </c>
      <c r="D2104" s="3" t="str">
        <f>IFERROR(__xludf.DUMMYFUNCTION("GOOGLETRANSLATE(B2104,""en"",""hy"")"),"Ռուսները սերում էին սլավոնական և տարածաշրջանի այլ բնիկ ժողովուրդներից:")</f>
        <v>Ռուսները սերում էին սլավոնական և տարածաշրջանի այլ բնիկ ժողովուրդներից:</v>
      </c>
    </row>
    <row r="2105">
      <c r="A2105" s="1" t="s">
        <v>4165</v>
      </c>
      <c r="B2105" s="2" t="s">
        <v>4166</v>
      </c>
      <c r="C2105" s="3" t="str">
        <f>IFERROR(__xludf.DUMMYFUNCTION("GOOGLETRANSLATE(A2105,""en"",""hy"")"),"ինչ տեսնել և անել Սան Դիեգո Կալիֆորնիայում:")</f>
        <v>ինչ տեսնել և անել Սան Դիեգո Կալիֆորնիայում:</v>
      </c>
      <c r="D2105" s="3" t="str">
        <f>IFERROR(__xludf.DUMMYFUNCTION("GOOGLETRANSLATE(B2105,""en"",""hy"")"),"Կալիֆոռնիայի Սան Դիեգոյում կարող եք այցելել այնպիսի տեսարժան վայրեր, ինչպիսիք են Սան Դիեգոյի կենդանաբանական այգին, Բալբոա այգին, USS Midway թանգարանը, Կորոնադո կղզին և Լա Ջոլլա Քովը: Կարող եք նաև վայելել լողափերը, քայլել Torrey Pines պետական ​​բնական արգե"&amp;"լոցում, ուսումնասիրել Սան Դիեգոյի Հին քաղաքը և փորձել տեղական ուտեստներ Gaslamp Quarter-ում:")</f>
        <v>Կալիֆոռնիայի Սան Դիեգոյում կարող եք այցելել այնպիսի տեսարժան վայրեր, ինչպիսիք են Սան Դիեգոյի կենդանաբանական այգին, Բալբոա այգին, USS Midway թանգարանը, Կորոնադո կղզին և Լա Ջոլլա Քովը: Կարող եք նաև վայելել լողափերը, քայլել Torrey Pines պետական ​​բնական արգելոցում, ուսումնասիրել Սան Դիեգոյի Հին քաղաքը և փորձել տեղական ուտեստներ Gaslamp Quarter-ում:</v>
      </c>
    </row>
    <row r="2106">
      <c r="A2106" s="1" t="s">
        <v>4167</v>
      </c>
      <c r="B2106" s="2" t="s">
        <v>4168</v>
      </c>
      <c r="C2106" s="3" t="str">
        <f>IFERROR(__xludf.DUMMYFUNCTION("GOOGLETRANSLATE(A2106,""en"",""hy"")"),"ո՞րն է clarksville tn փոստային կոդը:")</f>
        <v>ո՞րն է clarksville tn փոստային կոդը:</v>
      </c>
      <c r="D2106" s="3" t="str">
        <f>IFERROR(__xludf.DUMMYFUNCTION("GOOGLETRANSLATE(B2106,""en"",""hy"")"),"Clarksville, TN փոստային կոդը 37040։")</f>
        <v>Clarksville, TN փոստային կոդը 37040։</v>
      </c>
    </row>
    <row r="2107">
      <c r="A2107" s="1" t="s">
        <v>4169</v>
      </c>
      <c r="B2107" s="2" t="s">
        <v>4170</v>
      </c>
      <c r="C2107" s="3" t="str">
        <f>IFERROR(__xludf.DUMMYFUNCTION("GOOGLETRANSLATE(A2107,""en"",""hy"")"),"որտեղ է Ուեյն նահանգը")</f>
        <v>որտեղ է Ուեյն նահանգը</v>
      </c>
      <c r="D2107" s="3" t="str">
        <f>IFERROR(__xludf.DUMMYFUNCTION("GOOGLETRANSLATE(B2107,""en"",""hy"")"),"Ուեյն նահանգը գտնվում է Դեթրոյթում, Միչիգան, ԱՄՆ։")</f>
        <v>Ուեյն նահանգը գտնվում է Դեթրոյթում, Միչիգան, ԱՄՆ։</v>
      </c>
    </row>
    <row r="2108">
      <c r="A2108" s="1" t="s">
        <v>4171</v>
      </c>
      <c r="B2108" s="2" t="s">
        <v>4172</v>
      </c>
      <c r="C2108" s="3" t="str">
        <f>IFERROR(__xludf.DUMMYFUNCTION("GOOGLETRANSLATE(A2108,""en"",""hy"")"),"ի՞նչ բարբառով են խոսում չինացիների մեծ մասը:")</f>
        <v>ի՞նչ բարբառով են խոսում չինացիների մեծ մասը:</v>
      </c>
      <c r="D2108" s="3" t="str">
        <f>IFERROR(__xludf.DUMMYFUNCTION("GOOGLETRANSLATE(B2108,""en"",""hy"")"),"Մանդարին.")</f>
        <v>Մանդարին.</v>
      </c>
    </row>
    <row r="2109">
      <c r="A2109" s="1" t="s">
        <v>4173</v>
      </c>
      <c r="B2109" s="2" t="s">
        <v>4174</v>
      </c>
      <c r="C2109" s="3" t="str">
        <f>IFERROR(__xludf.DUMMYFUNCTION("GOOGLETRANSLATE(A2109,""en"",""hy"")"),"ով է Կուբայի նախագահը 2009թ.")</f>
        <v>ով է Կուբայի նախագահը 2009թ.</v>
      </c>
      <c r="D2109" s="3" t="str">
        <f>IFERROR(__xludf.DUMMYFUNCTION("GOOGLETRANSLATE(B2109,""en"",""hy"")"),"2009 թվականին Կուբայի նախագահը Ռաուլ Կաստրոն էր։")</f>
        <v>2009 թվականին Կուբայի նախագահը Ռաուլ Կաստրոն էր։</v>
      </c>
    </row>
    <row r="2110">
      <c r="A2110" s="1" t="s">
        <v>4175</v>
      </c>
      <c r="B2110" s="2" t="s">
        <v>4176</v>
      </c>
      <c r="C2110" s="3" t="str">
        <f>IFERROR(__xludf.DUMMYFUNCTION("GOOGLETRANSLATE(A2110,""en"",""hy"")"),"ո՞ւմ հետ է խաղում Ավրիլ Լավինը ցանկապատի վրայով:")</f>
        <v>ո՞ւմ հետ է խաղում Ավրիլ Լավինը ցանկապատի վրայով:</v>
      </c>
      <c r="D2110" s="3" t="str">
        <f>IFERROR(__xludf.DUMMYFUNCTION("GOOGLETRANSLATE(B2110,""en"",""hy"")"),"Ավրիլ Լավինը հնչյունավորում է Հիզերի կերպարը «Ցանկապատի վրայով» ֆիլմում։")</f>
        <v>Ավրիլ Լավինը հնչյունավորում է Հիզերի կերպարը «Ցանկապատի վրայով» ֆիլմում։</v>
      </c>
    </row>
    <row r="2111">
      <c r="A2111" s="1" t="s">
        <v>4177</v>
      </c>
      <c r="B2111" s="2" t="s">
        <v>2342</v>
      </c>
      <c r="C2111" s="3" t="str">
        <f>IFERROR(__xludf.DUMMYFUNCTION("GOOGLETRANSLATE(A2111,""en"",""hy"")"),"որտեղ է Ալաբամայի համալսարանը")</f>
        <v>որտեղ է Ալաբամայի համալսարանը</v>
      </c>
      <c r="D2111" s="3" t="str">
        <f>IFERROR(__xludf.DUMMYFUNCTION("GOOGLETRANSLATE(B2111,""en"",""hy"")"),"Ալաբամայի համալսարանը գտնվում է Ալաբամա նահանգի Տուսկալուսա քաղաքում:")</f>
        <v>Ալաբամայի համալսարանը գտնվում է Ալաբամա նահանգի Տուսկալուսա քաղաքում:</v>
      </c>
    </row>
    <row r="2112">
      <c r="A2112" s="1" t="s">
        <v>4178</v>
      </c>
      <c r="B2112" s="2" t="s">
        <v>4179</v>
      </c>
      <c r="C2112" s="3" t="str">
        <f>IFERROR(__xludf.DUMMYFUNCTION("GOOGLETRANSLATE(A2112,""en"",""hy"")"),"որտեղ է Հայաստանը")</f>
        <v>որտեղ է Հայաստանը</v>
      </c>
      <c r="D2112" s="3" t="str">
        <f>IFERROR(__xludf.DUMMYFUNCTION("GOOGLETRANSLATE(B2112,""en"",""hy"")"),"Հայաստան երկիրը գտնվում է Եվրասիայի հարավկովկասյան տարածաշրջանում։")</f>
        <v>Հայաստան երկիրը գտնվում է Եվրասիայի հարավկովկասյան տարածաշրջանում։</v>
      </c>
    </row>
    <row r="2113">
      <c r="A2113" s="1" t="s">
        <v>4180</v>
      </c>
      <c r="B2113" s="2" t="s">
        <v>4181</v>
      </c>
      <c r="C2113" s="3" t="str">
        <f>IFERROR(__xludf.DUMMYFUNCTION("GOOGLETRANSLATE(A2113,""en"",""hy"")"),"ո՞ւմ հետ է ամուսնացել Թոմ Քրուզը")</f>
        <v>ո՞ւմ հետ է ամուսնացել Թոմ Քրուզը</v>
      </c>
      <c r="D2113" s="3" t="str">
        <f>IFERROR(__xludf.DUMMYFUNCTION("GOOGLETRANSLATE(B2113,""en"",""hy"")"),"Թոմ Քրուզն ամուսնացած է եղել երեք կնոջ՝ Միմի Ռոջերսի, Նիկոլ Քիդմանի և Քեթի Հոլմսի հետ։")</f>
        <v>Թոմ Քրուզն ամուսնացած է եղել երեք կնոջ՝ Միմի Ռոջերսի, Նիկոլ Քիդմանի և Քեթի Հոլմսի հետ։</v>
      </c>
    </row>
    <row r="2114">
      <c r="A2114" s="1" t="s">
        <v>4182</v>
      </c>
      <c r="B2114" s="2" t="s">
        <v>4183</v>
      </c>
      <c r="C2114" s="3" t="str">
        <f>IFERROR(__xludf.DUMMYFUNCTION("GOOGLETRANSLATE(A2114,""en"",""hy"")"),"ո՞ր երկրում է գտնվում Գազա քաղաքը:")</f>
        <v>ո՞ր երկրում է գտնվում Գազա քաղաքը:</v>
      </c>
      <c r="D2114" s="3" t="str">
        <f>IFERROR(__xludf.DUMMYFUNCTION("GOOGLETRANSLATE(B2114,""en"",""hy"")"),"Գազա քաղաքը գտնվում է Գազայի հատվածում։")</f>
        <v>Գազա քաղաքը գտնվում է Գազայի հատվածում։</v>
      </c>
    </row>
    <row r="2115">
      <c r="A2115" s="1" t="s">
        <v>4184</v>
      </c>
      <c r="B2115" s="2" t="s">
        <v>4185</v>
      </c>
      <c r="C2115" s="3" t="str">
        <f>IFERROR(__xludf.DUMMYFUNCTION("GOOGLETRANSLATE(A2115,""en"",""hy"")"),"ով է Պակիստանի նախագահը 2012 թ.")</f>
        <v>ով է Պակիստանի նախագահը 2012 թ.</v>
      </c>
      <c r="D2115" s="3" t="str">
        <f>IFERROR(__xludf.DUMMYFUNCTION("GOOGLETRANSLATE(B2115,""en"",""hy"")"),"2012 թվականի դրությամբ Ասիֆ Ալի Զարդարին Պակիստանի նախագահն էր։")</f>
        <v>2012 թվականի դրությամբ Ասիֆ Ալի Զարդարին Պակիստանի նախագահն էր։</v>
      </c>
    </row>
    <row r="2116">
      <c r="A2116" s="1" t="s">
        <v>4186</v>
      </c>
      <c r="B2116" s="2" t="s">
        <v>4187</v>
      </c>
      <c r="C2116" s="3" t="str">
        <f>IFERROR(__xludf.DUMMYFUNCTION("GOOGLETRANSLATE(A2116,""en"",""hy"")"),"Ո՞ր երկրից է եկել Ջեյմս Ուոթը:")</f>
        <v>Ո՞ր երկրից է եկել Ջեյմս Ուոթը:</v>
      </c>
      <c r="D2116" s="3" t="str">
        <f>IFERROR(__xludf.DUMMYFUNCTION("GOOGLETRANSLATE(B2116,""en"",""hy"")"),"Ջեյմս Ուոթը եկել է Շոտլանդիայից։")</f>
        <v>Ջեյմս Ուոթը եկել է Շոտլանդիայից։</v>
      </c>
    </row>
    <row r="2117">
      <c r="A2117" s="1" t="s">
        <v>4188</v>
      </c>
      <c r="B2117" s="2" t="s">
        <v>4189</v>
      </c>
      <c r="C2117" s="3" t="str">
        <f>IFERROR(__xludf.DUMMYFUNCTION("GOOGLETRANSLATE(A2117,""en"",""hy"")"),"ի՞նչ գործիք էր սիրում նվագել Լուիս Արմսթրոնգը:")</f>
        <v>ի՞նչ գործիք էր սիրում նվագել Լուիս Արմսթրոնգը:</v>
      </c>
      <c r="D2117" s="3" t="str">
        <f>IFERROR(__xludf.DUMMYFUNCTION("GOOGLETRANSLATE(B2117,""en"",""hy"")"),"Լուի Արմսթրոնգը սիրում էր շեփոր նվագել։")</f>
        <v>Լուի Արմսթրոնգը սիրում էր շեփոր նվագել։</v>
      </c>
    </row>
    <row r="2118">
      <c r="A2118" s="1" t="s">
        <v>4190</v>
      </c>
      <c r="B2118" s="2" t="s">
        <v>4191</v>
      </c>
      <c r="C2118" s="3" t="str">
        <f>IFERROR(__xludf.DUMMYFUNCTION("GOOGLETRANSLATE(A2118,""en"",""hy"")"),"ինչ արժույթ է Գերմանիայում 2010 թ.")</f>
        <v>ինչ արժույթ է Գերմանիայում 2010 թ.</v>
      </c>
      <c r="D2118" s="3" t="str">
        <f>IFERROR(__xludf.DUMMYFUNCTION("GOOGLETRANSLATE(B2118,""en"",""hy"")"),"2010 թվականին Գերմանիայում արժույթը եվրոն էր։")</f>
        <v>2010 թվականին Գերմանիայում արժույթը եվրոն էր։</v>
      </c>
    </row>
    <row r="2119">
      <c r="A2119" s="1" t="s">
        <v>4192</v>
      </c>
      <c r="B2119" s="2" t="s">
        <v>4193</v>
      </c>
      <c r="C2119" s="3" t="str">
        <f>IFERROR(__xludf.DUMMYFUNCTION("GOOGLETRANSLATE(A2119,""en"",""hy"")"),"ի՞նչ տեսակի կառավարություն ունի Չինաստանը:")</f>
        <v>ի՞նչ տեսակի կառավարություն ունի Չինաստանը:</v>
      </c>
      <c r="D2119" s="3" t="str">
        <f>IFERROR(__xludf.DUMMYFUNCTION("GOOGLETRANSLATE(B2119,""en"",""hy"")"),"Չինաստանն ունի միակուսակցական կոմունիստական ​​կառավարություն։")</f>
        <v>Չինաստանն ունի միակուսակցական կոմունիստական ​​կառավարություն։</v>
      </c>
    </row>
    <row r="2120">
      <c r="A2120" s="1" t="s">
        <v>4194</v>
      </c>
      <c r="B2120" s="2" t="s">
        <v>4195</v>
      </c>
      <c r="C2120" s="3" t="str">
        <f>IFERROR(__xludf.DUMMYFUNCTION("GOOGLETRANSLATE(A2120,""en"",""hy"")"),"որտեղ է Boeing ընկերությունը")</f>
        <v>որտեղ է Boeing ընկերությունը</v>
      </c>
      <c r="D2120" s="3" t="str">
        <f>IFERROR(__xludf.DUMMYFUNCTION("GOOGLETRANSLATE(B2120,""en"",""hy"")"),"Boeing ընկերության գլխամասային գրասենյակը գտնվում է Չիկագոյում, Իլինոյս, ԱՄՆ:")</f>
        <v>Boeing ընկերության գլխամասային գրասենյակը գտնվում է Չիկագոյում, Իլինոյս, ԱՄՆ:</v>
      </c>
    </row>
    <row r="2121">
      <c r="A2121" s="1" t="s">
        <v>4196</v>
      </c>
      <c r="B2121" s="2" t="s">
        <v>4197</v>
      </c>
      <c r="C2121" s="3" t="str">
        <f>IFERROR(__xludf.DUMMYFUNCTION("GOOGLETRANSLATE(A2121,""en"",""hy"")"),"ի՞նչ է պատկանում Բիլ Գեյթսին:")</f>
        <v>ի՞նչ է պատկանում Բիլ Գեյթսին:</v>
      </c>
      <c r="D2121" s="3" t="str">
        <f>IFERROR(__xludf.DUMMYFUNCTION("GOOGLETRANSLATE(B2121,""en"",""hy"")"),"Բիլ Գեյթսը մի քանի ձեռնարկությունների սեփականատեր է, ներառյալ Cascade Investment-ը և Bill &amp; Melinda Gates Foundation-ը:")</f>
        <v>Բիլ Գեյթսը մի քանի ձեռնարկությունների սեփականատեր է, ներառյալ Cascade Investment-ը և Bill &amp; Melinda Gates Foundation-ը:</v>
      </c>
    </row>
    <row r="2122">
      <c r="A2122" s="1" t="s">
        <v>4198</v>
      </c>
      <c r="B2122" s="2" t="s">
        <v>4199</v>
      </c>
      <c r="C2122" s="3" t="str">
        <f>IFERROR(__xludf.DUMMYFUNCTION("GOOGLETRANSLATE(A2122,""en"",""hy"")"),"ի՞նչ օրգանիզմ է օգտագործել Մենդելը.")</f>
        <v>ի՞նչ օրգանիզմ է օգտագործել Մենդելը.</v>
      </c>
      <c r="D2122" s="3" t="str">
        <f>IFERROR(__xludf.DUMMYFUNCTION("GOOGLETRANSLATE(B2122,""en"",""hy"")"),"Մենդելն իր փորձերի համար օգտագործել է սիսեռի բույսեր:")</f>
        <v>Մենդելն իր փորձերի համար օգտագործել է սիսեռի բույսեր:</v>
      </c>
    </row>
    <row r="2123">
      <c r="A2123" s="1" t="s">
        <v>4200</v>
      </c>
      <c r="B2123" s="2" t="s">
        <v>4201</v>
      </c>
      <c r="C2123" s="3" t="str">
        <f>IFERROR(__xludf.DUMMYFUNCTION("GOOGLETRANSLATE(A2123,""en"",""hy"")"),"որո՞նք են Կոնգրեսի երկու պալատները:")</f>
        <v>որո՞նք են Կոնգրեսի երկու պալատները:</v>
      </c>
      <c r="D2123" s="3" t="str">
        <f>IFERROR(__xludf.DUMMYFUNCTION("GOOGLETRANSLATE(B2123,""en"",""hy"")"),"Կոնգրեսի երկու պալատներն են Ներկայացուցիչների պալատը և Սենատը:")</f>
        <v>Կոնգրեսի երկու պալատներն են Ներկայացուցիչների պալատը և Սենատը:</v>
      </c>
    </row>
    <row r="2124">
      <c r="A2124" s="1" t="s">
        <v>4202</v>
      </c>
      <c r="B2124" s="2" t="s">
        <v>4203</v>
      </c>
      <c r="C2124" s="3" t="str">
        <f>IFERROR(__xludf.DUMMYFUNCTION("GOOGLETRANSLATE(A2124,""en"",""hy"")"),"Ո՞ր թիմում է խաղում Լադաինյան Թոմլինսոնը 4:")</f>
        <v>Ո՞ր թիմում է խաղում Լադաինյան Թոմլինսոնը 4:</v>
      </c>
      <c r="D2124" s="3" t="str">
        <f>IFERROR(__xludf.DUMMYFUNCTION("GOOGLETRANSLATE(B2124,""en"",""hy"")"),"Լադայնյան Թոմլինսոնը NFL-ում խաղացել է San Diego Chargers-ում և New York Jets-ում:")</f>
        <v>Լադայնյան Թոմլինսոնը NFL-ում խաղացել է San Diego Chargers-ում և New York Jets-ում:</v>
      </c>
    </row>
    <row r="2125">
      <c r="A2125" s="1" t="s">
        <v>4204</v>
      </c>
      <c r="B2125" s="2" t="s">
        <v>4205</v>
      </c>
      <c r="C2125" s="3" t="str">
        <f>IFERROR(__xludf.DUMMYFUNCTION("GOOGLETRANSLATE(A2125,""en"",""hy"")"),"ո՞րն է Կանադայում խոսվող հիմնական լեզուն:")</f>
        <v>ո՞րն է Կանադայում խոսվող հիմնական լեզուն:</v>
      </c>
      <c r="D2125" s="3" t="str">
        <f>IFERROR(__xludf.DUMMYFUNCTION("GOOGLETRANSLATE(B2125,""en"",""hy"")"),"անգլերեն և ֆրանսերեն.")</f>
        <v>անգլերեն և ֆրանսերեն.</v>
      </c>
    </row>
    <row r="2126">
      <c r="A2126" s="1" t="s">
        <v>4206</v>
      </c>
      <c r="B2126" s="2" t="s">
        <v>4207</v>
      </c>
      <c r="C2126" s="3" t="str">
        <f>IFERROR(__xludf.DUMMYFUNCTION("GOOGLETRANSLATE(A2126,""en"",""hy"")"),"ինչո՞վ էր զբաղվում Կամիլ Գրամերը:")</f>
        <v>ինչո՞վ էր զբաղվում Կամիլ Գրամերը:</v>
      </c>
      <c r="D2126" s="3" t="str">
        <f>IFERROR(__xludf.DUMMYFUNCTION("GOOGLETRANSLATE(B2126,""en"",""hy"")"),"Կամիլ Գրամերը հեռուստատեսային անձնավորություն է և «Բևերլի Հիլզի իրական տնային տնտեսուհիների» նախկին դերասանական կազմը:")</f>
        <v>Կամիլ Գրամերը հեռուստատեսային անձնավորություն է և «Բևերլի Հիլզի իրական տնային տնտեսուհիների» նախկին դերասանական կազմը:</v>
      </c>
    </row>
    <row r="2127">
      <c r="A2127" s="1" t="s">
        <v>4208</v>
      </c>
      <c r="B2127" s="2" t="s">
        <v>4209</v>
      </c>
      <c r="C2127" s="3" t="str">
        <f>IFERROR(__xludf.DUMMYFUNCTION("GOOGLETRANSLATE(A2127,""en"",""hy"")"),"ինչ է կոչվում ջամայկան լեզուն")</f>
        <v>ինչ է կոչվում ջամայկան լեզուն</v>
      </c>
      <c r="D2127" s="3" t="str">
        <f>IFERROR(__xludf.DUMMYFUNCTION("GOOGLETRANSLATE(B2127,""en"",""hy"")"),"Ճամայկայի լեզուն կոչվում է Patois:")</f>
        <v>Ճամայկայի լեզուն կոչվում է Patois:</v>
      </c>
    </row>
    <row r="2128">
      <c r="A2128" s="1" t="s">
        <v>4210</v>
      </c>
      <c r="B2128" s="2" t="s">
        <v>4211</v>
      </c>
      <c r="C2128" s="3" t="str">
        <f>IFERROR(__xludf.DUMMYFUNCTION("GOOGLETRANSLATE(A2128,""en"",""hy"")"),"Ո՞ր մոլորակի վրա է մեծացել Լյուկ Սքայուոքերը:")</f>
        <v>Ո՞ր մոլորակի վրա է մեծացել Լյուկ Սքայուոքերը:</v>
      </c>
      <c r="D2128" s="3" t="str">
        <f>IFERROR(__xludf.DUMMYFUNCTION("GOOGLETRANSLATE(B2128,""en"",""hy"")"),"Լյուկ Սքայուոքերը մեծացել է Տատուին մոլորակի վրա։")</f>
        <v>Լյուկ Սքայուոքերը մեծացել է Տատուին մոլորակի վրա։</v>
      </c>
    </row>
    <row r="2129">
      <c r="A2129" s="1" t="s">
        <v>4212</v>
      </c>
      <c r="B2129" s="2" t="s">
        <v>4213</v>
      </c>
      <c r="C2129" s="3" t="str">
        <f>IFERROR(__xludf.DUMMYFUNCTION("GOOGLETRANSLATE(A2129,""en"",""hy"")"),"Ո՞ւմ է ոգեշնչել Վրաստանը Օ'Քիֆը:")</f>
        <v>Ո՞ւմ է ոգեշնչել Վրաստանը Օ'Քիֆը:</v>
      </c>
      <c r="D2129" s="3" t="str">
        <f>IFERROR(__xludf.DUMMYFUNCTION("GOOGLETRANSLATE(B2129,""en"",""hy"")"),"Ջորջիա Օ'Քիֆը ոգեշնչել է շատ նկարիչների իր յուրահատուկ ոճով և գույնի համարձակ օգտագործմամբ:")</f>
        <v>Ջորջիա Օ'Քիֆը ոգեշնչել է շատ նկարիչների իր յուրահատուկ ոճով և գույնի համարձակ օգտագործմամբ:</v>
      </c>
    </row>
    <row r="2130">
      <c r="A2130" s="1" t="s">
        <v>4214</v>
      </c>
      <c r="B2130" s="2" t="s">
        <v>4215</v>
      </c>
      <c r="C2130" s="3" t="str">
        <f>IFERROR(__xludf.DUMMYFUNCTION("GOOGLETRANSLATE(A2130,""en"",""hy"")"),"ո՞ւմ համար է խաղում Բրենդոն Ջեյքոբսը:")</f>
        <v>ո՞ւմ համար է խաղում Բրենդոն Ջեյքոբսը:</v>
      </c>
      <c r="D2130" s="3" t="str">
        <f>IFERROR(__xludf.DUMMYFUNCTION("GOOGLETRANSLATE(B2130,""en"",""hy"")"),"Բրենդոն Ջեյքոբսը թոշակի անցած ամերիկացի ֆուտբոլիստ է, ով խաղացել է «Նյու Յորք Ջայանցս»-ում։")</f>
        <v>Բրենդոն Ջեյքոբսը թոշակի անցած ամերիկացի ֆուտբոլիստ է, ով խաղացել է «Նյու Յորք Ջայանցս»-ում։</v>
      </c>
    </row>
    <row r="2131">
      <c r="A2131" s="1" t="s">
        <v>4216</v>
      </c>
      <c r="B2131" s="2" t="s">
        <v>4217</v>
      </c>
      <c r="C2131" s="3" t="str">
        <f>IFERROR(__xludf.DUMMYFUNCTION("GOOGLETRANSLATE(A2131,""en"",""hy"")"),"ինչպիսի՞ն է Գերմանիայի կառավարության կառուցվածքը.")</f>
        <v>ինչպիսի՞ն է Գերմանիայի կառավարության կառուցվածքը.</v>
      </c>
      <c r="D2131" s="3" t="str">
        <f>IFERROR(__xludf.DUMMYFUNCTION("GOOGLETRANSLATE(B2131,""en"",""hy"")"),"Գերմանիայի կառավարության կառուցվածքը դաշնային խորհրդարանական հանրապետություն է։")</f>
        <v>Գերմանիայի կառավարության կառուցվածքը դաշնային խորհրդարանական հանրապետություն է։</v>
      </c>
    </row>
    <row r="2132">
      <c r="A2132" s="1" t="s">
        <v>4218</v>
      </c>
      <c r="B2132" s="2" t="s">
        <v>4219</v>
      </c>
      <c r="C2132" s="3" t="str">
        <f>IFERROR(__xludf.DUMMYFUNCTION("GOOGLETRANSLATE(A2132,""en"",""hy"")"),"ո՞վ էր թագուհի Եղիսաբեթ Առաջինի մայրը:")</f>
        <v>ո՞վ էր թագուհի Եղիսաբեթ Առաջինի մայրը:</v>
      </c>
      <c r="D2132" s="3" t="str">
        <f>IFERROR(__xludf.DUMMYFUNCTION("GOOGLETRANSLATE(B2132,""en"",""hy"")"),"Եղիսաբեթ Առաջին թագուհու մայրը Անն Բոլեյնն էր։")</f>
        <v>Եղիսաբեթ Առաջին թագուհու մայրը Անն Բոլեյնն էր։</v>
      </c>
    </row>
    <row r="2133">
      <c r="A2133" s="1" t="s">
        <v>4220</v>
      </c>
      <c r="B2133" s="2" t="s">
        <v>4221</v>
      </c>
      <c r="C2133" s="3" t="str">
        <f>IFERROR(__xludf.DUMMYFUNCTION("GOOGLETRANSLATE(A2133,""en"",""hy"")"),"ով է Դոմինիկյան հանրապետության ղեկավարը 2011թ.")</f>
        <v>ով է Դոմինիկյան հանրապետության ղեկավարը 2011թ.</v>
      </c>
      <c r="D2133" s="3" t="str">
        <f>IFERROR(__xludf.DUMMYFUNCTION("GOOGLETRANSLATE(B2133,""en"",""hy"")"),"Դոմինիկյան Հանրապետության ղեկավարը 2011 թվականին Դանիլո Մեդինան էր։")</f>
        <v>Դոմինիկյան Հանրապետության ղեկավարը 2011 թվականին Դանիլո Մեդինան էր։</v>
      </c>
    </row>
    <row r="2134">
      <c r="A2134" s="1" t="s">
        <v>4222</v>
      </c>
      <c r="B2134" s="2" t="s">
        <v>4223</v>
      </c>
      <c r="C2134" s="3" t="str">
        <f>IFERROR(__xludf.DUMMYFUNCTION("GOOGLETRANSLATE(A2134,""en"",""hy"")"),"որտեղի՞ց է սկսվել անգլիկան եկեղեցին:")</f>
        <v>որտեղի՞ց է սկսվել անգլիկան եկեղեցին:</v>
      </c>
      <c r="D2134" s="3" t="str">
        <f>IFERROR(__xludf.DUMMYFUNCTION("GOOGLETRANSLATE(B2134,""en"",""hy"")"),"Անգլիկան եկեղեցին սկսվել է Անգլիայում։")</f>
        <v>Անգլիկան եկեղեցին սկսվել է Անգլիայում։</v>
      </c>
    </row>
    <row r="2135">
      <c r="A2135" s="1" t="s">
        <v>4224</v>
      </c>
      <c r="B2135" s="2" t="s">
        <v>4225</v>
      </c>
      <c r="C2135" s="3" t="str">
        <f>IFERROR(__xludf.DUMMYFUNCTION("GOOGLETRANSLATE(A2135,""en"",""hy"")"),"ո՞ւմ է նայում Օբաման")</f>
        <v>ո՞ւմ է նայում Օբաման</v>
      </c>
      <c r="D2135" s="3" t="str">
        <f>IFERROR(__xludf.DUMMYFUNCTION("GOOGLETRANSLATE(B2135,""en"",""hy"")"),"Որպես AI, ես չունեմ անձնական կարծիքներ կամ անհատական ​​նախասիրությունների հասանելիություն: Թե կոնկրետ ում է նայում Բարաք Օբաման, հանրությանը հայտնի չէ։")</f>
        <v>Որպես AI, ես չունեմ անձնական կարծիքներ կամ անհատական ​​նախասիրությունների հասանելիություն: Թե կոնկրետ ում է նայում Բարաք Օբաման, հանրությանը հայտնի չէ։</v>
      </c>
    </row>
    <row r="2136">
      <c r="A2136" s="1" t="s">
        <v>4226</v>
      </c>
      <c r="B2136" s="2" t="s">
        <v>4227</v>
      </c>
      <c r="C2136" s="3" t="str">
        <f>IFERROR(__xludf.DUMMYFUNCTION("GOOGLETRANSLATE(A2136,""en"",""hy"")"),"որտե՞ղ է Ուիլյամ Մաքինլին սովորել ավագ դպրոցում:")</f>
        <v>որտե՞ղ է Ուիլյամ Մաքինլին սովորել ավագ դպրոցում:</v>
      </c>
      <c r="D2136" s="3" t="str">
        <f>IFERROR(__xludf.DUMMYFUNCTION("GOOGLETRANSLATE(B2136,""en"",""hy"")"),"Ուիլյամ ՄաքՔինլին հաճախել է Կանտոնի կենտրոնական ավագ դպրոցը Կանտոնում, Օհայո:")</f>
        <v>Ուիլյամ ՄաքՔինլին հաճախել է Կանտոնի կենտրոնական ավագ դպրոցը Կանտոնում, Օհայո:</v>
      </c>
    </row>
    <row r="2137">
      <c r="A2137" s="1" t="s">
        <v>4228</v>
      </c>
      <c r="B2137" s="2" t="s">
        <v>4229</v>
      </c>
      <c r="C2137" s="3" t="str">
        <f>IFERROR(__xludf.DUMMYFUNCTION("GOOGLETRANSLATE(A2137,""en"",""hy"")"),"ով խաղաց հեթ կեղև")</f>
        <v>ով խաղաց հեթ կեղև</v>
      </c>
      <c r="D2137" s="3" t="str">
        <f>IFERROR(__xludf.DUMMYFUNCTION("GOOGLETRANSLATE(B2137,""en"",""hy"")"),"Լի Մեյջորս.")</f>
        <v>Լի Մեյջորս.</v>
      </c>
    </row>
    <row r="2138">
      <c r="A2138" s="1" t="s">
        <v>4230</v>
      </c>
      <c r="B2138" s="2" t="s">
        <v>4231</v>
      </c>
      <c r="C2138" s="3" t="str">
        <f>IFERROR(__xludf.DUMMYFUNCTION("GOOGLETRANSLATE(A2138,""en"",""hy"")"),"Ո՞ր տարին է բալթիմորի ագռավները հաղթել սուպերգավաթում:")</f>
        <v>Ո՞ր տարին է բալթիմորի ագռավները հաղթել սուպերգավաթում:</v>
      </c>
      <c r="D2138" s="3" t="str">
        <f>IFERROR(__xludf.DUMMYFUNCTION("GOOGLETRANSLATE(B2138,""en"",""hy"")"),"Baltimore Ravens-ը հաղթել է Super Bowl-ը 2000 և 2012 թվականներին:")</f>
        <v>Baltimore Ravens-ը հաղթել է Super Bowl-ը 2000 և 2012 թվականներին:</v>
      </c>
    </row>
    <row r="2139">
      <c r="A2139" s="1" t="s">
        <v>4232</v>
      </c>
      <c r="B2139" s="2" t="s">
        <v>4233</v>
      </c>
      <c r="C2139" s="3" t="str">
        <f>IFERROR(__xludf.DUMMYFUNCTION("GOOGLETRANSLATE(A2139,""en"",""hy"")"),"ինչ է կոչվում Իսպանիայում օգտագործվող գումարը:")</f>
        <v>ինչ է կոչվում Իսպանիայում օգտագործվող գումարը:</v>
      </c>
      <c r="D2139" s="3" t="str">
        <f>IFERROR(__xludf.DUMMYFUNCTION("GOOGLETRANSLATE(B2139,""en"",""hy"")"),"Իսպանիայում օգտագործվող փողի անվանումը եվրո է։")</f>
        <v>Իսպանիայում օգտագործվող փողի անվանումը եվրո է։</v>
      </c>
    </row>
    <row r="2140">
      <c r="A2140" s="1" t="s">
        <v>4234</v>
      </c>
      <c r="B2140" s="2" t="s">
        <v>4235</v>
      </c>
      <c r="C2140" s="3" t="str">
        <f>IFERROR(__xludf.DUMMYFUNCTION("GOOGLETRANSLATE(A2140,""en"",""hy"")"),"ինչո՞վ էր զբաղվում Էդվարդ Ջենները:")</f>
        <v>ինչո՞վ էր զբաղվում Էդվարդ Ջենները:</v>
      </c>
      <c r="D2140" s="3" t="str">
        <f>IFERROR(__xludf.DUMMYFUNCTION("GOOGLETRANSLATE(B2140,""en"",""hy"")"),"Էդվարդ Ջենները բժիշկ էր։")</f>
        <v>Էդվարդ Ջենները բժիշկ էր։</v>
      </c>
    </row>
    <row r="2141">
      <c r="A2141" s="1" t="s">
        <v>4236</v>
      </c>
      <c r="B2141" s="2" t="s">
        <v>4237</v>
      </c>
      <c r="C2141" s="3" t="str">
        <f>IFERROR(__xludf.DUMMYFUNCTION("GOOGLETRANSLATE(A2141,""en"",""hy"")"),"Ե՞րբ է Շոն Ջոնսոնը նվաճել ոսկե մեդալը:")</f>
        <v>Ե՞րբ է Շոն Ջոնսոնը նվաճել ոսկե մեդալը:</v>
      </c>
      <c r="D2141" s="3" t="str">
        <f>IFERROR(__xludf.DUMMYFUNCTION("GOOGLETRANSLATE(B2141,""en"",""hy"")"),"Շոն Ջոնսոնը ոսկե մեդալ է նվաճել 2008թ.")</f>
        <v>Շոն Ջոնսոնը ոսկե մեդալ է նվաճել 2008թ.</v>
      </c>
    </row>
    <row r="2142">
      <c r="A2142" s="1" t="s">
        <v>4238</v>
      </c>
      <c r="B2142" s="2" t="s">
        <v>4239</v>
      </c>
      <c r="C2142" s="3" t="str">
        <f>IFERROR(__xludf.DUMMYFUNCTION("GOOGLETRANSLATE(A2142,""en"",""hy"")"),"ինչի՞ց է մահացել Բրիտանի Մերֆին:")</f>
        <v>ինչի՞ց է մահացել Բրիտանի Մերֆին:</v>
      </c>
      <c r="D2142" s="3" t="str">
        <f>IFERROR(__xludf.DUMMYFUNCTION("GOOGLETRANSLATE(B2142,""en"",""hy"")"),"Բրիտանի Մերֆին մահացել է թոքաբորբից և թմրամիջոցների թունավորումից:")</f>
        <v>Բրիտանի Մերֆին մահացել է թոքաբորբից և թմրամիջոցների թունավորումից:</v>
      </c>
    </row>
    <row r="2143">
      <c r="A2143" s="1" t="s">
        <v>4240</v>
      </c>
      <c r="B2143" s="2" t="s">
        <v>4241</v>
      </c>
      <c r="C2143" s="3" t="str">
        <f>IFERROR(__xludf.DUMMYFUNCTION("GOOGLETRANSLATE(A2143,""en"",""hy"")"),"ինչպիսի՞ քաղաքական համակարգ ունի Հյուսիսային Կորեան:")</f>
        <v>ինչպիսի՞ քաղաքական համակարգ ունի Հյուսիսային Կորեան:</v>
      </c>
      <c r="D2143" s="3" t="str">
        <f>IFERROR(__xludf.DUMMYFUNCTION("GOOGLETRANSLATE(B2143,""en"",""hy"")"),"Հյուսիսային Կորեան ունի միակուսակցական, տոտալիտար քաղաքական համակարգ։")</f>
        <v>Հյուսիսային Կորեան ունի միակուսակցական, տոտալիտար քաղաքական համակարգ։</v>
      </c>
    </row>
    <row r="2144">
      <c r="A2144" s="1" t="s">
        <v>4242</v>
      </c>
      <c r="B2144" s="2" t="s">
        <v>4243</v>
      </c>
      <c r="C2144" s="3" t="str">
        <f>IFERROR(__xludf.DUMMYFUNCTION("GOOGLETRANSLATE(A2144,""en"",""hy"")"),"Ե՞րբ է ավարտվում Ռամադանը 2012 թվականին Ինդոնեզիայում:")</f>
        <v>Ե՞րբ է ավարտվում Ռամադանը 2012 թվականին Ինդոնեզիայում:</v>
      </c>
      <c r="D2144" s="3" t="str">
        <f>IFERROR(__xludf.DUMMYFUNCTION("GOOGLETRANSLATE(B2144,""en"",""hy"")"),"Ռամադանն ավարտվեց Ինդոնեզիայում 2012 թվականի օգոստոսին։")</f>
        <v>Ռամադանն ավարտվեց Ինդոնեզիայում 2012 թվականի օգոստոսին։</v>
      </c>
    </row>
    <row r="2145">
      <c r="A2145" s="1" t="s">
        <v>4244</v>
      </c>
      <c r="B2145" s="2" t="s">
        <v>4245</v>
      </c>
      <c r="C2145" s="3" t="str">
        <f>IFERROR(__xludf.DUMMYFUNCTION("GOOGLETRANSLATE(A2145,""en"",""hy"")"),"Ո՞վ կխաղա ոսկորների քաղաքում")</f>
        <v>Ո՞վ կխաղա ոսկորների քաղաքում</v>
      </c>
      <c r="D2145" s="3" t="str">
        <f>IFERROR(__xludf.DUMMYFUNCTION("GOOGLETRANSLATE(B2145,""en"",""hy"")"),"Լիլի Քոլինզը խաղացել է Քլերի Ֆրեյի դերը «Ոսկորների քաղաքը» ֆիլմում։")</f>
        <v>Լիլի Քոլինզը խաղացել է Քլերի Ֆրեյի դերը «Ոսկորների քաղաքը» ֆիլմում։</v>
      </c>
    </row>
    <row r="2146">
      <c r="A2146" s="1" t="s">
        <v>4246</v>
      </c>
      <c r="B2146" s="2" t="s">
        <v>4247</v>
      </c>
      <c r="C2146" s="3" t="str">
        <f>IFERROR(__xludf.DUMMYFUNCTION("GOOGLETRANSLATE(A2146,""en"",""hy"")"),"Ի՞նչ գրքեր է գրել Ֆրենսիս Հոջսոն Բերնեթը:")</f>
        <v>Ի՞նչ գրքեր է գրել Ֆրենսիս Հոջսոն Բերնեթը:</v>
      </c>
      <c r="D2146" s="3" t="str">
        <f>IFERROR(__xludf.DUMMYFUNCTION("GOOGLETRANSLATE(B2146,""en"",""hy"")"),"Ֆրենսիս Հոջսոն Բերնեթը գրել է այնպիսի գրքեր, ինչպիսիք են «Գաղտնի այգին», «Փոքրիկ արքայադուստրը» և «Փոքրիկ լորդ Ֆաունթլերոյը»:")</f>
        <v>Ֆրենսիս Հոջսոն Բերնեթը գրել է այնպիսի գրքեր, ինչպիսիք են «Գաղտնի այգին», «Փոքրիկ արքայադուստրը» և «Փոքրիկ լորդ Ֆաունթլերոյը»:</v>
      </c>
    </row>
    <row r="2147">
      <c r="A2147" s="1" t="s">
        <v>4248</v>
      </c>
      <c r="B2147" s="2" t="s">
        <v>4249</v>
      </c>
      <c r="C2147" s="3" t="str">
        <f>IFERROR(__xludf.DUMMYFUNCTION("GOOGLETRANSLATE(A2147,""en"",""hy"")"),"Ո՞ր տարին է Էդգար Ալան Պոն քոլեջ ընդունվել:")</f>
        <v>Ո՞ր տարին է Էդգար Ալան Պոն քոլեջ ընդունվել:</v>
      </c>
      <c r="D2147" s="3" t="str">
        <f>IFERROR(__xludf.DUMMYFUNCTION("GOOGLETRANSLATE(B2147,""en"",""hy"")"),"Էդգար Ալան Պոն սովորել է Վիրջինիայի համալսարան 1826 թվականին։")</f>
        <v>Էդգար Ալան Պոն սովորել է Վիրջինիայի համալսարան 1826 թվականին։</v>
      </c>
    </row>
    <row r="2148">
      <c r="A2148" s="1" t="s">
        <v>4250</v>
      </c>
      <c r="B2148" s="2" t="s">
        <v>4251</v>
      </c>
      <c r="C2148" s="3" t="str">
        <f>IFERROR(__xludf.DUMMYFUNCTION("GOOGLETRANSLATE(A2148,""en"",""hy"")"),"որտեղ է Ամստերդամ Օհիոն:")</f>
        <v>որտեղ է Ամստերդամ Օհիոն:</v>
      </c>
      <c r="D2148" s="3" t="str">
        <f>IFERROR(__xludf.DUMMYFUNCTION("GOOGLETRANSLATE(B2148,""en"",""hy"")"),"Ամստերդամ, Օհայո գտնվում է Ջեֆերսոն շրջանում։")</f>
        <v>Ամստերդամ, Օհայո գտնվում է Ջեֆերսոն շրջանում։</v>
      </c>
    </row>
    <row r="2149">
      <c r="A2149" s="1" t="s">
        <v>4252</v>
      </c>
      <c r="B2149" s="2" t="s">
        <v>4253</v>
      </c>
      <c r="C2149" s="3" t="str">
        <f>IFERROR(__xludf.DUMMYFUNCTION("GOOGLETRANSLATE(A2149,""en"",""hy"")"),"ովքեր են Իլինոյսի երկու ներկայիս սենատորները:")</f>
        <v>ովքեր են Իլինոյսի երկու ներկայիս սենատորները:</v>
      </c>
      <c r="D2149" s="3" t="str">
        <f>IFERROR(__xludf.DUMMYFUNCTION("GOOGLETRANSLATE(B2149,""en"",""hy"")"),"2021 թվականի դրությամբ Իլինոյսի երկու ներկայիս սենատորներն են Թեմմի Դաքվորթը և Դիկ Դուրբինը։")</f>
        <v>2021 թվականի դրությամբ Իլինոյսի երկու ներկայիս սենատորներն են Թեմմի Դաքվորթը և Դիկ Դուրբինը։</v>
      </c>
    </row>
    <row r="2150">
      <c r="A2150" s="1" t="s">
        <v>4254</v>
      </c>
      <c r="B2150" s="2" t="s">
        <v>4255</v>
      </c>
      <c r="C2150" s="3" t="str">
        <f>IFERROR(__xludf.DUMMYFUNCTION("GOOGLETRANSLATE(A2150,""en"",""hy"")"),"ե՞րբ օրիոլները նվաճեցին գրիչը:")</f>
        <v>ե՞րբ օրիոլները նվաճեցին գրիչը:</v>
      </c>
      <c r="D2150" s="3" t="str">
        <f>IFERROR(__xludf.DUMMYFUNCTION("GOOGLETRANSLATE(B2150,""en"",""hy"")"),"Baltimore Orioles-ը երեք անգամ նվաճել է տիտղոսը՝ 1966, 1969 և 1970 թվականներին:")</f>
        <v>Baltimore Orioles-ը երեք անգամ նվաճել է տիտղոսը՝ 1966, 1969 և 1970 թվականներին:</v>
      </c>
    </row>
    <row r="2151">
      <c r="A2151" s="1" t="s">
        <v>4256</v>
      </c>
      <c r="B2151" s="2" t="s">
        <v>4257</v>
      </c>
      <c r="C2151" s="3" t="str">
        <f>IFERROR(__xludf.DUMMYFUNCTION("GOOGLETRANSLATE(A2151,""en"",""hy"")"),"Ո՞վ է խաղացել Ստեֆենի Մեյերը մթնշաղին:")</f>
        <v>Ո՞վ է խաղացել Ստեֆենի Մեյերը մթնշաղին:</v>
      </c>
      <c r="D2151" s="3" t="str">
        <f>IFERROR(__xludf.DUMMYFUNCTION("GOOGLETRANSLATE(B2151,""en"",""hy"")"),"Ստեֆենի Մեյերը դեր չի խաղացել «Մթնշաղ» սերիալում։")</f>
        <v>Ստեֆենի Մեյերը դեր չի խաղացել «Մթնշաղ» սերիալում։</v>
      </c>
    </row>
    <row r="2152">
      <c r="A2152" s="1" t="s">
        <v>4258</v>
      </c>
      <c r="B2152" s="2" t="s">
        <v>4259</v>
      </c>
      <c r="C2152" s="3" t="str">
        <f>IFERROR(__xludf.DUMMYFUNCTION("GOOGLETRANSLATE(A2152,""en"",""hy"")"),"Ո՞ր 3 երկրների հետ է սահմանակից Մեքսիկան:")</f>
        <v>Ո՞ր 3 երկրների հետ է սահմանակից Մեքսիկան:</v>
      </c>
      <c r="D2152" s="3" t="str">
        <f>IFERROR(__xludf.DUMMYFUNCTION("GOOGLETRANSLATE(B2152,""en"",""hy"")"),"Մեքսիկային սահմանակից երեք երկրներն են՝ Միացյալ Նահանգները, Գվատեմալան և Բելիզը։")</f>
        <v>Մեքսիկային սահմանակից երեք երկրներն են՝ Միացյալ Նահանգները, Գվատեմալան և Բելիզը։</v>
      </c>
    </row>
    <row r="2153">
      <c r="A2153" s="1" t="s">
        <v>4260</v>
      </c>
      <c r="B2153" s="2" t="s">
        <v>4261</v>
      </c>
      <c r="C2153" s="3" t="str">
        <f>IFERROR(__xludf.DUMMYFUNCTION("GOOGLETRANSLATE(A2153,""en"",""hy"")"),"ով է ջայլս խաղացել վամպիր սպանողի վրա Բաֆֆիի վրա:")</f>
        <v>ով է ջայլս խաղացել վամպիր սպանողի վրա Բաֆֆիի վրա:</v>
      </c>
      <c r="D2153" s="3" t="str">
        <f>IFERROR(__xludf.DUMMYFUNCTION("GOOGLETRANSLATE(B2153,""en"",""hy"")"),"Էնթոնի Ստյուարտ ղեկավար.")</f>
        <v>Էնթոնի Ստյուարտ ղեկավար.</v>
      </c>
    </row>
    <row r="2154">
      <c r="A2154" s="1" t="s">
        <v>4262</v>
      </c>
      <c r="B2154" s="2" t="s">
        <v>4263</v>
      </c>
      <c r="C2154" s="3" t="str">
        <f>IFERROR(__xludf.DUMMYFUNCTION("GOOGLETRANSLATE(A2154,""en"",""hy"")"),"ինչ թիմեր են գտնվում արևմտյան ամերիկյան լիգայում:")</f>
        <v>ինչ թիմեր են գտնվում արևմտյան ամերիկյան լիգայում:</v>
      </c>
      <c r="D2154" s="3" t="str">
        <f>IFERROR(__xludf.DUMMYFUNCTION("GOOGLETRANSLATE(B2154,""en"",""hy"")"),"Ամերիկյան լիգայի Արևմուտքի թիմերն են Հյուսթոն Աստրոսը, Լոս Անջելես Էնջելսը, Օքլենդ Աթլետիկսը, Սիեթլ Մարիներսը և Տեխաս Ռեյնջերսը։")</f>
        <v>Ամերիկյան լիգայի Արևմուտքի թիմերն են Հյուսթոն Աստրոսը, Լոս Անջելես Էնջելսը, Օքլենդ Աթլետիկսը, Սիեթլ Մարիներսը և Տեխաս Ռեյնջերսը։</v>
      </c>
    </row>
    <row r="2155">
      <c r="A2155" s="1" t="s">
        <v>4264</v>
      </c>
      <c r="B2155" s="2" t="s">
        <v>4265</v>
      </c>
      <c r="C2155" s="3" t="str">
        <f>IFERROR(__xludf.DUMMYFUNCTION("GOOGLETRANSLATE(A2155,""en"",""hy"")"),"ի՞նչ գրքեր է գրել Ռոբերտ Բերնսը")</f>
        <v>ի՞նչ գրքեր է գրել Ռոբերտ Բերնսը</v>
      </c>
      <c r="D2155" s="3" t="str">
        <f>IFERROR(__xludf.DUMMYFUNCTION("GOOGLETRANSLATE(B2155,""en"",""hy"")"),"Ռոբերտ Բերնսը գրել է բանաստեղծությունների և երգերի ժողովածու, այդ թվում՝ «Auld Lang Syne» և «To a Mouse»-ը։")</f>
        <v>Ռոբերտ Բերնսը գրել է բանաստեղծությունների և երգերի ժողովածու, այդ թվում՝ «Auld Lang Syne» և «To a Mouse»-ը։</v>
      </c>
    </row>
    <row r="2156">
      <c r="A2156" s="1" t="s">
        <v>4266</v>
      </c>
      <c r="B2156" s="2" t="s">
        <v>4267</v>
      </c>
      <c r="C2156" s="3" t="str">
        <f>IFERROR(__xludf.DUMMYFUNCTION("GOOGLETRANSLATE(A2156,""en"",""hy"")"),"որտեղ է հիմա խաղում Դրոգբան")</f>
        <v>որտեղ է հիմա խաղում Դրոգբան</v>
      </c>
      <c r="D2156" s="3" t="str">
        <f>IFERROR(__xludf.DUMMYFUNCTION("GOOGLETRANSLATE(B2156,""en"",""hy"")"),"Դրոգբան ներկայումս ավարտել է պրոֆեսիոնալ ֆուտբոլը:")</f>
        <v>Դրոգբան ներկայումս ավարտել է պրոֆեսիոնալ ֆուտբոլը:</v>
      </c>
    </row>
    <row r="2157">
      <c r="A2157" s="1" t="s">
        <v>4268</v>
      </c>
      <c r="B2157" s="2" t="s">
        <v>4269</v>
      </c>
      <c r="C2157" s="3" t="str">
        <f>IFERROR(__xludf.DUMMYFUNCTION("GOOGLETRANSLATE(A2157,""en"",""hy"")"),"ով է պատկանում Chrysler կորպորացիան 2012 թ.")</f>
        <v>ով է պատկանում Chrysler կորպորացիան 2012 թ.</v>
      </c>
      <c r="D2157" s="3" t="str">
        <f>IFERROR(__xludf.DUMMYFUNCTION("GOOGLETRANSLATE(B2157,""en"",""hy"")"),"Fiat-ը Chrysler Corporation-ի սեփականատերն է 2012թ.")</f>
        <v>Fiat-ը Chrysler Corporation-ի սեփականատերն է 2012թ.</v>
      </c>
    </row>
    <row r="2158">
      <c r="A2158" s="1" t="s">
        <v>4270</v>
      </c>
      <c r="B2158" s="2" t="s">
        <v>4271</v>
      </c>
      <c r="C2158" s="3" t="str">
        <f>IFERROR(__xludf.DUMMYFUNCTION("GOOGLETRANSLATE(A2158,""en"",""hy"")"),"ինչ են Միթ Ռոմնի որդիների անունը:")</f>
        <v>ինչ են Միթ Ռոմնի որդիների անունը:</v>
      </c>
      <c r="D2158" s="3" t="str">
        <f>IFERROR(__xludf.DUMMYFUNCTION("GOOGLETRANSLATE(B2158,""en"",""hy"")"),"Միթ Ռոմնիի որդիների անուններն են՝ Թագ, Մեթ, Ջոշ, Բեն և Քրեյգ։")</f>
        <v>Միթ Ռոմնիի որդիների անուններն են՝ Թագ, Մեթ, Ջոշ, Բեն և Քրեյգ։</v>
      </c>
    </row>
    <row r="2159">
      <c r="A2159" s="1" t="s">
        <v>4272</v>
      </c>
      <c r="B2159" s="2" t="s">
        <v>4273</v>
      </c>
      <c r="C2159" s="3" t="str">
        <f>IFERROR(__xludf.DUMMYFUNCTION("GOOGLETRANSLATE(A2159,""en"",""hy"")"),"ո՞րն էր Լարի Հագմանի մահվան պատճառը.")</f>
        <v>ո՞րն էր Լարի Հագմանի մահվան պատճառը.</v>
      </c>
      <c r="D2159" s="3" t="str">
        <f>IFERROR(__xludf.DUMMYFUNCTION("GOOGLETRANSLATE(B2159,""en"",""hy"")"),"Լարի Հագմանի մահվան պատճառը եղել է սուր միելոիդ լեյկոզը։")</f>
        <v>Լարի Հագմանի մահվան պատճառը եղել է սուր միելոիդ լեյկոզը։</v>
      </c>
    </row>
    <row r="2160">
      <c r="A2160" s="1" t="s">
        <v>4274</v>
      </c>
      <c r="B2160" s="2" t="s">
        <v>4275</v>
      </c>
      <c r="C2160" s="3" t="str">
        <f>IFERROR(__xludf.DUMMYFUNCTION("GOOGLETRANSLATE(A2160,""en"",""hy"")"),"ինչպես է կոչվում հարավային Ամերիկայի անձրևային անտառը:")</f>
        <v>ինչպես է կոչվում հարավային Ամերիկայի անձրևային անտառը:</v>
      </c>
      <c r="D2160" s="3" t="str">
        <f>IFERROR(__xludf.DUMMYFUNCTION("GOOGLETRANSLATE(B2160,""en"",""hy"")"),"Հարավային Ամերիկայի անձրևային անտառը կոչվում է Ամազոնի անձրևային անտառ:")</f>
        <v>Հարավային Ամերիկայի անձրևային անտառը կոչվում է Ամազոնի անձրևային անտառ:</v>
      </c>
    </row>
    <row r="2161">
      <c r="A2161" s="1" t="s">
        <v>4276</v>
      </c>
      <c r="B2161" s="2" t="s">
        <v>4277</v>
      </c>
      <c r="C2161" s="3" t="str">
        <f>IFERROR(__xludf.DUMMYFUNCTION("GOOGLETRANSLATE(A2161,""en"",""hy"")"),"Ի՞նչ դպրոց է սովորել սըր Իսահակ Նյուտոնը:")</f>
        <v>Ի՞նչ դպրոց է սովորել սըր Իսահակ Նյուտոնը:</v>
      </c>
      <c r="D2161" s="3" t="str">
        <f>IFERROR(__xludf.DUMMYFUNCTION("GOOGLETRANSLATE(B2161,""en"",""hy"")"),"Սըր Իսահակ Նյուտոնը հաճախել է Քեմբրիջի Թրինիթի քոլեջը:")</f>
        <v>Սըր Իսահակ Նյուտոնը հաճախել է Քեմբրիջի Թրինիթի քոլեջը:</v>
      </c>
    </row>
    <row r="2162">
      <c r="A2162" s="1" t="s">
        <v>4278</v>
      </c>
      <c r="B2162" s="2" t="s">
        <v>4279</v>
      </c>
      <c r="C2162" s="3" t="str">
        <f>IFERROR(__xludf.DUMMYFUNCTION("GOOGLETRANSLATE(A2162,""en"",""hy"")"),"ինչպիսի՞ն էր Ռոբերտ Հուկի ներդրումը գիտության մեջ:")</f>
        <v>ինչպիսի՞ն էր Ռոբերտ Հուկի ներդրումը գիտության մեջ:</v>
      </c>
      <c r="D2162" s="3" t="str">
        <f>IFERROR(__xludf.DUMMYFUNCTION("GOOGLETRANSLATE(B2162,""en"",""hy"")"),"Ռոբերտ Հուկը զգալի ներդրում է ունեցել գիտության մեջ, այդ թվում՝ բջիջների հայտնաբերումը, առաձգականության վերաբերյալ իր աշխատանքը (Հուկի օրենք) և բրածոների և միկրոօրգանիզմների ուսումնասիրությունները։")</f>
        <v>Ռոբերտ Հուկը զգալի ներդրում է ունեցել գիտության մեջ, այդ թվում՝ բջիջների հայտնաբերումը, առաձգականության վերաբերյալ իր աշխատանքը (Հուկի օրենք) և բրածոների և միկրոօրգանիզմների ուսումնասիրությունները։</v>
      </c>
    </row>
    <row r="2163">
      <c r="A2163" s="1" t="s">
        <v>4280</v>
      </c>
      <c r="B2163" s="2" t="s">
        <v>4281</v>
      </c>
      <c r="C2163" s="3" t="str">
        <f>IFERROR(__xludf.DUMMYFUNCTION("GOOGLETRANSLATE(A2163,""en"",""hy"")"),"քանի՞ հիմնական բարբառ կա Չինաստանում:")</f>
        <v>քանի՞ հիմնական բարբառ կա Չինաստանում:</v>
      </c>
      <c r="D2163" s="3" t="str">
        <f>IFERROR(__xludf.DUMMYFUNCTION("GOOGLETRANSLATE(B2163,""en"",""hy"")"),"Չինաստանում կան յոթ հիմնական բարբառներ:")</f>
        <v>Չինաստանում կան յոթ հիմնական բարբառներ:</v>
      </c>
    </row>
    <row r="2164">
      <c r="A2164" s="1" t="s">
        <v>4282</v>
      </c>
      <c r="B2164" s="2" t="s">
        <v>4283</v>
      </c>
      <c r="C2164" s="3" t="str">
        <f>IFERROR(__xludf.DUMMYFUNCTION("GOOGLETRANSLATE(A2164,""en"",""hy"")"),"Ո՞ր երկրում է հայտնաբերվել Էվերեստը:")</f>
        <v>Ո՞ր երկրում է հայտնաբերվել Էվերեստը:</v>
      </c>
      <c r="D2164" s="3" t="str">
        <f>IFERROR(__xludf.DUMMYFUNCTION("GOOGLETRANSLATE(B2164,""en"",""hy"")"),"Նեպալ")</f>
        <v>Նեպալ</v>
      </c>
    </row>
    <row r="2165">
      <c r="A2165" s="1" t="s">
        <v>4284</v>
      </c>
      <c r="B2165" s="2" t="s">
        <v>4285</v>
      </c>
      <c r="C2165" s="3" t="str">
        <f>IFERROR(__xludf.DUMMYFUNCTION("GOOGLETRANSLATE(A2165,""en"",""hy"")"),"կառավարման ո՞ր ձևն է օգտագործում Գերմանիան:")</f>
        <v>կառավարման ո՞ր ձևն է օգտագործում Գերմանիան:</v>
      </c>
      <c r="D2165" s="3" t="str">
        <f>IFERROR(__xludf.DUMMYFUNCTION("GOOGLETRANSLATE(B2165,""en"",""hy"")"),"Գերմանիան օգտագործում է դաշնային խորհրդարանական հանրապետության կառավարման ձևը:")</f>
        <v>Գերմանիան օգտագործում է դաշնային խորհրդարանական հանրապետության կառավարման ձևը:</v>
      </c>
    </row>
    <row r="2166">
      <c r="A2166" s="1" t="s">
        <v>4286</v>
      </c>
      <c r="B2166" s="2" t="s">
        <v>4287</v>
      </c>
      <c r="C2166" s="3" t="str">
        <f>IFERROR(__xludf.DUMMYFUNCTION("GOOGLETRANSLATE(A2166,""en"",""hy"")"),"Ո՞ր տարիքից են շոտլանդացիները գնում համալսարան:")</f>
        <v>Ո՞ր տարիքից են շոտլանդացիները գնում համալսարան:</v>
      </c>
      <c r="D2166" s="3" t="str">
        <f>IFERROR(__xludf.DUMMYFUNCTION("GOOGLETRANSLATE(B2166,""en"",""hy"")"),"Շոտլանդացիները սովորաբար համալսարան են գնում 18 կամ 19 տարեկանում:")</f>
        <v>Շոտլանդացիները սովորաբար համալսարան են գնում 18 կամ 19 տարեկանում:</v>
      </c>
    </row>
    <row r="2167">
      <c r="A2167" s="1" t="s">
        <v>4288</v>
      </c>
      <c r="B2167" s="2" t="s">
        <v>4289</v>
      </c>
      <c r="C2167" s="3" t="str">
        <f>IFERROR(__xludf.DUMMYFUNCTION("GOOGLETRANSLATE(A2167,""en"",""hy"")"),"ինչ լեզվով են խոսում Հայաստանը:")</f>
        <v>ինչ լեզվով են խոսում Հայաստանը:</v>
      </c>
      <c r="D2167" s="3" t="str">
        <f>IFERROR(__xludf.DUMMYFUNCTION("GOOGLETRANSLATE(B2167,""en"",""hy"")"),"Հաիթիացիները խոսում են հաիթի կրեոլերեն և ֆրանսերեն:")</f>
        <v>Հաիթիացիները խոսում են հաիթի կրեոլերեն և ֆրանսերեն:</v>
      </c>
    </row>
    <row r="2168">
      <c r="A2168" s="1" t="s">
        <v>4290</v>
      </c>
      <c r="B2168" s="2" t="s">
        <v>4291</v>
      </c>
      <c r="C2168" s="3" t="str">
        <f>IFERROR(__xludf.DUMMYFUNCTION("GOOGLETRANSLATE(A2168,""en"",""hy"")"),"ով է Նիկ Գրիմշոուն")</f>
        <v>ով է Նիկ Գրիմշոուն</v>
      </c>
      <c r="D2168" s="3" t="str">
        <f>IFERROR(__xludf.DUMMYFUNCTION("GOOGLETRANSLATE(B2168,""en"",""hy"")"),"Նիք Գրիմշոուն բրիտանացի ռադիոհաղորդավար և հեռուստատեսային անձնավորություն է:")</f>
        <v>Նիք Գրիմշոուն բրիտանացի ռադիոհաղորդավար և հեռուստատեսային անձնավորություն է:</v>
      </c>
    </row>
    <row r="2169">
      <c r="A2169" s="1" t="s">
        <v>4292</v>
      </c>
      <c r="B2169" s="2" t="s">
        <v>4293</v>
      </c>
      <c r="C2169" s="3" t="str">
        <f>IFERROR(__xludf.DUMMYFUNCTION("GOOGLETRANSLATE(A2169,""en"",""hy"")"),"ինչ արեց Ֆլորենս Սաբինը:")</f>
        <v>ինչ արեց Ֆլորենս Սաբինը:</v>
      </c>
      <c r="D2169" s="3" t="str">
        <f>IFERROR(__xludf.DUMMYFUNCTION("GOOGLETRANSLATE(B2169,""en"",""hy"")"),"Ֆլորենս Սաբինը եղել է առաջատար կին բժիշկ-գիտնական, ով նշանակալի ներդրում է ունեցել բժշկության ոլորտում, մասնավորապես՝ տուբերկուլյոզի և ավշային համակարգի ուսումնասիրության մեջ:")</f>
        <v>Ֆլորենս Սաբինը եղել է առաջատար կին բժիշկ-գիտնական, ով նշանակալի ներդրում է ունեցել բժշկության ոլորտում, մասնավորապես՝ տուբերկուլյոզի և ավշային համակարգի ուսումնասիրության մեջ:</v>
      </c>
    </row>
    <row r="2170">
      <c r="A2170" s="1" t="s">
        <v>4294</v>
      </c>
      <c r="B2170" s="2" t="s">
        <v>4295</v>
      </c>
      <c r="C2170" s="3" t="str">
        <f>IFERROR(__xludf.DUMMYFUNCTION("GOOGLETRANSLATE(A2170,""en"",""hy"")"),"ով է խաղացել Բեթի Ռիզո յուղի մեջ:")</f>
        <v>ով է խաղացել Բեթի Ռիզո յուղի մեջ:</v>
      </c>
      <c r="D2170" s="3" t="str">
        <f>IFERROR(__xludf.DUMMYFUNCTION("GOOGLETRANSLATE(B2170,""en"",""hy"")"),"Ստոկարդ Չենինգ.")</f>
        <v>Ստոկարդ Չենինգ.</v>
      </c>
    </row>
    <row r="2171">
      <c r="A2171" s="1" t="s">
        <v>4296</v>
      </c>
      <c r="B2171" s="2" t="s">
        <v>4297</v>
      </c>
      <c r="C2171" s="3" t="str">
        <f>IFERROR(__xludf.DUMMYFUNCTION("GOOGLETRANSLATE(A2171,""en"",""hy"")"),"ով խաղաց Վեսլի ջարդիչը հաջորդ սերնդի աստղային արշավում:")</f>
        <v>ով խաղաց Վեսլի ջարդիչը հաջորդ սերնդի աստղային արշավում:</v>
      </c>
      <c r="D2171" s="3" t="str">
        <f>IFERROR(__xludf.DUMMYFUNCTION("GOOGLETRANSLATE(B2171,""en"",""hy"")"),"Ուիլ Ուիթոն.")</f>
        <v>Ուիլ Ուիթոն.</v>
      </c>
    </row>
    <row r="2172">
      <c r="A2172" s="1" t="s">
        <v>4298</v>
      </c>
      <c r="B2172" s="2" t="s">
        <v>4299</v>
      </c>
      <c r="C2172" s="3" t="str">
        <f>IFERROR(__xludf.DUMMYFUNCTION("GOOGLETRANSLATE(A2172,""en"",""hy"")"),"Ե՞րբ է ապրել Շերլոկ Հոլմսը")</f>
        <v>Ե՞րբ է ապրել Շերլոկ Հոլմսը</v>
      </c>
      <c r="D2172" s="3" t="str">
        <f>IFERROR(__xludf.DUMMYFUNCTION("GOOGLETRANSLATE(B2172,""en"",""hy"")"),"Շերլոկ Հոլմսը գեղարվեստական ​​կերպար է, որը ստեղծվել է սըր Արթուր Կոնան Դոյլի կողմից։ Նա ապրել է 19-րդ դարի վերջին և 20-րդ դարի սկզբին, հիմնականում ուշ վիկտորիանական և Էդվարդյան դարաշրջաններում։")</f>
        <v>Շերլոկ Հոլմսը գեղարվեստական ​​կերպար է, որը ստեղծվել է սըր Արթուր Կոնան Դոյլի կողմից։ Նա ապրել է 19-րդ դարի վերջին և 20-րդ դարի սկզբին, հիմնականում ուշ վիկտորիանական և Էդվարդյան դարաշրջաններում։</v>
      </c>
    </row>
    <row r="2173">
      <c r="A2173" s="1" t="s">
        <v>4300</v>
      </c>
      <c r="B2173" s="2" t="s">
        <v>4301</v>
      </c>
      <c r="C2173" s="3" t="str">
        <f>IFERROR(__xludf.DUMMYFUNCTION("GOOGLETRANSLATE(A2173,""en"",""hy"")"),"որտեղ է մեծացել աուդի Մերֆին:")</f>
        <v>որտեղ է մեծացել աուդի Մերֆին:</v>
      </c>
      <c r="D2173" s="3" t="str">
        <f>IFERROR(__xludf.DUMMYFUNCTION("GOOGLETRANSLATE(B2173,""en"",""hy"")"),"Աուդի Մերֆին մեծացել է Տեխաս նահանգի Ֆարմերսվիլ քաղաքում:")</f>
        <v>Աուդի Մերֆին մեծացել է Տեխաս նահանգի Ֆարմերսվիլ քաղաքում:</v>
      </c>
    </row>
    <row r="2174">
      <c r="A2174" s="1" t="s">
        <v>4302</v>
      </c>
      <c r="B2174" s="2" t="s">
        <v>4303</v>
      </c>
      <c r="C2174" s="3" t="str">
        <f>IFERROR(__xludf.DUMMYFUNCTION("GOOGLETRANSLATE(A2174,""en"",""hy"")"),"Ո՞ր դպրոց է հաճախում Բարթ Սիմփսոնը:")</f>
        <v>Ո՞ր դպրոց է հաճախում Բարթ Սիմփսոնը:</v>
      </c>
      <c r="D2174" s="3" t="str">
        <f>IFERROR(__xludf.DUMMYFUNCTION("GOOGLETRANSLATE(B2174,""en"",""hy"")"),"Բարթ Սիմփսոնը գնում է Սփրինգֆիլդի տարրական դպրոց:")</f>
        <v>Բարթ Սիմփսոնը գնում է Սփրինգֆիլդի տարրական դպրոց:</v>
      </c>
    </row>
    <row r="2175">
      <c r="A2175" s="1" t="s">
        <v>4304</v>
      </c>
      <c r="B2175" s="2" t="s">
        <v>4305</v>
      </c>
      <c r="C2175" s="3" t="str">
        <f>IFERROR(__xludf.DUMMYFUNCTION("GOOGLETRANSLATE(A2175,""en"",""hy"")"),"որտեղ է հիմա Մարկ Սանչեսը")</f>
        <v>որտեղ է հիմա Մարկ Սանչեսը</v>
      </c>
      <c r="D2175" s="3" t="str">
        <f>IFERROR(__xludf.DUMMYFUNCTION("GOOGLETRANSLATE(B2175,""en"",""hy"")"),"Ցավում եմ, բայց իրական ժամանակի տեղեկատվության հասանելիություն չունեմ: 2021 թվականին իմ վերջին թարմացման տվյալներով՝ Մարկ Սանչեսը հեռացավ պրոֆեսիոնալ ֆուտբոլից։")</f>
        <v>Ցավում եմ, բայց իրական ժամանակի տեղեկատվության հասանելիություն չունեմ: 2021 թվականին իմ վերջին թարմացման տվյալներով՝ Մարկ Սանչեսը հեռացավ պրոֆեսիոնալ ֆուտբոլից։</v>
      </c>
    </row>
    <row r="2176">
      <c r="A2176" s="1" t="s">
        <v>4306</v>
      </c>
      <c r="B2176" s="2" t="s">
        <v>4307</v>
      </c>
      <c r="C2176" s="3" t="str">
        <f>IFERROR(__xludf.DUMMYFUNCTION("GOOGLETRANSLATE(A2176,""en"",""hy"")"),"որտեղ էր Վերդենի ճակատամարտը ww1?")</f>
        <v>որտեղ էր Վերդենի ճակատամարտը ww1?</v>
      </c>
      <c r="D2176" s="3" t="str">
        <f>IFERROR(__xludf.DUMMYFUNCTION("GOOGLETRANSLATE(B2176,""en"",""hy"")"),"Առաջին համաշխարհային պատերազմի ժամանակ Վերդենի ճակատամարտը տեղի ունեցավ Ֆրանսիայի հյուսիս-արևելքում։")</f>
        <v>Առաջին համաշխարհային պատերազմի ժամանակ Վերդենի ճակատամարտը տեղի ունեցավ Ֆրանսիայի հյուսիս-արևելքում։</v>
      </c>
    </row>
    <row r="2177">
      <c r="A2177" s="1" t="s">
        <v>4308</v>
      </c>
      <c r="B2177" s="2" t="s">
        <v>4309</v>
      </c>
      <c r="C2177" s="3" t="str">
        <f>IFERROR(__xludf.DUMMYFUNCTION("GOOGLETRANSLATE(A2177,""en"",""hy"")"),"Ո՞ր տարին է Կոբի Բրայանտը ավագ դպրոց հաճախել:")</f>
        <v>Ո՞ր տարին է Կոբի Բրայանտը ավագ դպրոց հաճախել:</v>
      </c>
      <c r="D2177" s="3" t="str">
        <f>IFERROR(__xludf.DUMMYFUNCTION("GOOGLETRANSLATE(B2177,""en"",""hy"")"),"Կոբի Բրայանտը միջնակարգ դպրոց է գնացել 1992 թվականին։")</f>
        <v>Կոբի Բրայանտը միջնակարգ դպրոց է գնացել 1992 թվականին։</v>
      </c>
    </row>
    <row r="2178">
      <c r="A2178" s="1" t="s">
        <v>4310</v>
      </c>
      <c r="B2178" s="2" t="s">
        <v>4311</v>
      </c>
      <c r="C2178" s="3" t="str">
        <f>IFERROR(__xludf.DUMMYFUNCTION("GOOGLETRANSLATE(A2178,""en"",""hy"")"),"որտեղ է Okemos Միչիգանը:")</f>
        <v>որտեղ է Okemos Միչիգանը:</v>
      </c>
      <c r="D2178" s="3" t="str">
        <f>IFERROR(__xludf.DUMMYFUNCTION("GOOGLETRANSLATE(B2178,""en"",""hy"")"),"Միչիգան ​​նահանգի Օկեմոսը գտնվում է Ինգամ կոմսությունում, նահանգի մայրաքաղաք Լանսինգից անմիջապես արևելք:")</f>
        <v>Միչիգան ​​նահանգի Օկեմոսը գտնվում է Ինգամ կոմսությունում, նահանգի մայրաքաղաք Լանսինգից անմիջապես արևելք:</v>
      </c>
    </row>
    <row r="2179">
      <c r="A2179" s="1" t="s">
        <v>4312</v>
      </c>
      <c r="B2179" s="2" t="s">
        <v>4313</v>
      </c>
      <c r="C2179" s="3" t="str">
        <f>IFERROR(__xludf.DUMMYFUNCTION("GOOGLETRANSLATE(A2179,""en"",""hy"")"),"որտեղ է Քերոլայն Քենեդին դպրոց հաճախել")</f>
        <v>որտեղ է Քերոլայն Քենեդին դպրոց հաճախել</v>
      </c>
      <c r="D2179" s="3" t="str">
        <f>IFERROR(__xludf.DUMMYFUNCTION("GOOGLETRANSLATE(B2179,""en"",""hy"")"),"Քերոլայն Քենեդին սովորել է Ռեդքլիֆի քոլեջում և Հարվարդի իրավաբանական դպրոցում:")</f>
        <v>Քերոլայն Քենեդին սովորել է Ռեդքլիֆի քոլեջում և Հարվարդի իրավաբանական դպրոցում:</v>
      </c>
    </row>
    <row r="2180">
      <c r="A2180" s="1" t="s">
        <v>4314</v>
      </c>
      <c r="B2180" s="2" t="s">
        <v>4315</v>
      </c>
      <c r="C2180" s="3" t="str">
        <f>IFERROR(__xludf.DUMMYFUNCTION("GOOGLETRANSLATE(A2180,""en"",""hy"")"),"ինչպիսի՞ կառավարություն է ԱՄՆ կառավարությունը.")</f>
        <v>ինչպիսի՞ կառավարություն է ԱՄՆ կառավարությունը.</v>
      </c>
      <c r="D2180" s="3" t="str">
        <f>IFERROR(__xludf.DUMMYFUNCTION("GOOGLETRANSLATE(B2180,""en"",""hy"")"),"ԱՄՆ կառավարությունը դաշնային հանրապետություն է։")</f>
        <v>ԱՄՆ կառավարությունը դաշնային հանրապետություն է։</v>
      </c>
    </row>
    <row r="2181">
      <c r="A2181" s="1" t="s">
        <v>4316</v>
      </c>
      <c r="B2181" s="2" t="s">
        <v>4317</v>
      </c>
      <c r="C2181" s="3" t="str">
        <f>IFERROR(__xludf.DUMMYFUNCTION("GOOGLETRANSLATE(A2181,""en"",""hy"")"),"ինչ են Շեքսպիրի ծնողների անունները")</f>
        <v>ինչ են Շեքսպիրի ծնողների անունները</v>
      </c>
      <c r="D2181" s="3" t="str">
        <f>IFERROR(__xludf.DUMMYFUNCTION("GOOGLETRANSLATE(B2181,""en"",""hy"")"),"Ուիլյամ Շեքսպիրի ծնողների անուններն էին Ջոն Շեքսպիր և Մերի Արդեն։")</f>
        <v>Ուիլյամ Շեքսպիրի ծնողների անուններն էին Ջոն Շեքսպիր և Մերի Արդեն։</v>
      </c>
    </row>
    <row r="2182">
      <c r="A2182" s="1" t="s">
        <v>4318</v>
      </c>
      <c r="B2182" s="2" t="s">
        <v>4319</v>
      </c>
      <c r="C2182" s="3" t="str">
        <f>IFERROR(__xludf.DUMMYFUNCTION("GOOGLETRANSLATE(A2182,""en"",""hy"")"),"ինչո՞վ էր հայտնի սըր Արթուր Կոնան Դոյլը:")</f>
        <v>ինչո՞վ էր հայտնի սըր Արթուր Կոնան Դոյլը:</v>
      </c>
      <c r="D2182" s="3" t="str">
        <f>IFERROR(__xludf.DUMMYFUNCTION("GOOGLETRANSLATE(B2182,""en"",""hy"")"),"Սըր Արթուր Կոնան Դոյլը հայտնի էր Շերլոկ Հոլմսի դետեկտիվ պատմությունները գրելով։")</f>
        <v>Սըր Արթուր Կոնան Դոյլը հայտնի էր Շերլոկ Հոլմսի դետեկտիվ պատմությունները գրելով։</v>
      </c>
    </row>
    <row r="2183">
      <c r="A2183" s="1" t="s">
        <v>4320</v>
      </c>
      <c r="B2183" s="2" t="s">
        <v>4321</v>
      </c>
      <c r="C2183" s="3" t="str">
        <f>IFERROR(__xludf.DUMMYFUNCTION("GOOGLETRANSLATE(A2183,""en"",""hy"")"),"ով է Ravens մարզիչը")</f>
        <v>ով է Ravens մարզիչը</v>
      </c>
      <c r="D2183" s="3" t="str">
        <f>IFERROR(__xludf.DUMMYFUNCTION("GOOGLETRANSLATE(B2183,""en"",""hy"")"),"Ռեյվենսի ներկայիս գլխավոր մարզիչը Ջոն Հարբոն է։")</f>
        <v>Ռեյվենսի ներկայիս գլխավոր մարզիչը Ջոն Հարբոն է։</v>
      </c>
    </row>
    <row r="2184">
      <c r="A2184" s="1" t="s">
        <v>4322</v>
      </c>
      <c r="B2184" s="2" t="s">
        <v>4323</v>
      </c>
      <c r="C2184" s="3" t="str">
        <f>IFERROR(__xludf.DUMMYFUNCTION("GOOGLETRANSLATE(A2184,""en"",""hy"")"),"Ո՞ր քոլեջ է սովորել Ռոն Յավորսկին:")</f>
        <v>Ո՞ր քոլեջ է սովորել Ռոն Յավորսկին:</v>
      </c>
      <c r="D2184" s="3" t="str">
        <f>IFERROR(__xludf.DUMMYFUNCTION("GOOGLETRANSLATE(B2184,""en"",""hy"")"),"Ռոն Յավորսկին հաճախել է Յանգսթաունի պետական ​​համալսարան:")</f>
        <v>Ռոն Յավորսկին հաճախել է Յանգսթաունի պետական ​​համալսարան:</v>
      </c>
    </row>
    <row r="2185">
      <c r="A2185" s="1" t="s">
        <v>4324</v>
      </c>
      <c r="B2185" s="2" t="s">
        <v>4325</v>
      </c>
      <c r="C2185" s="3" t="str">
        <f>IFERROR(__xludf.DUMMYFUNCTION("GOOGLETRANSLATE(A2185,""en"",""hy"")"),"Ո՞ր թիմում է այժմ խաղում Ալեն Այվերսոնը:")</f>
        <v>Ո՞ր թիմում է այժմ խաղում Ալեն Այվերսոնը:</v>
      </c>
      <c r="D2185" s="3" t="str">
        <f>IFERROR(__xludf.DUMMYFUNCTION("GOOGLETRANSLATE(B2185,""en"",""hy"")"),"Ալեն Այվերսոնը ներկայումս ոչ մի թիմում չի խաղում։")</f>
        <v>Ալեն Այվերսոնը ներկայումս ոչ մի թիմում չի խաղում։</v>
      </c>
    </row>
    <row r="2186">
      <c r="A2186" s="1" t="s">
        <v>4326</v>
      </c>
      <c r="B2186" s="2" t="s">
        <v>4327</v>
      </c>
      <c r="C2186" s="3" t="str">
        <f>IFERROR(__xludf.DUMMYFUNCTION("GOOGLETRANSLATE(A2186,""en"",""hy"")"),"որտեղ է ուսումնասիրել սըր Ռիչարդ Գրենվիլը:")</f>
        <v>որտեղ է ուսումնասիրել սըր Ռիչարդ Գրենվիլը:</v>
      </c>
      <c r="D2186" s="3" t="str">
        <f>IFERROR(__xludf.DUMMYFUNCTION("GOOGLETRANSLATE(B2186,""en"",""hy"")"),"Սըր Ռիչարդ Գրենվիլը ուսումնասիրել է Վիրջինիայի ափերը (ներկայիս ԱՄՆ) և Կարիբյան ավազանը:")</f>
        <v>Սըր Ռիչարդ Գրենվիլը ուսումնասիրել է Վիրջինիայի ափերը (ներկայիս ԱՄՆ) և Կարիբյան ավազանը:</v>
      </c>
    </row>
    <row r="2187">
      <c r="A2187" s="1" t="s">
        <v>4328</v>
      </c>
      <c r="B2187" s="2" t="s">
        <v>2203</v>
      </c>
      <c r="C2187" s="3" t="str">
        <f>IFERROR(__xludf.DUMMYFUNCTION("GOOGLETRANSLATE(A2187,""en"",""hy"")"),"Ո՞ր տարիներին են ատլանտայի քաջերը հաղթել համաշխարհային շարքում:")</f>
        <v>Ո՞ր տարիներին են ատլանտայի քաջերը հաղթել համաշխարհային շարքում:</v>
      </c>
      <c r="D2187" s="3" t="str">
        <f>IFERROR(__xludf.DUMMYFUNCTION("GOOGLETRANSLATE(B2187,""en"",""hy"")"),"Ատլանտա Բրեյվսը 1995 թվականին հաղթել է աշխարհի առաջնությունում:")</f>
        <v>Ատլանտա Բրեյվսը 1995 թվականին հաղթել է աշխարհի առաջնությունում:</v>
      </c>
    </row>
    <row r="2188">
      <c r="A2188" s="1" t="s">
        <v>4329</v>
      </c>
      <c r="B2188" s="2" t="s">
        <v>4330</v>
      </c>
      <c r="C2188" s="3" t="str">
        <f>IFERROR(__xludf.DUMMYFUNCTION("GOOGLETRANSLATE(A2188,""en"",""hy"")"),"Ե՞րբ է սկսվում դպրոցը Հիլսբորո կոմսությունում:")</f>
        <v>Ե՞րբ է սկսվում դպրոցը Հիլսբորո կոմսությունում:</v>
      </c>
      <c r="D2188" s="3" t="str">
        <f>IFERROR(__xludf.DUMMYFUNCTION("GOOGLETRANSLATE(B2188,""en"",""hy"")"),"Հիլսբորո կոմսությունում դպրոցի մեկնարկի ամսաթիվը տատանվում է՝ կախված տարվանից:")</f>
        <v>Հիլսբորո կոմսությունում դպրոցի մեկնարկի ամսաթիվը տատանվում է՝ կախված տարվանից:</v>
      </c>
    </row>
    <row r="2189">
      <c r="A2189" s="1" t="s">
        <v>4331</v>
      </c>
      <c r="B2189" s="2" t="s">
        <v>4332</v>
      </c>
      <c r="C2189" s="3" t="str">
        <f>IFERROR(__xludf.DUMMYFUNCTION("GOOGLETRANSLATE(A2189,""en"",""hy"")"),"որտեղ էին ապրում Ջֆկը և նրա կինը:")</f>
        <v>որտեղ էին ապրում Ջֆկը և նրա կինը:</v>
      </c>
      <c r="D2189" s="3" t="str">
        <f>IFERROR(__xludf.DUMMYFUNCTION("GOOGLETRANSLATE(B2189,""en"",""hy"")"),"JFK-ն և նրա կինը ապրում էին Սպիտակ տանը։")</f>
        <v>JFK-ն և նրա կինը ապրում էին Սպիտակ տանը։</v>
      </c>
    </row>
    <row r="2190">
      <c r="A2190" s="1" t="s">
        <v>4333</v>
      </c>
      <c r="B2190" s="2" t="s">
        <v>4334</v>
      </c>
      <c r="C2190" s="3" t="str">
        <f>IFERROR(__xludf.DUMMYFUNCTION("GOOGLETRANSLATE(A2190,""en"",""hy"")"),"որո՞նք են իսլամական կրոնի հիմնական համոզմունքները:")</f>
        <v>որո՞նք են իսլամական կրոնի հիմնական համոզմունքները:</v>
      </c>
      <c r="D2190" s="3" t="str">
        <f>IFERROR(__xludf.DUMMYFUNCTION("GOOGLETRANSLATE(B2190,""en"",""hy"")"),"Իսլամի հիմնական հավատալիքները ներառում են հավատալ մեկ Աստծուն (Ալլահին), մարգարեներին (ներառյալ Մուհամմադին որպես վերջին մարգարե), Ղուրանին որպես սուրբ գրքի հավատ, հրեշտակների հավատք, դատաստանի օրվան և նախասահմանման հավատը: .")</f>
        <v>Իսլամի հիմնական հավատալիքները ներառում են հավատալ մեկ Աստծուն (Ալլահին), մարգարեներին (ներառյալ Մուհամմադին որպես վերջին մարգարե), Ղուրանին որպես սուրբ գրքի հավատ, հրեշտակների հավատք, դատաստանի օրվան և նախասահմանման հավատը: .</v>
      </c>
    </row>
    <row r="2191">
      <c r="A2191" s="1" t="s">
        <v>4335</v>
      </c>
      <c r="B2191" s="2" t="s">
        <v>4336</v>
      </c>
      <c r="C2191" s="3" t="str">
        <f>IFERROR(__xludf.DUMMYFUNCTION("GOOGLETRANSLATE(A2191,""en"",""hy"")"),"ինչ է ժամանակակից եգիպտական ​​լեզուն:")</f>
        <v>ինչ է ժամանակակից եգիպտական ​​լեզուն:</v>
      </c>
      <c r="D2191" s="3" t="str">
        <f>IFERROR(__xludf.DUMMYFUNCTION("GOOGLETRANSLATE(B2191,""en"",""hy"")"),"Ժամանակակից եգիպտական ​​լեզուն, որը նաև հայտնի է որպես եգիպտական ​​արաբերեն, այսօր Եգիպտոսում օգտագործվող խոսակցական լեզուն է:")</f>
        <v>Ժամանակակից եգիպտական ​​լեզուն, որը նաև հայտնի է որպես եգիպտական ​​արաբերեն, այսօր Եգիպտոսում օգտագործվող խոսակցական լեզուն է:</v>
      </c>
    </row>
    <row r="2192">
      <c r="A2192" s="1" t="s">
        <v>4337</v>
      </c>
      <c r="B2192" s="2" t="s">
        <v>4338</v>
      </c>
      <c r="C2192" s="3" t="str">
        <f>IFERROR(__xludf.DUMMYFUNCTION("GOOGLETRANSLATE(A2192,""en"",""hy"")"),"որտեղ է ապրում Սեմ Շեպարդը")</f>
        <v>որտեղ է ապրում Սեմ Շեպարդը</v>
      </c>
      <c r="D2192" s="3" t="str">
        <f>IFERROR(__xludf.DUMMYFUNCTION("GOOGLETRANSLATE(B2192,""en"",""hy"")"),"Սեմ Շեպարդը մահացել է 2017 թվականի հուլիսի 27-ին։")</f>
        <v>Սեմ Շեպարդը մահացել է 2017 թվականի հուլիսի 27-ին։</v>
      </c>
    </row>
    <row r="2193">
      <c r="A2193" s="1" t="s">
        <v>4339</v>
      </c>
      <c r="B2193" s="2" t="s">
        <v>4340</v>
      </c>
      <c r="C2193" s="3" t="str">
        <f>IFERROR(__xludf.DUMMYFUNCTION("GOOGLETRANSLATE(A2193,""en"",""hy"")"),"ո՞ր նահանգում է ստեղծվել ռազմաօդային ուժերի ակադեմիան.")</f>
        <v>ո՞ր նահանգում է ստեղծվել ռազմաօդային ուժերի ակադեմիան.</v>
      </c>
      <c r="D2193" s="3" t="str">
        <f>IFERROR(__xludf.DUMMYFUNCTION("GOOGLETRANSLATE(B2193,""en"",""hy"")"),"Կոլորադո")</f>
        <v>Կոլորադո</v>
      </c>
    </row>
    <row r="2194">
      <c r="A2194" s="1" t="s">
        <v>4341</v>
      </c>
      <c r="B2194" s="2" t="s">
        <v>4342</v>
      </c>
      <c r="C2194" s="3" t="str">
        <f>IFERROR(__xludf.DUMMYFUNCTION("GOOGLETRANSLATE(A2194,""en"",""hy"")"),"որտեղի՞ց սկսվեց Ալամոյի ճակատամարտը:")</f>
        <v>որտեղի՞ց սկսվեց Ալամոյի ճակատամարտը:</v>
      </c>
      <c r="D2194" s="3" t="str">
        <f>IFERROR(__xludf.DUMMYFUNCTION("GOOGLETRANSLATE(B2194,""en"",""hy"")"),"Ալամոյի ճակատամարտը սկսվել է Տեխաս նահանգի Սան Անտոնիո քաղաքում։")</f>
        <v>Ալամոյի ճակատամարտը սկսվել է Տեխաս նահանգի Սան Անտոնիո քաղաքում։</v>
      </c>
    </row>
    <row r="2195">
      <c r="A2195" s="1" t="s">
        <v>4343</v>
      </c>
      <c r="B2195" s="2" t="s">
        <v>4344</v>
      </c>
      <c r="C2195" s="3" t="str">
        <f>IFERROR(__xludf.DUMMYFUNCTION("GOOGLETRANSLATE(A2195,""en"",""hy"")"),"ի՞նչ է անում Բարաք Օբաման որպես նախագահ.")</f>
        <v>ի՞նչ է անում Բարաք Օբաման որպես նախագահ.</v>
      </c>
      <c r="D2195" s="3" t="str">
        <f>IFERROR(__xludf.DUMMYFUNCTION("GOOGLETRANSLATE(B2195,""en"",""hy"")"),"Որպես նախագահ՝ Բարաք Օբաման պատասխանատու էր Միացյալ Նահանգների կառավարության գործադիր ճյուղը վերահսկելու, հիմնական քաղաքական որոշումներ կայացնելու և երկիրը ազգային և միջազգային մակարդակով ներկայացնելու համար:")</f>
        <v>Որպես նախագահ՝ Բարաք Օբաման պատասխանատու էր Միացյալ Նահանգների կառավարության գործադիր ճյուղը վերահսկելու, հիմնական քաղաքական որոշումներ կայացնելու և երկիրը ազգային և միջազգային մակարդակով ներկայացնելու համար:</v>
      </c>
    </row>
    <row r="2196">
      <c r="A2196" s="1" t="s">
        <v>4345</v>
      </c>
      <c r="B2196" s="2" t="s">
        <v>4346</v>
      </c>
      <c r="C2196" s="3" t="str">
        <f>IFERROR(__xludf.DUMMYFUNCTION("GOOGLETRANSLATE(A2196,""en"",""hy"")"),"որո՞նք են Հարրի Փոթերի գրքերի անունները հերթականությամբ:")</f>
        <v>որո՞նք են Հարրի Փոթերի գրքերի անունները հերթականությամբ:</v>
      </c>
      <c r="D2196" s="3" t="str">
        <f>IFERROR(__xludf.DUMMYFUNCTION("GOOGLETRANSLATE(B2196,""en"",""hy"")"),"Հարի Փոթերի գրքերի անուններն ըստ հերթականության են.
1. Հարրի Փոթերը և փիլիսոփայական քարը
2. Հարրի Փոթերը և Գաղտնիքների պալատը
3. Հարրի Փոթերը և Ազկաբանի բանտարկյալը
4. Հարրի Փոթերը և կրակի գավաթը
5. Հարրի Փոթերը և Փյունիկի շքանշանը
6. Հարրի Փոթերը և կիսա"&amp;"րյուն արքայազնը
7. Հարրի Փոթերը և մահվան պարգևները")</f>
        <v>Հարի Փոթերի գրքերի անուններն ըստ հերթականության են.
1. Հարրի Փոթերը և փիլիսոփայական քարը
2. Հարրի Փոթերը և Գաղտնիքների պալատը
3. Հարրի Փոթերը և Ազկաբանի բանտարկյալը
4. Հարրի Փոթերը և կրակի գավաթը
5. Հարրի Փոթերը և Փյունիկի շքանշանը
6. Հարրի Փոթերը և կիսարյուն արքայազնը
7. Հարրի Փոթերը և մահվան պարգևները</v>
      </c>
    </row>
    <row r="2197">
      <c r="A2197" s="1" t="s">
        <v>4347</v>
      </c>
      <c r="B2197" s="2" t="s">
        <v>4348</v>
      </c>
      <c r="C2197" s="3" t="str">
        <f>IFERROR(__xludf.DUMMYFUNCTION("GOOGLETRANSLATE(A2197,""en"",""hy"")"),"ինչ արժույթ պետք է բերեմ Իտալիա:")</f>
        <v>ինչ արժույթ պետք է բերեմ Իտալիա:</v>
      </c>
      <c r="D2197" s="3" t="str">
        <f>IFERROR(__xludf.DUMMYFUNCTION("GOOGLETRANSLATE(B2197,""en"",""hy"")"),"Արժույթը, որը դուք պետք է բերեք Իտալիա, եվրոն է:")</f>
        <v>Արժույթը, որը դուք պետք է բերեք Իտալիա, եվրոն է:</v>
      </c>
    </row>
    <row r="2198">
      <c r="A2198" s="1" t="s">
        <v>4349</v>
      </c>
      <c r="B2198" s="2" t="s">
        <v>4350</v>
      </c>
      <c r="C2198" s="3" t="str">
        <f>IFERROR(__xludf.DUMMYFUNCTION("GOOGLETRANSLATE(A2198,""en"",""hy"")"),"ո՞ր տարիներն են խաղացել օրիոլները համաշխարհային սերիայում:")</f>
        <v>ո՞ր տարիներն են խաղացել օրիոլները համաշխարհային սերիայում:</v>
      </c>
      <c r="D2198" s="3" t="str">
        <f>IFERROR(__xludf.DUMMYFUNCTION("GOOGLETRANSLATE(B2198,""en"",""hy"")"),"Բալթիմոր Օրիոլները խաղացել են համաշխարհային սերիայում 1966, 1969, 1970 և 1983 թվականներին:")</f>
        <v>Բալթիմոր Օրիոլները խաղացել են համաշխարհային սերիայում 1966, 1969, 1970 և 1983 թվականներին:</v>
      </c>
    </row>
    <row r="2199">
      <c r="A2199" s="1" t="s">
        <v>4351</v>
      </c>
      <c r="B2199" s="2" t="s">
        <v>4352</v>
      </c>
      <c r="C2199" s="3" t="str">
        <f>IFERROR(__xludf.DUMMYFUNCTION("GOOGLETRANSLATE(A2199,""en"",""hy"")"),"ինչից է բաղկացած Հռոմեական կայսրությունը.")</f>
        <v>ինչից է բաղկացած Հռոմեական կայսրությունը.</v>
      </c>
      <c r="D2199" s="3" t="str">
        <f>IFERROR(__xludf.DUMMYFUNCTION("GOOGLETRANSLATE(B2199,""en"",""hy"")"),"Հռոմեական կայսրությունը բաղկացած էր Եվրոպայից մինչև Հյուսիսային Աֆրիկա և Մերձավոր Արևելք ընկած մեծ տարածքից։")</f>
        <v>Հռոմեական կայսրությունը բաղկացած էր Եվրոպայից մինչև Հյուսիսային Աֆրիկա և Մերձավոր Արևելք ընկած մեծ տարածքից։</v>
      </c>
    </row>
    <row r="2200">
      <c r="A2200" s="1" t="s">
        <v>4353</v>
      </c>
      <c r="B2200" s="2" t="s">
        <v>4354</v>
      </c>
      <c r="C2200" s="3" t="str">
        <f>IFERROR(__xludf.DUMMYFUNCTION("GOOGLETRANSLATE(A2200,""en"",""hy"")"),"ինչ արեց Ֆրեդ Գուդվինը:")</f>
        <v>ինչ արեց Ֆրեդ Գուդվինը:</v>
      </c>
      <c r="D2200" s="3" t="str">
        <f>IFERROR(__xludf.DUMMYFUNCTION("GOOGLETRANSLATE(B2200,""en"",""hy"")"),"Ֆրեդ Գուդվինը 2001-ից 2008 թվականներին աշխատել է Շոտլանդիայի թագավորական բանկի (RBS) գլխավոր գործադիր տնօրենի պաշտոնում: Գուդվինի գործողությունները և ղեկավարության որոշումները լայնորեն քննադատվել են բանկի անկմանը նպաստելու համար:")</f>
        <v>Ֆրեդ Գուդվինը 2001-ից 2008 թվականներին աշխատել է Շոտլանդիայի թագավորական բանկի (RBS) գլխավոր գործադիր տնօրենի պաշտոնում: Գուդվինի գործողությունները և ղեկավարության որոշումները լայնորեն քննադատվել են բանկի անկմանը նպաստելու համար:</v>
      </c>
    </row>
    <row r="2201">
      <c r="A2201" s="1" t="s">
        <v>4355</v>
      </c>
      <c r="B2201" s="2" t="s">
        <v>4356</v>
      </c>
      <c r="C2201" s="3" t="str">
        <f>IFERROR(__xludf.DUMMYFUNCTION("GOOGLETRANSLATE(A2201,""en"",""hy"")"),"Ի՞նչ ներդրում ունեցավ Իսահակ Նյուտոնը գիտության մեջ:")</f>
        <v>Ի՞նչ ներդրում ունեցավ Իսահակ Նյուտոնը գիտության մեջ:</v>
      </c>
      <c r="D2201" s="3" t="str">
        <f>IFERROR(__xludf.DUMMYFUNCTION("GOOGLETRANSLATE(B2201,""en"",""hy"")"),"Իսահակ Նյուտոնը ներդրում ունեցավ գիտության մեջ՝ ձևակերպելով շարժման և համընդհանուր ձգողության օրենքները։")</f>
        <v>Իսահակ Նյուտոնը ներդրում ունեցավ գիտության մեջ՝ ձևակերպելով շարժման և համընդհանուր ձգողության օրենքները։</v>
      </c>
    </row>
    <row r="2202">
      <c r="A2202" s="1" t="s">
        <v>4357</v>
      </c>
      <c r="B2202" s="2" t="s">
        <v>4358</v>
      </c>
      <c r="C2202" s="3" t="str">
        <f>IFERROR(__xludf.DUMMYFUNCTION("GOOGLETRANSLATE(A2202,""en"",""hy"")"),"ի՞նչ դպրոց է հիմնել Բերն Հոգարթը:")</f>
        <v>ի՞նչ դպրոց է հիմնել Բերն Հոգարթը:</v>
      </c>
      <c r="D2202" s="3" t="str">
        <f>IFERROR(__xludf.DUMMYFUNCTION("GOOGLETRANSLATE(B2202,""en"",""hy"")"),"Բըրն Հոգարտը հիմնել է Վիզուալ արվեստների դպրոցը (SVA):")</f>
        <v>Բըրն Հոգարտը հիմնել է Վիզուալ արվեստների դպրոցը (SVA):</v>
      </c>
    </row>
    <row r="2203">
      <c r="A2203" s="1" t="s">
        <v>4359</v>
      </c>
      <c r="B2203" s="2" t="s">
        <v>4360</v>
      </c>
      <c r="C2203" s="3" t="str">
        <f>IFERROR(__xludf.DUMMYFUNCTION("GOOGLETRANSLATE(A2203,""en"",""hy"")"),"ինչ է Չինաստանի տնտեսությունը")</f>
        <v>ինչ է Չինաստանի տնտեսությունը</v>
      </c>
      <c r="D2203" s="3" t="str">
        <f>IFERROR(__xludf.DUMMYFUNCTION("GOOGLETRANSLATE(B2203,""en"",""hy"")"),"Չինաստանի տնտեսությունն աշխարհում երկրորդն է անվանական ՀՆԱ-ով և ամենամեծը՝ գնողունակության համարժեքությամբ։")</f>
        <v>Չինաստանի տնտեսությունն աշխարհում երկրորդն է անվանական ՀՆԱ-ով և ամենամեծը՝ գնողունակության համարժեքությամբ։</v>
      </c>
    </row>
    <row r="2204">
      <c r="A2204" s="1" t="s">
        <v>4361</v>
      </c>
      <c r="B2204" s="2" t="s">
        <v>4362</v>
      </c>
      <c r="C2204" s="3" t="str">
        <f>IFERROR(__xludf.DUMMYFUNCTION("GOOGLETRANSLATE(A2204,""en"",""hy"")"),"ով է Մերիլին Մոնրոն և ինչու է նա հայտնի:")</f>
        <v>ով է Մերիլին Մոնրոն և ինչու է նա հայտնի:</v>
      </c>
      <c r="D2204" s="3" t="str">
        <f>IFERROR(__xludf.DUMMYFUNCTION("GOOGLETRANSLATE(B2204,""en"",""hy"")"),"Մերիլին Մոնրոն հայտնի ամերիկացի դերասանուհի, երգչուհի և մոդել էր։ Նա համբավ ձեռք բերեց 1950-ականներին և դարձավ ժողովրդական մշակույթի խորհրդանշական գործիչ: Մոնրոն հայտնի է իր գեղեցկությամբ, տաղանդով և ողբերգական կյանքով։")</f>
        <v>Մերիլին Մոնրոն հայտնի ամերիկացի դերասանուհի, երգչուհի և մոդել էր։ Նա համբավ ձեռք բերեց 1950-ականներին և դարձավ ժողովրդական մշակույթի խորհրդանշական գործիչ: Մոնրոն հայտնի է իր գեղեցկությամբ, տաղանդով և ողբերգական կյանքով։</v>
      </c>
    </row>
    <row r="2205">
      <c r="A2205" s="1" t="s">
        <v>4363</v>
      </c>
      <c r="B2205" s="2" t="s">
        <v>4364</v>
      </c>
      <c r="C2205" s="3" t="str">
        <f>IFERROR(__xludf.DUMMYFUNCTION("GOOGLETRANSLATE(A2205,""en"",""hy"")"),"որտեղ է գտնվում Պորտ Շառլոտ Ֆլորիդան:")</f>
        <v>որտեղ է գտնվում Պորտ Շառլոտ Ֆլորիդան:</v>
      </c>
      <c r="D2205" s="3" t="str">
        <f>IFERROR(__xludf.DUMMYFUNCTION("GOOGLETRANSLATE(B2205,""en"",""hy"")"),"Պորտ Շառլոտ, Ֆլորիդա, գտնվում է նահանգի արևմտյան ափին, Սարասոտայից հարավ և Ֆորտ Մայերսից հյուսիս:")</f>
        <v>Պորտ Շառլոտ, Ֆլորիդա, գտնվում է նահանգի արևմտյան ափին, Սարասոտայից հարավ և Ֆորտ Մայերսից հյուսիս:</v>
      </c>
    </row>
    <row r="2206">
      <c r="A2206" s="1" t="s">
        <v>4365</v>
      </c>
      <c r="B2206" s="2" t="s">
        <v>4366</v>
      </c>
      <c r="C2206" s="3" t="str">
        <f>IFERROR(__xludf.DUMMYFUNCTION("GOOGLETRANSLATE(A2206,""en"",""hy"")"),"Ո՞ր ժամային գոտին է Կալիֆորնիայում:")</f>
        <v>Ո՞ր ժամային գոտին է Կալիֆորնիայում:</v>
      </c>
      <c r="D2206" s="3" t="str">
        <f>IFERROR(__xludf.DUMMYFUNCTION("GOOGLETRANSLATE(B2206,""en"",""hy"")"),"Խաղաղօվկիանոսյան ստանդարտ ժամանակ (PST) կամ Խաղաղ օվկիանոսի ամառային ժամանակ (PDT)՝ կախված սեզոնից:")</f>
        <v>Խաղաղօվկիանոսյան ստանդարտ ժամանակ (PST) կամ Խաղաղ օվկիանոսի ամառային ժամանակ (PDT)՝ կախված սեզոնից:</v>
      </c>
    </row>
    <row r="2207">
      <c r="A2207" s="1" t="s">
        <v>4367</v>
      </c>
      <c r="B2207" s="2" t="s">
        <v>4368</v>
      </c>
      <c r="C2207" s="3" t="str">
        <f>IFERROR(__xludf.DUMMYFUNCTION("GOOGLETRANSLATE(A2207,""en"",""hy"")"),"ով է ռեբա մցենտիրի որդին։")</f>
        <v>ով է ռեբա մցենտիրի որդին։</v>
      </c>
      <c r="D2207" s="3" t="str">
        <f>IFERROR(__xludf.DUMMYFUNCTION("GOOGLETRANSLATE(B2207,""en"",""hy"")"),"Shelby Blackstock.")</f>
        <v>Shelby Blackstock.</v>
      </c>
    </row>
    <row r="2208">
      <c r="A2208" s="1" t="s">
        <v>4369</v>
      </c>
      <c r="B2208" s="2" t="s">
        <v>4370</v>
      </c>
      <c r="C2208" s="3" t="str">
        <f>IFERROR(__xludf.DUMMYFUNCTION("GOOGLETRANSLATE(A2208,""en"",""hy"")"),"ո՞վ օգնեց ստեղծել աշխատանքի ամերիկյան դաշնությունը:")</f>
        <v>ո՞վ օգնեց ստեղծել աշխատանքի ամերիկյան դաշնությունը:</v>
      </c>
      <c r="D2208" s="3" t="str">
        <f>IFERROR(__xludf.DUMMYFUNCTION("GOOGLETRANSLATE(B2208,""en"",""hy"")"),"Սամուել Գոմպերս")</f>
        <v>Սամուել Գոմպերս</v>
      </c>
    </row>
    <row r="2209">
      <c r="A2209" s="1" t="s">
        <v>4371</v>
      </c>
      <c r="B2209" s="2" t="s">
        <v>4372</v>
      </c>
      <c r="C2209" s="3" t="str">
        <f>IFERROR(__xludf.DUMMYFUNCTION("GOOGLETRANSLATE(A2209,""en"",""hy"")"),"Ո՞վ է Ջուլի Էնդրյուսը խաղում Շրեկում:")</f>
        <v>Ո՞վ է Ջուլի Էնդրյուսը խաղում Շրեկում:</v>
      </c>
      <c r="D2209" s="3" t="str">
        <f>IFERROR(__xludf.DUMMYFUNCTION("GOOGLETRANSLATE(B2209,""en"",""hy"")"),"Ջուլի Էնդրյուսը խաղում էր թագուհի Լիլիանի դերը Շրեկում։")</f>
        <v>Ջուլի Էնդրյուսը խաղում էր թագուհի Լիլիանի դերը Շրեկում։</v>
      </c>
    </row>
    <row r="2210">
      <c r="A2210" s="1" t="s">
        <v>4373</v>
      </c>
      <c r="B2210" s="2" t="s">
        <v>4374</v>
      </c>
      <c r="C2210" s="3" t="str">
        <f>IFERROR(__xludf.DUMMYFUNCTION("GOOGLETRANSLATE(A2210,""en"",""hy"")"),"ինչ երգեր է կատարել Ուիթնի Հյուսթոնը")</f>
        <v>ինչ երգեր է կատարել Ուիթնի Հյուսթոնը</v>
      </c>
      <c r="D2210" s="3" t="str">
        <f>IFERROR(__xludf.DUMMYFUNCTION("GOOGLETRANSLATE(B2210,""en"",""hy"")"),"Ուիթնի Հյուսթոնն իր կարիերայի ընթացքում երգել է տարբեր երգեր, այդ թվում՝ «I Will Always Love You», «Greatest Love of All», «I Wanna Dance with Somebody» և այլն։")</f>
        <v>Ուիթնի Հյուսթոնն իր կարիերայի ընթացքում երգել է տարբեր երգեր, այդ թվում՝ «I Will Always Love You», «Greatest Love of All», «I Wanna Dance with Somebody» և այլն։</v>
      </c>
    </row>
    <row r="2211">
      <c r="A2211" s="1" t="s">
        <v>4375</v>
      </c>
      <c r="B2211" s="2" t="s">
        <v>4376</v>
      </c>
      <c r="C2211" s="3" t="str">
        <f>IFERROR(__xludf.DUMMYFUNCTION("GOOGLETRANSLATE(A2211,""en"",""hy"")"),"ե՞րբ են սելտիքսները հաղթել առաջնությունում:")</f>
        <v>ե՞րբ են սելտիքսները հաղթել առաջնությունում:</v>
      </c>
      <c r="D2211" s="3" t="str">
        <f>IFERROR(__xludf.DUMMYFUNCTION("GOOGLETRANSLATE(B2211,""en"",""hy"")"),"«Սելթիքսը» բազմիցս հաղթել է չեմպիոնական տիտղոսները, որոնցից ամենավերջինը եղել է 2008 թվականին:")</f>
        <v>«Սելթիքսը» բազմիցս հաղթել է չեմպիոնական տիտղոսները, որոնցից ամենավերջինը եղել է 2008 թվականին:</v>
      </c>
    </row>
    <row r="2212">
      <c r="A2212" s="1" t="s">
        <v>4377</v>
      </c>
      <c r="B2212" s="2" t="s">
        <v>4378</v>
      </c>
      <c r="C2212" s="3" t="str">
        <f>IFERROR(__xludf.DUMMYFUNCTION("GOOGLETRANSLATE(A2212,""en"",""hy"")"),"ի՞նչ է ամենաշատը արտահանում և ներմուծում Կանադան:")</f>
        <v>ի՞նչ է ամենաշատը արտահանում և ներմուծում Կանադան:</v>
      </c>
      <c r="D2212" s="3" t="str">
        <f>IFERROR(__xludf.DUMMYFUNCTION("GOOGLETRANSLATE(B2212,""en"",""hy"")"),"Կանադան արտահանում է ապրանքների լայն տեսականի, որոնցից ամենակարևորը հանքային վառելիքն է, ներառյալ նավթը և գազը: Կանադան ներմուծում է ապրանքների բազմազան տեսականի, ներառյալ տրանսպորտային միջոցներ, մեքենաներ և էլեկտրական մեքենաներ և սարքավորումներ:")</f>
        <v>Կանադան արտահանում է ապրանքների լայն տեսականի, որոնցից ամենակարևորը հանքային վառելիքն է, ներառյալ նավթը և գազը: Կանադան ներմուծում է ապրանքների բազմազան տեսականի, ներառյալ տրանսպորտային միջոցներ, մեքենաներ և էլեկտրական մեքենաներ և սարքավորումներ:</v>
      </c>
    </row>
    <row r="2213">
      <c r="A2213" s="1" t="s">
        <v>4379</v>
      </c>
      <c r="B2213" s="2" t="s">
        <v>4380</v>
      </c>
      <c r="C2213" s="3" t="str">
        <f>IFERROR(__xludf.DUMMYFUNCTION("GOOGLETRANSLATE(A2213,""en"",""hy"")"),"Ո՞ր դրվագում է հայտնվում Էրիկ Նորթմանը:")</f>
        <v>Ո՞ր դրվագում է հայտնվում Էրիկ Նորթմանը:</v>
      </c>
      <c r="D2213" s="3" t="str">
        <f>IFERROR(__xludf.DUMMYFUNCTION("GOOGLETRANSLATE(B2213,""en"",""hy"")"),"Էրիկ Նորթմանը մտնում է True Blood հեռուստաշոուի առաջին սեզոնի առաջին դրվագում։")</f>
        <v>Էրիկ Նորթմանը մտնում է True Blood հեռուստաշոուի առաջին սեզոնի առաջին դրվագում։</v>
      </c>
    </row>
    <row r="2214">
      <c r="A2214" s="1" t="s">
        <v>4381</v>
      </c>
      <c r="B2214" s="2" t="s">
        <v>4382</v>
      </c>
      <c r="C2214" s="3" t="str">
        <f>IFERROR(__xludf.DUMMYFUNCTION("GOOGLETRANSLATE(A2214,""en"",""hy"")"),"ինչո՞վ էր հայտնի Էլիջա Մքքոյը:")</f>
        <v>ինչո՞վ էր հայտնի Էլիջա Մքքոյը:</v>
      </c>
      <c r="D2214" s="3" t="str">
        <f>IFERROR(__xludf.DUMMYFUNCTION("GOOGLETRANSLATE(B2214,""en"",""hy"")"),"Էլայջա Մակքոյը հայտնի էր լոկոմոտիվների և մեքենաների համար ինքնաքսելու մեխանիզմի հայտնագործմամբ։")</f>
        <v>Էլայջա Մակքոյը հայտնի էր լոկոմոտիվների և մեքենաների համար ինքնաքսելու մեխանիզմի հայտնագործմամբ։</v>
      </c>
    </row>
    <row r="2215">
      <c r="A2215" s="1" t="s">
        <v>4383</v>
      </c>
      <c r="B2215" s="2" t="s">
        <v>4384</v>
      </c>
      <c r="C2215" s="3" t="str">
        <f>IFERROR(__xludf.DUMMYFUNCTION("GOOGLETRANSLATE(A2215,""en"",""hy"")"),"ո՞ւմ համար է կռվել Ջոն Փոլ Ջոնսը:")</f>
        <v>ո՞ւմ համար է կռվել Ջոն Փոլ Ջոնսը:</v>
      </c>
      <c r="D2215" s="3" t="str">
        <f>IFERROR(__xludf.DUMMYFUNCTION("GOOGLETRANSLATE(B2215,""en"",""hy"")"),"Ջոն Փոլ Ջոնսը կռվել է Միացյալ Նահանգների համար ամերիկյան հեղափոխական պատերազմի ժամանակ։")</f>
        <v>Ջոն Փոլ Ջոնսը կռվել է Միացյալ Նահանգների համար ամերիկյան հեղափոխական պատերազմի ժամանակ։</v>
      </c>
    </row>
    <row r="2216">
      <c r="A2216" s="1" t="s">
        <v>4385</v>
      </c>
      <c r="B2216" s="2" t="s">
        <v>4386</v>
      </c>
      <c r="C2216" s="3" t="str">
        <f>IFERROR(__xludf.DUMMYFUNCTION("GOOGLETRANSLATE(A2216,""en"",""hy"")"),"որտեղից է սկիզբ առնում Հադսոն գետը")</f>
        <v>որտեղից է սկիզբ առնում Հադսոն գետը</v>
      </c>
      <c r="D2216" s="3" t="str">
        <f>IFERROR(__xludf.DUMMYFUNCTION("GOOGLETRANSLATE(B2216,""en"",""hy"")"),"Հադսոն գետը սկիզբ է առնում Նյու Յորք նահանգի Ադիրոնդակ լեռներից:")</f>
        <v>Հադսոն գետը սկիզբ է առնում Նյու Յորք նահանգի Ադիրոնդակ լեռներից:</v>
      </c>
    </row>
    <row r="2217">
      <c r="A2217" s="1" t="s">
        <v>4387</v>
      </c>
      <c r="B2217" s="2" t="s">
        <v>4388</v>
      </c>
      <c r="C2217" s="3" t="str">
        <f>IFERROR(__xludf.DUMMYFUNCTION("GOOGLETRANSLATE(A2217,""en"",""hy"")"),"որտեղ է ծնվել և մեծացել Բրեդ Փեյսլին:")</f>
        <v>որտեղ է ծնվել և մեծացել Բրեդ Փեյսլին:</v>
      </c>
      <c r="D2217" s="3" t="str">
        <f>IFERROR(__xludf.DUMMYFUNCTION("GOOGLETRANSLATE(B2217,""en"",""hy"")"),"Բրեդ Փեյսլին ծնվել և մեծացել է Գլեն Դեյլում, Արևմտյան Վիրջինիա:")</f>
        <v>Բրեդ Փեյսլին ծնվել և մեծացել է Գլեն Դեյլում, Արևմտյան Վիրջինիա:</v>
      </c>
    </row>
    <row r="2218">
      <c r="A2218" s="1" t="s">
        <v>4389</v>
      </c>
      <c r="B2218" s="2" t="s">
        <v>4390</v>
      </c>
      <c r="C2218" s="3" t="str">
        <f>IFERROR(__xludf.DUMMYFUNCTION("GOOGLETRANSLATE(A2218,""en"",""hy"")"),"ինչո՞վ է հայտնի Շառլոտա Հյուսիսային Կարոլինան:")</f>
        <v>ինչո՞վ է հայտնի Շառլոտա Հյուսիսային Կարոլինան:</v>
      </c>
      <c r="D2218" s="3" t="str">
        <f>IFERROR(__xludf.DUMMYFUNCTION("GOOGLETRANSLATE(B2218,""en"",""hy"")"),"Հյուսիսային Կարոլինա նահանգի Շառլոտը հայտնի է որպես խոշոր ֆինանսական կենտրոն և երկրորդ ամենամեծ բանկային կենտրոնը Միացյալ Նահանգներում, ինչպես նաև հանդիսանում է NASCAR Փառքի սրահի տունը:")</f>
        <v>Հյուսիսային Կարոլինա նահանգի Շառլոտը հայտնի է որպես խոշոր ֆինանսական կենտրոն և երկրորդ ամենամեծ բանկային կենտրոնը Միացյալ Նահանգներում, ինչպես նաև հանդիսանում է NASCAR Փառքի սրահի տունը:</v>
      </c>
    </row>
    <row r="2219">
      <c r="A2219" s="1" t="s">
        <v>4391</v>
      </c>
      <c r="B2219" s="2" t="s">
        <v>4392</v>
      </c>
      <c r="C2219" s="3" t="str">
        <f>IFERROR(__xludf.DUMMYFUNCTION("GOOGLETRANSLATE(A2219,""en"",""hy"")"),"որտեղ է Գլաստոնբերի Կոնեկտիկուտը:")</f>
        <v>որտեղ է Գլաստոնբերի Կոնեկտիկուտը:</v>
      </c>
      <c r="D2219" s="3" t="str">
        <f>IFERROR(__xludf.DUMMYFUNCTION("GOOGLETRANSLATE(B2219,""en"",""hy"")"),"Glastonbury, Կոնեկտիկուտ գտնվում է Միացյալ Նահանգներում.")</f>
        <v>Glastonbury, Կոնեկտիկուտ գտնվում է Միացյալ Նահանգներում.</v>
      </c>
    </row>
    <row r="2220">
      <c r="A2220" s="1" t="s">
        <v>4393</v>
      </c>
      <c r="B2220" s="2" t="s">
        <v>4394</v>
      </c>
      <c r="C2220" s="3" t="str">
        <f>IFERROR(__xludf.DUMMYFUNCTION("GOOGLETRANSLATE(A2220,""en"",""hy"")"),"Ո՞րն է Ջորջ Վաշինգթոնի հայրենի քաղաքը:")</f>
        <v>Ո՞րն է Ջորջ Վաշինգթոնի հայրենի քաղաքը:</v>
      </c>
      <c r="D2220" s="3" t="str">
        <f>IFERROR(__xludf.DUMMYFUNCTION("GOOGLETRANSLATE(B2220,""en"",""hy"")"),"Ջորջ Վաշինգտոնի հայրենի քաղաքը Ֆրեդերիկսբուրգն է, Վիրջինիա:")</f>
        <v>Ջորջ Վաշինգտոնի հայրենի քաղաքը Ֆրեդերիկսբուրգն է, Վիրջինիա:</v>
      </c>
    </row>
    <row r="2221">
      <c r="A2221" s="1" t="s">
        <v>4395</v>
      </c>
      <c r="B2221" s="2" t="s">
        <v>4396</v>
      </c>
      <c r="C2221" s="3" t="str">
        <f>IFERROR(__xludf.DUMMYFUNCTION("GOOGLETRANSLATE(A2221,""en"",""hy"")"),"ինչ է Արլինգթոն Տեխասի փոստային կոդը:")</f>
        <v>ինչ է Արլինգթոն Տեխասի փոստային կոդը:</v>
      </c>
      <c r="D2221" s="3" t="str">
        <f>IFERROR(__xludf.DUMMYFUNCTION("GOOGLETRANSLATE(B2221,""en"",""hy"")"),"Արլինգթոն, Տեխասի փոստային կոդը 76010")</f>
        <v>Արլինգթոն, Տեխասի փոստային կոդը 76010</v>
      </c>
    </row>
    <row r="2222">
      <c r="A2222" s="1" t="s">
        <v>4397</v>
      </c>
      <c r="B2222" s="2" t="s">
        <v>4398</v>
      </c>
      <c r="C2222" s="3" t="str">
        <f>IFERROR(__xludf.DUMMYFUNCTION("GOOGLETRANSLATE(A2222,""en"",""hy"")"),"Ո՞ր տարիներին են յանկիները հաղթել առաջնություններում:")</f>
        <v>Ո՞ր տարիներին են յանկիները հաղթել առաջնություններում:</v>
      </c>
      <c r="D2222" s="3" t="str">
        <f>IFERROR(__xludf.DUMMYFUNCTION("GOOGLETRANSLATE(B2222,""en"",""hy"")"),"«Նյու Յորք Յանկիները» չեմպիոններ են դարձել մի քանի տարիների ընթացքում, այդ թվում՝ 1923, 1927, 1928, 1932, 1936, 1937, 1938, 1939, 1941, 1943, 1947, 1949, 1950, 1950, 1950 , 1961 թ. 1962, 1977, 1978, 1996, 1998, 1999, 2000, 2009 թթ.")</f>
        <v>«Նյու Յորք Յանկիները» չեմպիոններ են դարձել մի քանի տարիների ընթացքում, այդ թվում՝ 1923, 1927, 1928, 1932, 1936, 1937, 1938, 1939, 1941, 1943, 1947, 1949, 1950, 1950, 1950 , 1961 թ. 1962, 1977, 1978, 1996, 1998, 1999, 2000, 2009 թթ.</v>
      </c>
    </row>
    <row r="2223">
      <c r="A2223" s="1" t="s">
        <v>4399</v>
      </c>
      <c r="B2223" s="2" t="s">
        <v>4400</v>
      </c>
      <c r="C2223" s="3" t="str">
        <f>IFERROR(__xludf.DUMMYFUNCTION("GOOGLETRANSLATE(A2223,""en"",""hy"")"),"Ի՞նչ կերպարներ է խաղում Սեթ Մակֆարլեյնը ընտանեկան տղայի մեջ:")</f>
        <v>Ի՞նչ կերպարներ է խաղում Սեթ Մակֆարլեյնը ընտանեկան տղայի մեջ:</v>
      </c>
      <c r="D2223" s="3" t="str">
        <f>IFERROR(__xludf.DUMMYFUNCTION("GOOGLETRANSLATE(B2223,""en"",""hy"")"),"Սեթ Մաքֆարլեյնը Family Guy-ում մարմնավորում է Փիթեր Գրիֆինի, Սթիվի Գրիֆինի, Բրայան Գրիֆինի և Գլեն Քուագմիրի կերպարներին։")</f>
        <v>Սեթ Մաքֆարլեյնը Family Guy-ում մարմնավորում է Փիթեր Գրիֆինի, Սթիվի Գրիֆինի, Բրայան Գրիֆինի և Գլեն Քուագմիրի կերպարներին։</v>
      </c>
    </row>
    <row r="2224">
      <c r="A2224" s="1" t="s">
        <v>4401</v>
      </c>
      <c r="B2224" s="2" t="s">
        <v>4402</v>
      </c>
      <c r="C2224" s="3" t="str">
        <f>IFERROR(__xludf.DUMMYFUNCTION("GOOGLETRANSLATE(A2224,""en"",""hy"")"),"Ո՞ր օդանավակայանն է թռչում Մայամի:")</f>
        <v>Ո՞ր օդանավակայանն է թռչում Մայամի:</v>
      </c>
      <c r="D2224" s="3" t="str">
        <f>IFERROR(__xludf.DUMMYFUNCTION("GOOGLETRANSLATE(B2224,""en"",""hy"")"),"Մայամիի միջազգային օդանավակայանը (MIA) Մայամի թռչող հիմնական օդանավակայանն է:")</f>
        <v>Մայամիի միջազգային օդանավակայանը (MIA) Մայամի թռչող հիմնական օդանավակայանն է:</v>
      </c>
    </row>
    <row r="2225">
      <c r="A2225" s="1" t="s">
        <v>4403</v>
      </c>
      <c r="B2225" s="2" t="s">
        <v>4404</v>
      </c>
      <c r="C2225" s="3" t="str">
        <f>IFERROR(__xludf.DUMMYFUNCTION("GOOGLETRANSLATE(A2225,""en"",""hy"")"),"Ո՞ր տարում է Սթիվ Նեշը խաղացել Մավերիկսում:")</f>
        <v>Ո՞ր տարում է Սթիվ Նեշը խաղացել Մավերիկսում:</v>
      </c>
      <c r="D2225" s="3" t="str">
        <f>IFERROR(__xludf.DUMMYFUNCTION("GOOGLETRANSLATE(B2225,""en"",""hy"")"),"Սթիվ Նեշը հանդես է եկել «Մավերիքսում» 1998-ից 2004 թվականներին:")</f>
        <v>Սթիվ Նեշը հանդես է եկել «Մավերիքսում» 1998-ից 2004 թվականներին:</v>
      </c>
    </row>
    <row r="2226">
      <c r="A2226" s="1" t="s">
        <v>4405</v>
      </c>
      <c r="B2226" s="2" t="s">
        <v>4406</v>
      </c>
      <c r="C2226" s="3" t="str">
        <f>IFERROR(__xludf.DUMMYFUNCTION("GOOGLETRANSLATE(A2226,""en"",""hy"")"),"որտեղ է օգտագործվում արաբերենը")</f>
        <v>որտեղ է օգտագործվում արաբերենը</v>
      </c>
      <c r="D2226" s="3" t="str">
        <f>IFERROR(__xludf.DUMMYFUNCTION("GOOGLETRANSLATE(B2226,""en"",""hy"")"),"Արաբերենը հիմնականում օգտագործվում է արաբական աշխարհում, որը ներառում է Մերձավոր Արևելքի և Հյուսիսային Աֆրիկայի երկրները:")</f>
        <v>Արաբերենը հիմնականում օգտագործվում է արաբական աշխարհում, որը ներառում է Մերձավոր Արևելքի և Հյուսիսային Աֆրիկայի երկրները:</v>
      </c>
    </row>
    <row r="2227">
      <c r="A2227" s="1" t="s">
        <v>4407</v>
      </c>
      <c r="B2227" s="2" t="s">
        <v>4408</v>
      </c>
      <c r="C2227" s="3" t="str">
        <f>IFERROR(__xludf.DUMMYFUNCTION("GOOGLETRANSLATE(A2227,""en"",""hy"")"),"ի՞նչ գիրք է գրել Չարլզ Դարվինը էվոլյուցիայի մասին:")</f>
        <v>ի՞նչ գիրք է գրել Չարլզ Դարվինը էվոլյուցիայի մասին:</v>
      </c>
      <c r="D2227" s="3" t="str">
        <f>IFERROR(__xludf.DUMMYFUNCTION("GOOGLETRANSLATE(B2227,""en"",""hy"")"),"«Տեսակների ծագումը»")</f>
        <v>«Տեսակների ծագումը»</v>
      </c>
    </row>
    <row r="2228">
      <c r="A2228" s="1" t="s">
        <v>4409</v>
      </c>
      <c r="B2228" s="2" t="s">
        <v>4410</v>
      </c>
      <c r="C2228" s="3" t="str">
        <f>IFERROR(__xludf.DUMMYFUNCTION("GOOGLETRANSLATE(A2228,""en"",""hy"")"),"որո՞նք են Թեյլոր Սվիֆթի բոլոր երգերը:")</f>
        <v>որո՞նք են Թեյլոր Սվիֆթի բոլոր երգերը:</v>
      </c>
      <c r="D2228" s="3" t="str">
        <f>IFERROR(__xludf.DUMMYFUNCTION("GOOGLETRANSLATE(B2228,""en"",""hy"")"),"Թեյլոր Սվիֆթի որոշ հայտնի երգերից են՝ «Love Story», «You Belong with Me», «Shake It Off», «Bad Blood» և «Blank Space»:")</f>
        <v>Թեյլոր Սվիֆթի որոշ հայտնի երգերից են՝ «Love Story», «You Belong with Me», «Shake It Off», «Bad Blood» և «Blank Space»:</v>
      </c>
    </row>
    <row r="2229">
      <c r="A2229" s="1" t="s">
        <v>4411</v>
      </c>
      <c r="B2229" s="2" t="s">
        <v>4412</v>
      </c>
      <c r="C2229" s="3" t="str">
        <f>IFERROR(__xludf.DUMMYFUNCTION("GOOGLETRANSLATE(A2229,""en"",""hy"")"),"Ի՞նչ գործիքներ է նվագում Քեթի Փերին:")</f>
        <v>Ի՞նչ գործիքներ է նվագում Քեթի Փերին:</v>
      </c>
      <c r="D2229" s="3" t="str">
        <f>IFERROR(__xludf.DUMMYFUNCTION("GOOGLETRANSLATE(B2229,""en"",""hy"")"),"Քեթի Փերին հիմնականում երգում է և ոչ մի երաժշտական ​​գործիք չի նվագում։")</f>
        <v>Քեթի Փերին հիմնականում երգում է և ոչ մի երաժշտական ​​գործիք չի նվագում։</v>
      </c>
    </row>
    <row r="2230">
      <c r="A2230" s="1" t="s">
        <v>4413</v>
      </c>
      <c r="B2230" s="2" t="s">
        <v>4414</v>
      </c>
      <c r="C2230" s="3" t="str">
        <f>IFERROR(__xludf.DUMMYFUNCTION("GOOGLETRANSLATE(A2230,""en"",""hy"")"),"ո՞ւմ հետ էր ամուսնացած Ֆրենսիս Դրեյքը")</f>
        <v>ո՞ւմ հետ էր ամուսնացած Ֆրենսիս Դրեյքը</v>
      </c>
      <c r="D2230" s="3" t="str">
        <f>IFERROR(__xludf.DUMMYFUNCTION("GOOGLETRANSLATE(B2230,""en"",""hy"")"),"Ֆրենսիս Դրեյքն ամուսնացած էր Մերի Նյումանի հետ։")</f>
        <v>Ֆրենսիս Դրեյքն ամուսնացած էր Մերի Նյումանի հետ։</v>
      </c>
    </row>
    <row r="2231">
      <c r="A2231" s="1" t="s">
        <v>4415</v>
      </c>
      <c r="B2231" s="2" t="s">
        <v>4416</v>
      </c>
      <c r="C2231" s="3" t="str">
        <f>IFERROR(__xludf.DUMMYFUNCTION("GOOGLETRANSLATE(A2231,""en"",""hy"")"),"որտեղ էին գտնվում chickasaw հնդիկները:")</f>
        <v>որտեղ էին գտնվում chickasaw հնդիկները:</v>
      </c>
      <c r="D2231" s="3" t="str">
        <f>IFERROR(__xludf.DUMMYFUNCTION("GOOGLETRANSLATE(B2231,""en"",""hy"")"),"Chickasaw հնդկացիները հիմնականում տեղակայված էին ներկայիս Միսիսիպիում, Թենեսիում և Ալաբամայում:")</f>
        <v>Chickasaw հնդկացիները հիմնականում տեղակայված էին ներկայիս Միսիսիպիում, Թենեսիում և Ալաբամայում:</v>
      </c>
    </row>
    <row r="2232">
      <c r="A2232" s="1" t="s">
        <v>4417</v>
      </c>
      <c r="B2232" s="2" t="s">
        <v>4418</v>
      </c>
      <c r="C2232" s="3" t="str">
        <f>IFERROR(__xludf.DUMMYFUNCTION("GOOGLETRANSLATE(A2232,""en"",""hy"")"),"որտեղ է ապրում Դոն Քինգը")</f>
        <v>որտեղ է ապրում Դոն Քինգը</v>
      </c>
      <c r="D2232" s="3" t="str">
        <f>IFERROR(__xludf.DUMMYFUNCTION("GOOGLETRANSLATE(B2232,""en"",""hy"")"),"Դոն Քինգի ներկայիս նստավայրը գտնվում է Ֆլորիդայի Բոկա Ռատոն քաղաքում:")</f>
        <v>Դոն Քինգի ներկայիս նստավայրը գտնվում է Ֆլորիդայի Բոկա Ռատոն քաղաքում:</v>
      </c>
    </row>
    <row r="2233">
      <c r="A2233" s="1" t="s">
        <v>4419</v>
      </c>
      <c r="B2233" s="2" t="s">
        <v>4420</v>
      </c>
      <c r="C2233" s="3" t="str">
        <f>IFERROR(__xludf.DUMMYFUNCTION("GOOGLETRANSLATE(A2233,""en"",""hy"")"),"Ե՞րբ է Թոմ Բրեդին հաղթել սուպերգավաթում առաջին անգամ:")</f>
        <v>Ե՞րբ է Թոմ Բրեդին հաղթել սուպերգավաթում առաջին անգամ:</v>
      </c>
      <c r="D2233" s="3" t="str">
        <f>IFERROR(__xludf.DUMMYFUNCTION("GOOGLETRANSLATE(B2233,""en"",""hy"")"),"Թոմ Բրեյդիի առաջին հաղթանակը Super Bowl-ում եղել է 2002 թվականին:")</f>
        <v>Թոմ Բրեյդիի առաջին հաղթանակը Super Bowl-ում եղել է 2002 թվականին:</v>
      </c>
    </row>
    <row r="2234">
      <c r="A2234" s="1" t="s">
        <v>4421</v>
      </c>
      <c r="B2234" s="2" t="s">
        <v>4422</v>
      </c>
      <c r="C2234" s="3" t="str">
        <f>IFERROR(__xludf.DUMMYFUNCTION("GOOGLETRANSLATE(A2234,""en"",""hy"")"),"ում հետ ամուսնացավ Դեբորա Սամփսոնը:")</f>
        <v>ում հետ ամուսնացավ Դեբորա Սամփսոնը:</v>
      </c>
      <c r="D2234" s="3" t="str">
        <f>IFERROR(__xludf.DUMMYFUNCTION("GOOGLETRANSLATE(B2234,""en"",""hy"")"),"Դեբորա Սամփսոնն ամուսնացավ Բենջամին Գանեթի հետ։")</f>
        <v>Դեբորա Սամփսոնն ամուսնացավ Բենջամին Գանեթի հետ։</v>
      </c>
    </row>
    <row r="2235">
      <c r="A2235" s="1" t="s">
        <v>4423</v>
      </c>
      <c r="B2235" s="2" t="s">
        <v>4424</v>
      </c>
      <c r="C2235" s="3" t="str">
        <f>IFERROR(__xludf.DUMMYFUNCTION("GOOGLETRANSLATE(A2235,""en"",""hy"")"),"ինչպիսի՞ կառավարման ձև ունի Մեքսիկան")</f>
        <v>ինչպիսի՞ կառավարման ձև ունի Մեքսիկան</v>
      </c>
      <c r="D2235" s="3" t="str">
        <f>IFERROR(__xludf.DUMMYFUNCTION("GOOGLETRANSLATE(B2235,""en"",""hy"")"),"Մեքսիկան ունի դաշնային նախագահական սահմանադրական հանրապետություն։")</f>
        <v>Մեքսիկան ունի դաշնային նախագահական սահմանադրական հանրապետություն։</v>
      </c>
    </row>
    <row r="2236">
      <c r="A2236" s="1" t="s">
        <v>4425</v>
      </c>
      <c r="B2236" s="2" t="s">
        <v>4426</v>
      </c>
      <c r="C2236" s="3" t="str">
        <f>IFERROR(__xludf.DUMMYFUNCTION("GOOGLETRANSLATE(A2236,""en"",""hy"")"),"ով է խաղացել միկի մեր կյանքի օրերին:")</f>
        <v>ով է խաղացել միկի մեր կյանքի օրերին:</v>
      </c>
      <c r="D2236" s="3" t="str">
        <f>IFERROR(__xludf.DUMMYFUNCTION("GOOGLETRANSLATE(B2236,""en"",""hy"")"),"Ջոն Էնոս III-ը խաղացել է Միկի Հորթոնի դերը «Մեր կյանքի օրերում»:")</f>
        <v>Ջոն Էնոս III-ը խաղացել է Միկի Հորթոնի դերը «Մեր կյանքի օրերում»:</v>
      </c>
    </row>
    <row r="2237">
      <c r="A2237" s="1" t="s">
        <v>4427</v>
      </c>
      <c r="B2237" s="2" t="s">
        <v>4428</v>
      </c>
      <c r="C2237" s="3" t="str">
        <f>IFERROR(__xludf.DUMMYFUNCTION("GOOGLETRANSLATE(A2237,""en"",""hy"")"),"ո՞ր ֆիլմերում է նկարահանվում Նիկոլ Քիդմանը")</f>
        <v>ո՞ր ֆիլմերում է նկարահանվում Նիկոլ Քիդմանը</v>
      </c>
      <c r="D2237" s="3" t="str">
        <f>IFERROR(__xludf.DUMMYFUNCTION("GOOGLETRANSLATE(B2237,""en"",""hy"")"),"Նիկոլ Քիդմանը նկարահանվել է այնպիսի ֆիլմերում, ինչպիսիք են «Moulen Rouge!», «The Hours» և «Eyes Wide Shut»:")</f>
        <v>Նիկոլ Քիդմանը նկարահանվել է այնպիսի ֆիլմերում, ինչպիսիք են «Moulen Rouge!», «The Hours» և «Eyes Wide Shut»:</v>
      </c>
    </row>
    <row r="2238">
      <c r="A2238" s="1" t="s">
        <v>4429</v>
      </c>
      <c r="B2238" s="2" t="s">
        <v>4430</v>
      </c>
      <c r="C2238" s="3" t="str">
        <f>IFERROR(__xludf.DUMMYFUNCTION("GOOGLETRANSLATE(A2238,""en"",""hy"")"),"ով է եղել Մայքլ Ջեքսոնի առաջին ընկերուհին:")</f>
        <v>ով է եղել Մայքլ Ջեքսոնի առաջին ընկերուհին:</v>
      </c>
      <c r="D2238" s="3" t="str">
        <f>IFERROR(__xludf.DUMMYFUNCTION("GOOGLETRANSLATE(B2238,""en"",""hy"")"),"Մայքլ Ջեքսոնի առաջին ընկերուհին Թաթում Օ'Նիլն էր։")</f>
        <v>Մայքլ Ջեքսոնի առաջին ընկերուհին Թաթում Օ'Նիլն էր։</v>
      </c>
    </row>
    <row r="2239">
      <c r="A2239" s="1" t="s">
        <v>4431</v>
      </c>
      <c r="B2239" s="2" t="s">
        <v>4432</v>
      </c>
      <c r="C2239" s="3" t="str">
        <f>IFERROR(__xludf.DUMMYFUNCTION("GOOGLETRANSLATE(A2239,""en"",""hy"")"),"որտեղ մնալ Սան Ֆրանցիսկոյում:")</f>
        <v>որտեղ մնալ Սան Ֆրանցիսկոյում:</v>
      </c>
      <c r="D2239" s="3" t="str">
        <f>IFERROR(__xludf.DUMMYFUNCTION("GOOGLETRANSLATE(B2239,""en"",""hy"")"),"Սան Ֆրանցիսկոյում մնալու առաջարկվող որոշ տարածքներ ներառում են Union Square-ը, Fisherman's Wharf-ը և Mission District-ը:")</f>
        <v>Սան Ֆրանցիսկոյում մնալու առաջարկվող որոշ տարածքներ ներառում են Union Square-ը, Fisherman's Wharf-ը և Mission District-ը:</v>
      </c>
    </row>
    <row r="2240">
      <c r="A2240" s="1" t="s">
        <v>4433</v>
      </c>
      <c r="B2240" s="2" t="s">
        <v>4434</v>
      </c>
      <c r="C2240" s="3" t="str">
        <f>IFERROR(__xludf.DUMMYFUNCTION("GOOGLETRANSLATE(A2240,""en"",""hy"")"),"Ո՞ր թիմում է խաղում Ռեջի Բուշը 2011թ.")</f>
        <v>Ո՞ր թիմում է խաղում Ռեջի Բուշը 2011թ.</v>
      </c>
      <c r="D2240" s="3" t="str">
        <f>IFERROR(__xludf.DUMMYFUNCTION("GOOGLETRANSLATE(B2240,""en"",""hy"")"),"Ռեջի Բուշը 2011 թվականին խաղացել է «Մայամի Դելֆինսում»:")</f>
        <v>Ռեջի Բուշը 2011 թվականին խաղացել է «Մայամի Դելֆինսում»:</v>
      </c>
    </row>
    <row r="2241">
      <c r="A2241" s="1" t="s">
        <v>4435</v>
      </c>
      <c r="B2241" s="2" t="s">
        <v>4436</v>
      </c>
      <c r="C2241" s="3" t="str">
        <f>IFERROR(__xludf.DUMMYFUNCTION("GOOGLETRANSLATE(A2241,""en"",""hy"")"),"որտեղ է մեծացել Քեյթ Շոպենը")</f>
        <v>որտեղ է մեծացել Քեյթ Շոպենը</v>
      </c>
      <c r="D2241" s="3" t="str">
        <f>IFERROR(__xludf.DUMMYFUNCTION("GOOGLETRANSLATE(B2241,""en"",""hy"")"),"Քեյթ Շոպենը մեծացել է Միսսուրի նահանգի Սենթ Լուիս քաղաքում:")</f>
        <v>Քեյթ Շոպենը մեծացել է Միսսուրի նահանգի Սենթ Լուիս քաղաքում:</v>
      </c>
    </row>
    <row r="2242">
      <c r="A2242" s="1" t="s">
        <v>4437</v>
      </c>
      <c r="B2242" s="2" t="s">
        <v>4438</v>
      </c>
      <c r="C2242" s="3" t="str">
        <f>IFERROR(__xludf.DUMMYFUNCTION("GOOGLETRANSLATE(A2242,""en"",""hy"")"),"ով է Դոմինիկյան Հանրապետության ներկայիս նախագահը 2011 թ.")</f>
        <v>ով է Դոմինիկյան Հանրապետության ներկայիս նախագահը 2011 թ.</v>
      </c>
      <c r="D2242" s="3" t="str">
        <f>IFERROR(__xludf.DUMMYFUNCTION("GOOGLETRANSLATE(B2242,""en"",""hy"")"),"2011 թվականին Դոմինիկյան Հանրապետության ներկայիս նախագահը Լեոնել Ֆերնանդեսն էր։")</f>
        <v>2011 թվականին Դոմինիկյան Հանրապետության ներկայիս նախագահը Լեոնել Ֆերնանդեսն էր։</v>
      </c>
    </row>
    <row r="2243">
      <c r="A2243" s="1" t="s">
        <v>4439</v>
      </c>
      <c r="B2243" s="2" t="s">
        <v>4440</v>
      </c>
      <c r="C2243" s="3" t="str">
        <f>IFERROR(__xludf.DUMMYFUNCTION("GOOGLETRANSLATE(A2243,""en"",""hy"")"),"ի՞նչ դրամական համակարգ է օգտագործում Հունաստանը")</f>
        <v>ի՞նչ դրամական համակարգ է օգտագործում Հունաստանը</v>
      </c>
      <c r="D2243" s="3" t="str">
        <f>IFERROR(__xludf.DUMMYFUNCTION("GOOGLETRANSLATE(B2243,""en"",""hy"")"),"Հունաստանը որպես արժույթ օգտագործում է եվրոն։")</f>
        <v>Հունաստանը որպես արժույթ օգտագործում է եվրոն։</v>
      </c>
    </row>
    <row r="2244">
      <c r="A2244" s="1" t="s">
        <v>4441</v>
      </c>
      <c r="B2244" s="2" t="s">
        <v>4442</v>
      </c>
      <c r="C2244" s="3" t="str">
        <f>IFERROR(__xludf.DUMMYFUNCTION("GOOGLETRANSLATE(A2244,""en"",""hy"")"),"ով խաղաց obi wan kenobi ուրվական սպառնալիքի մեջ:")</f>
        <v>ով խաղաց obi wan kenobi ուրվական սպառնալիքի մեջ:</v>
      </c>
      <c r="D2244" s="3" t="str">
        <f>IFERROR(__xludf.DUMMYFUNCTION("GOOGLETRANSLATE(B2244,""en"",""hy"")"),"Յուեն Մակգրեգոր.")</f>
        <v>Յուեն Մակգրեգոր.</v>
      </c>
    </row>
    <row r="2245">
      <c r="A2245" s="1" t="s">
        <v>4443</v>
      </c>
      <c r="B2245" s="2" t="s">
        <v>4444</v>
      </c>
      <c r="C2245" s="3" t="str">
        <f>IFERROR(__xludf.DUMMYFUNCTION("GOOGLETRANSLATE(A2245,""en"",""hy"")"),"ինչ է թերթը Ֆենիքսում:")</f>
        <v>ինչ է թերթը Ֆենիքսում:</v>
      </c>
      <c r="D2245" s="3" t="str">
        <f>IFERROR(__xludf.DUMMYFUNCTION("GOOGLETRANSLATE(B2245,""en"",""hy"")"),"Ֆենիքսում թերթը կոչվում է The Arizona Republic:")</f>
        <v>Ֆենիքսում թերթը կոչվում է The Arizona Republic:</v>
      </c>
    </row>
    <row r="2246">
      <c r="A2246" s="1" t="s">
        <v>4445</v>
      </c>
      <c r="B2246" s="2" t="s">
        <v>4446</v>
      </c>
      <c r="C2246" s="3" t="str">
        <f>IFERROR(__xludf.DUMMYFUNCTION("GOOGLETRANSLATE(A2246,""en"",""hy"")"),"որտեղից է Լյուկ Բրայանը")</f>
        <v>որտեղից է Լյուկ Բրայանը</v>
      </c>
      <c r="D2246" s="3" t="str">
        <f>IFERROR(__xludf.DUMMYFUNCTION("GOOGLETRANSLATE(B2246,""en"",""hy"")"),"Լյուկ Բրայանը Վրաստանի Լիսբուրգ քաղաքից է:")</f>
        <v>Լյուկ Բրայանը Վրաստանի Լիսբուրգ քաղաքից է:</v>
      </c>
    </row>
    <row r="2247">
      <c r="A2247" s="1" t="s">
        <v>4447</v>
      </c>
      <c r="B2247" s="2" t="s">
        <v>4448</v>
      </c>
      <c r="C2247" s="3" t="str">
        <f>IFERROR(__xludf.DUMMYFUNCTION("GOOGLETRANSLATE(A2247,""en"",""hy"")"),"ով է հորինել ֆեյսբուքի վիքիպեդիան:")</f>
        <v>ով է հորինել ֆեյսբուքի վիքիպեդիան:</v>
      </c>
      <c r="D2247" s="3" t="str">
        <f>IFERROR(__xludf.DUMMYFUNCTION("GOOGLETRANSLATE(B2247,""en"",""hy"")"),"Մարկ Ցուկերբերգը")</f>
        <v>Մարկ Ցուկերբերգը</v>
      </c>
    </row>
    <row r="2248">
      <c r="A2248" s="1" t="s">
        <v>4449</v>
      </c>
      <c r="B2248" s="2" t="s">
        <v>1970</v>
      </c>
      <c r="C2248" s="3" t="str">
        <f>IFERROR(__xludf.DUMMYFUNCTION("GOOGLETRANSLATE(A2248,""en"",""hy"")"),"Ո՞ր երկիրն է շրջապատում Իսպանիան")</f>
        <v>Ո՞ր երկիրն է շրջապատում Իսպանիան</v>
      </c>
      <c r="D2248" s="3" t="str">
        <f>IFERROR(__xludf.DUMMYFUNCTION("GOOGLETRANSLATE(B2248,""en"",""hy"")"),"Պորտուգալիա.")</f>
        <v>Պորտուգալիա.</v>
      </c>
    </row>
    <row r="2249">
      <c r="A2249" s="1" t="s">
        <v>4450</v>
      </c>
      <c r="B2249" s="2" t="s">
        <v>4451</v>
      </c>
      <c r="C2249" s="3" t="str">
        <f>IFERROR(__xludf.DUMMYFUNCTION("GOOGLETRANSLATE(A2249,""en"",""hy"")"),"Ե՞րբ և որտեղ է թաղվել Ուիլյամ Շեքսպիրը:")</f>
        <v>Ե՞րբ և որտեղ է թաղվել Ուիլյամ Շեքսպիրը:</v>
      </c>
      <c r="D2249" s="3" t="str">
        <f>IFERROR(__xludf.DUMMYFUNCTION("GOOGLETRANSLATE(B2249,""en"",""hy"")"),"Ուիլյամ Շեքսպիրը թաղվել է 1616 թվականի ապրիլի 25-ին Անգլիայի Ստրատֆորդ-օփոն-Էվոն քաղաքի Սուրբ Երրորդություն եկեղեցում:")</f>
        <v>Ուիլյամ Շեքսպիրը թաղվել է 1616 թվականի ապրիլի 25-ին Անգլիայի Ստրատֆորդ-օփոն-Էվոն քաղաքի Սուրբ Երրորդություն եկեղեցում:</v>
      </c>
    </row>
    <row r="2250">
      <c r="A2250" s="1" t="s">
        <v>4452</v>
      </c>
      <c r="B2250" s="2" t="s">
        <v>4453</v>
      </c>
      <c r="C2250" s="3" t="str">
        <f>IFERROR(__xludf.DUMMYFUNCTION("GOOGLETRANSLATE(A2250,""en"",""hy"")"),"Թենիսի ինչ տեսակի ռակետ է օգտագործում Ջոն Մսենրոն:")</f>
        <v>Թենիսի ինչ տեսակի ռակետ է օգտագործում Ջոն Մսենրոն:</v>
      </c>
      <c r="D2250" s="3" t="str">
        <f>IFERROR(__xludf.DUMMYFUNCTION("GOOGLETRANSLATE(B2250,""en"",""hy"")"),"Ջոն ՄաքԷնրոն ներկայումս օգտագործում է Wilson Pro Staff RF97 Autograph թենիսի ռակետ:")</f>
        <v>Ջոն ՄաքԷնրոն ներկայումս օգտագործում է Wilson Pro Staff RF97 Autograph թենիսի ռակետ:</v>
      </c>
    </row>
    <row r="2251">
      <c r="A2251" s="1" t="s">
        <v>4454</v>
      </c>
      <c r="B2251" s="2" t="s">
        <v>4455</v>
      </c>
      <c r="C2251" s="3" t="str">
        <f>IFERROR(__xludf.DUMMYFUNCTION("GOOGLETRANSLATE(A2251,""en"",""hy"")"),"որտեղ է մեծացել կապիտան Ջեյմս խոհարարը:")</f>
        <v>որտեղ է մեծացել կապիտան Ջեյմս խոհարարը:</v>
      </c>
      <c r="D2251" s="3" t="str">
        <f>IFERROR(__xludf.DUMMYFUNCTION("GOOGLETRANSLATE(B2251,""en"",""hy"")"),"Կապիտան Ջեյմս Կուկը մեծացել է Անգլիայում, մասնավորապես Յորքշիրի Մարտոն գյուղում։")</f>
        <v>Կապիտան Ջեյմս Կուկը մեծացել է Անգլիայում, մասնավորապես Յորքշիրի Մարտոն գյուղում։</v>
      </c>
    </row>
    <row r="2252">
      <c r="A2252" s="1" t="s">
        <v>4456</v>
      </c>
      <c r="B2252" s="2" t="s">
        <v>4457</v>
      </c>
      <c r="C2252" s="3" t="str">
        <f>IFERROR(__xludf.DUMMYFUNCTION("GOOGLETRANSLATE(A2252,""en"",""hy"")"),"որտեղ է գտնվում sony-ի գլխավոր գրասենյակը")</f>
        <v>որտեղ է գտնվում sony-ի գլխավոր գրասենյակը</v>
      </c>
      <c r="D2252" s="3" t="str">
        <f>IFERROR(__xludf.DUMMYFUNCTION("GOOGLETRANSLATE(B2252,""en"",""hy"")"),"Տոկիո, Ճապոնիա.")</f>
        <v>Տոկիո, Ճապոնիա.</v>
      </c>
    </row>
    <row r="2253">
      <c r="A2253" s="1" t="s">
        <v>4458</v>
      </c>
      <c r="B2253" s="2" t="s">
        <v>4459</v>
      </c>
      <c r="C2253" s="3" t="str">
        <f>IFERROR(__xludf.DUMMYFUNCTION("GOOGLETRANSLATE(A2253,""en"",""hy"")"),"Ո՞վ էր հագել Դարտ Վեյդերի կոստյումը՝ ի վրեժ լուծելու սիթից:")</f>
        <v>Ո՞վ էր հագել Դարտ Վեյդերի կոստյումը՝ ի վրեժ լուծելու սիթից:</v>
      </c>
      <c r="D2253" s="3" t="str">
        <f>IFERROR(__xludf.DUMMYFUNCTION("GOOGLETRANSLATE(B2253,""en"",""hy"")"),"Հայդեն Քրիստենսեն.")</f>
        <v>Հայդեն Քրիստենսեն.</v>
      </c>
    </row>
    <row r="2254">
      <c r="A2254" s="1" t="s">
        <v>4460</v>
      </c>
      <c r="B2254" s="2" t="s">
        <v>4461</v>
      </c>
      <c r="C2254" s="3" t="str">
        <f>IFERROR(__xludf.DUMMYFUNCTION("GOOGLETRANSLATE(A2254,""en"",""hy"")"),"Ո՞ր ֆիլմերում է Սքարլեթ Յոհանսոնը")</f>
        <v>Ո՞ր ֆիլմերում է Սքարլեթ Յոհանսոնը</v>
      </c>
      <c r="D2254" s="3" t="str">
        <f>IFERROR(__xludf.DUMMYFUNCTION("GOOGLETRANSLATE(B2254,""en"",""hy"")"),"Սքարլեթ Յոհանսոնը նկարահանվել է այնպիսի ֆիլմերում, ինչպիսիք են «Կորած թարգմանության մեջ», «Վրիժառուները», «Լյուսի» և «Ամուսնական պատմություն»:")</f>
        <v>Սքարլեթ Յոհանսոնը նկարահանվել է այնպիսի ֆիլմերում, ինչպիսիք են «Կորած թարգմանության մեջ», «Վրիժառուները», «Լյուսի» և «Ամուսնական պատմություն»:</v>
      </c>
    </row>
    <row r="2255">
      <c r="A2255" s="1" t="s">
        <v>4462</v>
      </c>
      <c r="B2255" s="2" t="s">
        <v>4463</v>
      </c>
      <c r="C2255" s="3" t="str">
        <f>IFERROR(__xludf.DUMMYFUNCTION("GOOGLETRANSLATE(A2255,""en"",""hy"")"),"որտեղից է Ալեքս Ռոդրիգեսը")</f>
        <v>որտեղից է Ալեքս Ռոդրիգեսը</v>
      </c>
      <c r="D2255" s="3" t="str">
        <f>IFERROR(__xludf.DUMMYFUNCTION("GOOGLETRANSLATE(B2255,""en"",""hy"")"),"Ալեքս Ռոդրիգեսը ԱՄՆ-ից է։")</f>
        <v>Ալեքս Ռոդրիգեսը ԱՄՆ-ից է։</v>
      </c>
    </row>
    <row r="2256">
      <c r="A2256" s="1" t="s">
        <v>4464</v>
      </c>
      <c r="B2256" s="2" t="s">
        <v>4465</v>
      </c>
      <c r="C2256" s="3" t="str">
        <f>IFERROR(__xludf.DUMMYFUNCTION("GOOGLETRANSLATE(A2256,""en"",""hy"")"),"ո՞ր դպրոցում է խաղացել Մայքլ Ջորդանը:")</f>
        <v>ո՞ր դպրոցում է խաղացել Մայքլ Ջորդանը:</v>
      </c>
      <c r="D2256" s="3" t="str">
        <f>IFERROR(__xludf.DUMMYFUNCTION("GOOGLETRANSLATE(B2256,""en"",""hy"")"),"Մայքլ Ջորդանը քոլեջի բասկետբոլ է խաղացել Չապել Հիլլում գտնվող Հյուսիսային Կարոլինայի համալսարանի համար:")</f>
        <v>Մայքլ Ջորդանը քոլեջի բասկետբոլ է խաղացել Չապել Հիլլում գտնվող Հյուսիսային Կարոլինայի համալսարանի համար:</v>
      </c>
    </row>
    <row r="2257">
      <c r="A2257" s="1" t="s">
        <v>4466</v>
      </c>
      <c r="B2257" s="2" t="s">
        <v>4467</v>
      </c>
      <c r="C2257" s="3" t="str">
        <f>IFERROR(__xludf.DUMMYFUNCTION("GOOGLETRANSLATE(A2257,""en"",""hy"")"),"ո՞վ է հորինել Մորզեի կոդը:")</f>
        <v>ո՞վ է հորինել Մորզեի կոդը:</v>
      </c>
      <c r="D2257" s="3" t="str">
        <f>IFERROR(__xludf.DUMMYFUNCTION("GOOGLETRANSLATE(B2257,""en"",""hy"")"),"Սամուել Մորզը և Ալֆրեդ Վեյլը հորինել են Մորզեի կոդը:")</f>
        <v>Սամուել Մորզը և Ալֆրեդ Վեյլը հորինել են Մորզեի կոդը:</v>
      </c>
    </row>
    <row r="2258">
      <c r="A2258" s="1" t="s">
        <v>4468</v>
      </c>
      <c r="B2258" s="2" t="s">
        <v>4469</v>
      </c>
      <c r="C2258" s="3" t="str">
        <f>IFERROR(__xludf.DUMMYFUNCTION("GOOGLETRANSLATE(A2258,""en"",""hy"")"),"ի՞նչ պատահեց Ադոլֆ Հիտլերին պատերազմի ավարտին։")</f>
        <v>ի՞նչ պատահեց Ադոլֆ Հիտլերին պատերազմի ավարտին։</v>
      </c>
      <c r="D2258" s="3" t="str">
        <f>IFERROR(__xludf.DUMMYFUNCTION("GOOGLETRANSLATE(B2258,""en"",""hy"")"),"Ադոլֆ Հիտլերն ինքնասպան է եղել Բեռլինի իր բունկերում։")</f>
        <v>Ադոլֆ Հիտլերն ինքնասպան է եղել Բեռլինի իր բունկերում։</v>
      </c>
    </row>
    <row r="2259">
      <c r="A2259" s="1" t="s">
        <v>4470</v>
      </c>
      <c r="B2259" s="2" t="s">
        <v>4471</v>
      </c>
      <c r="C2259" s="3" t="str">
        <f>IFERROR(__xludf.DUMMYFUNCTION("GOOGLETRANSLATE(A2259,""en"",""hy"")"),"ինչպիսի՞ն է քաղաքական համակարգը Անգլիայում:")</f>
        <v>ինչպիսի՞ն է քաղաքական համակարգը Անգլիայում:</v>
      </c>
      <c r="D2259" s="3" t="str">
        <f>IFERROR(__xludf.DUMMYFUNCTION("GOOGLETRANSLATE(B2259,""en"",""hy"")"),"Անգլիայի քաղաքական համակարգը սահմանադրական միապետություն է։")</f>
        <v>Անգլիայի քաղաքական համակարգը սահմանադրական միապետություն է։</v>
      </c>
    </row>
    <row r="2260">
      <c r="A2260" s="1" t="s">
        <v>4472</v>
      </c>
      <c r="B2260" s="2" t="s">
        <v>4473</v>
      </c>
      <c r="C2260" s="3" t="str">
        <f>IFERROR(__xludf.DUMMYFUNCTION("GOOGLETRANSLATE(A2260,""en"",""hy"")"),"ով էր փոխնախագահ Ռոնալդ Ռեյգանի օրոք.")</f>
        <v>ով էր փոխնախագահ Ռոնալդ Ռեյգանի օրոք.</v>
      </c>
      <c r="D2260" s="3" t="str">
        <f>IFERROR(__xludf.DUMMYFUNCTION("GOOGLETRANSLATE(B2260,""en"",""hy"")"),"Ջորջ Հ. Բուշ.")</f>
        <v>Ջորջ Հ. Բուշ.</v>
      </c>
    </row>
    <row r="2261">
      <c r="A2261" s="1" t="s">
        <v>4474</v>
      </c>
      <c r="B2261" s="2" t="s">
        <v>4475</v>
      </c>
      <c r="C2261" s="3" t="str">
        <f>IFERROR(__xludf.DUMMYFUNCTION("GOOGLETRANSLATE(A2261,""en"",""hy"")"),"ինչ է պատկանում Ռուպերտ Մերդոկը 2012 թ.")</f>
        <v>ինչ է պատկանում Ռուպերտ Մերդոկը 2012 թ.</v>
      </c>
      <c r="D2261" s="3" t="str">
        <f>IFERROR(__xludf.DUMMYFUNCTION("GOOGLETRANSLATE(B2261,""en"",""hy"")"),"2012 թվականին Ռուպերտ Մերդոկին պատկանում էր News Corporation-ը, որը ներառում է տարբեր լրատվամիջոցներ, ինչպիսիք են Fox News-ը, The Wall Street Journal-ը և HarperCollins Publishers-ը:")</f>
        <v>2012 թվականին Ռուպերտ Մերդոկին պատկանում էր News Corporation-ը, որը ներառում է տարբեր լրատվամիջոցներ, ինչպիսիք են Fox News-ը, The Wall Street Journal-ը և HarperCollins Publishers-ը:</v>
      </c>
    </row>
    <row r="2262">
      <c r="A2262" s="1" t="s">
        <v>4476</v>
      </c>
      <c r="B2262" s="2" t="s">
        <v>4477</v>
      </c>
      <c r="C2262" s="3" t="str">
        <f>IFERROR(__xludf.DUMMYFUNCTION("GOOGLETRANSLATE(A2262,""en"",""hy"")"),"որտե՞ղ է Ուիլյամ Հովարդ Թաֆթը սովորել ավագ դպրոց:")</f>
        <v>որտե՞ղ է Ուիլյամ Հովարդ Թաֆթը սովորել ավագ դպրոց:</v>
      </c>
      <c r="D2262" s="3" t="str">
        <f>IFERROR(__xludf.DUMMYFUNCTION("GOOGLETRANSLATE(B2262,""en"",""hy"")"),"Ուիլյամ Հովարդ Թաֆթը սովորել է Օհայո նահանգի Ցինցինատիի Վուդվարդ ավագ դպրոցում:")</f>
        <v>Ուիլյամ Հովարդ Թաֆթը սովորել է Օհայո նահանգի Ցինցինատիի Վուդվարդ ավագ դպրոցում:</v>
      </c>
    </row>
    <row r="2263">
      <c r="A2263" s="1" t="s">
        <v>4478</v>
      </c>
      <c r="B2263" s="2" t="s">
        <v>4479</v>
      </c>
      <c r="C2263" s="3" t="str">
        <f>IFERROR(__xludf.DUMMYFUNCTION("GOOGLETRANSLATE(A2263,""en"",""hy"")"),"Ե՞րբ են Չիկագո Բուլզը հաղթել իրենց առաջին առաջնությունում:")</f>
        <v>Ե՞րբ են Չիկագո Բուլզը հաղթել իրենց առաջին առաջնությունում:</v>
      </c>
      <c r="D2263" s="3" t="str">
        <f>IFERROR(__xludf.DUMMYFUNCTION("GOOGLETRANSLATE(B2263,""en"",""hy"")"),"Չիկագո Բուլսն իր առաջին չեմպիոնությունը նվաճեց 1991 թվականին։")</f>
        <v>Չիկագո Բուլսն իր առաջին չեմպիոնությունը նվաճեց 1991 թվականին։</v>
      </c>
    </row>
    <row r="2264">
      <c r="A2264" s="1" t="s">
        <v>4480</v>
      </c>
      <c r="B2264" s="2" t="s">
        <v>4481</v>
      </c>
      <c r="C2264" s="3" t="str">
        <f>IFERROR(__xludf.DUMMYFUNCTION("GOOGLETRANSLATE(A2264,""en"",""hy"")"),"Ո՞ր չորս նահանգներն են դիպչում Մեքսիկային:")</f>
        <v>Ո՞ր չորս նահանգներն են դիպչում Մեքսիկային:</v>
      </c>
      <c r="D2264" s="3" t="str">
        <f>IFERROR(__xludf.DUMMYFUNCTION("GOOGLETRANSLATE(B2264,""en"",""hy"")"),"Մեքսիկային դիպչող չորս նահանգներն են՝ Կալիֆոռնիան, Արիզոնան, Նյու Մեքսիկոն և Տեխասը:")</f>
        <v>Մեքսիկային դիպչող չորս նահանգներն են՝ Կալիֆոռնիան, Արիզոնան, Նյու Մեքսիկոն և Տեխասը:</v>
      </c>
    </row>
    <row r="2265">
      <c r="A2265" s="1" t="s">
        <v>4482</v>
      </c>
      <c r="B2265" s="2" t="s">
        <v>4483</v>
      </c>
      <c r="C2265" s="3" t="str">
        <f>IFERROR(__xludf.DUMMYFUNCTION("GOOGLETRANSLATE(A2265,""en"",""hy"")"),"ինչի՞ց է մահացել Սեմմի Դևիս կրտսերը:")</f>
        <v>ինչի՞ց է մահացել Սեմմի Դևիս կրտսերը:</v>
      </c>
      <c r="D2265" s="3" t="str">
        <f>IFERROR(__xludf.DUMMYFUNCTION("GOOGLETRANSLATE(B2265,""en"",""hy"")"),"Սեմմի Դևիս կրտսերը մահացել է կոկորդի քաղցկեղից։")</f>
        <v>Սեմմի Դևիս կրտսերը մահացել է կոկորդի քաղցկեղից։</v>
      </c>
    </row>
    <row r="2266">
      <c r="A2266" s="1" t="s">
        <v>4484</v>
      </c>
      <c r="B2266" s="2" t="s">
        <v>4485</v>
      </c>
      <c r="C2266" s="3" t="str">
        <f>IFERROR(__xludf.DUMMYFUNCTION("GOOGLETRANSLATE(A2266,""en"",""hy"")"),"ինչի՞ց է մահացել Աննա Նիկոլ Սմիթը")</f>
        <v>ինչի՞ց է մահացել Աննա Նիկոլ Սմիթը</v>
      </c>
      <c r="D2266" s="3" t="str">
        <f>IFERROR(__xludf.DUMMYFUNCTION("GOOGLETRANSLATE(B2266,""en"",""hy"")"),"Աննա Նիկոլ Սմիթը մահացել է թմրամիջոցների պատահական գերդոզավորումից։")</f>
        <v>Աննա Նիկոլ Սմիթը մահացել է թմրամիջոցների պատահական գերդոզավորումից։</v>
      </c>
    </row>
    <row r="2267">
      <c r="A2267" s="1" t="s">
        <v>4486</v>
      </c>
      <c r="B2267" s="2" t="s">
        <v>4487</v>
      </c>
      <c r="C2267" s="3" t="str">
        <f>IFERROR(__xludf.DUMMYFUNCTION("GOOGLETRANSLATE(A2267,""en"",""hy"")"),"Ո՞ր երկրում է ուսումնասիրել Ֆրենսիս Դրեյքը:")</f>
        <v>Ո՞ր երկրում է ուսումնասիրել Ֆրենսիս Դրեյքը:</v>
      </c>
      <c r="D2267" s="3" t="str">
        <f>IFERROR(__xludf.DUMMYFUNCTION("GOOGLETRANSLATE(B2267,""en"",""hy"")"),"Ֆրենսիս Դրեյքը ուսումնասիրել է Անգլիայում:")</f>
        <v>Ֆրենսիս Դրեյքը ուսումնասիրել է Անգլիայում:</v>
      </c>
    </row>
    <row r="2268">
      <c r="A2268" s="1" t="s">
        <v>4488</v>
      </c>
      <c r="B2268" s="2" t="s">
        <v>4489</v>
      </c>
      <c r="C2268" s="3" t="str">
        <f>IFERROR(__xludf.DUMMYFUNCTION("GOOGLETRANSLATE(A2268,""en"",""hy"")"),"ո՞ր երկու երկրներն են սահմանակից մեծ լճերին:")</f>
        <v>ո՞ր երկու երկրներն են սահմանակից մեծ լճերին:</v>
      </c>
      <c r="D2268" s="3" t="str">
        <f>IFERROR(__xludf.DUMMYFUNCTION("GOOGLETRANSLATE(B2268,""en"",""hy"")"),"Միացյալ Նահանգները և Կանադան.")</f>
        <v>Միացյալ Նահանգները և Կանադան.</v>
      </c>
    </row>
    <row r="2269">
      <c r="A2269" s="1" t="s">
        <v>4490</v>
      </c>
      <c r="B2269" s="2" t="s">
        <v>4491</v>
      </c>
      <c r="C2269" s="3" t="str">
        <f>IFERROR(__xludf.DUMMYFUNCTION("GOOGLETRANSLATE(A2269,""en"",""hy"")"),"Ո՞ր տարում է Դուեյն Ուեյդը եկել ՆԲԱ:")</f>
        <v>Ո՞ր տարում է Դուեյն Ուեյդը եկել ՆԲԱ:</v>
      </c>
      <c r="D2269" s="3" t="str">
        <f>IFERROR(__xludf.DUMMYFUNCTION("GOOGLETRANSLATE(B2269,""en"",""hy"")"),"Դուեյն Ուեյդը NBA է եկել 2003 թվականին։")</f>
        <v>Դուեյն Ուեյդը NBA է եկել 2003 թվականին։</v>
      </c>
    </row>
    <row r="2270">
      <c r="A2270" s="1" t="s">
        <v>4492</v>
      </c>
      <c r="B2270" s="2" t="s">
        <v>4493</v>
      </c>
      <c r="C2270" s="3" t="str">
        <f>IFERROR(__xludf.DUMMYFUNCTION("GOOGLETRANSLATE(A2270,""en"",""hy"")"),"որտեղ է Դան Պատրիկ ստուդիան:")</f>
        <v>որտեղ է Դան Պատրիկ ստուդիան:</v>
      </c>
      <c r="D2270" s="3" t="str">
        <f>IFERROR(__xludf.DUMMYFUNCTION("GOOGLETRANSLATE(B2270,""en"",""hy"")"),"The Dan Patrick Studio-ն գտնվում է Միլֆորդում, Կոնեկտիկուտ:")</f>
        <v>The Dan Patrick Studio-ն գտնվում է Միլֆորդում, Կոնեկտիկուտ:</v>
      </c>
    </row>
    <row r="2271">
      <c r="A2271" s="1" t="s">
        <v>4494</v>
      </c>
      <c r="B2271" s="2" t="s">
        <v>4495</v>
      </c>
      <c r="C2271" s="3" t="str">
        <f>IFERROR(__xludf.DUMMYFUNCTION("GOOGLETRANSLATE(A2271,""en"",""hy"")"),"Ջեքի Քենեդին որտե՞ղ գնաց քոլեջ:")</f>
        <v>Ջեքի Քենեդին որտե՞ղ գնաց քոլեջ:</v>
      </c>
      <c r="D2271" s="3" t="str">
        <f>IFERROR(__xludf.DUMMYFUNCTION("GOOGLETRANSLATE(B2271,""en"",""hy"")"),"Ջեքի Քենեդին հաճախել է Ջորջ Վաշինգտոնի համալսարան, իսկ ավելի ուշ տեղափոխվել է Վասար քոլեջ:")</f>
        <v>Ջեքի Քենեդին հաճախել է Ջորջ Վաշինգտոնի համալսարան, իսկ ավելի ուշ տեղափոխվել է Վասար քոլեջ:</v>
      </c>
    </row>
    <row r="2272">
      <c r="A2272" s="1" t="s">
        <v>4496</v>
      </c>
      <c r="B2272" s="2" t="s">
        <v>4497</v>
      </c>
      <c r="C2272" s="3" t="str">
        <f>IFERROR(__xludf.DUMMYFUNCTION("GOOGLETRANSLATE(A2272,""en"",""hy"")"),"ի՞նչ են ուտում իտալացիները նախաճաշին.")</f>
        <v>ի՞նչ են ուտում իտալացիները նախաճաշին.</v>
      </c>
      <c r="D2272" s="3" t="str">
        <f>IFERROR(__xludf.DUMMYFUNCTION("GOOGLETRANSLATE(B2272,""en"",""hy"")"),"Իտալացիները սովորաբար ուտում են թեթև նախաճաշ՝ բաղկացած սուրճից և խմորեղենից, օրինակ՝ կրուասանից կամ բիսկոտիից: Նրանք կարող են նաև մածուն կամ հացահատիկ ունենալ կաթով:")</f>
        <v>Իտալացիները սովորաբար ուտում են թեթև նախաճաշ՝ բաղկացած սուրճից և խմորեղենից, օրինակ՝ կրուասանից կամ բիսկոտիից: Նրանք կարող են նաև մածուն կամ հացահատիկ ունենալ կաթով:</v>
      </c>
    </row>
    <row r="2273">
      <c r="A2273" s="1" t="s">
        <v>4498</v>
      </c>
      <c r="B2273" s="2" t="s">
        <v>4499</v>
      </c>
      <c r="C2273" s="3" t="str">
        <f>IFERROR(__xludf.DUMMYFUNCTION("GOOGLETRANSLATE(A2273,""en"",""hy"")"),"Ո՞ր կրոնին է հետևում Թոմ Քրուզը:")</f>
        <v>Ո՞ր կրոնին է հետևում Թոմ Քրուզը:</v>
      </c>
      <c r="D2273" s="3" t="str">
        <f>IFERROR(__xludf.DUMMYFUNCTION("GOOGLETRANSLATE(B2273,""en"",""hy"")"),"Թոմ Քրուզը հետևում է սայենթոլոգիային:")</f>
        <v>Թոմ Քրուզը հետևում է սայենթոլոգիային:</v>
      </c>
    </row>
    <row r="2274">
      <c r="A2274" s="1" t="s">
        <v>4500</v>
      </c>
      <c r="B2274" s="2" t="s">
        <v>4501</v>
      </c>
      <c r="C2274" s="3" t="str">
        <f>IFERROR(__xludf.DUMMYFUNCTION("GOOGLETRANSLATE(A2274,""en"",""hy"")"),"ինչ է Ֆրանսիայի նախագահի անունը")</f>
        <v>ինչ է Ֆրանսիայի նախագահի անունը</v>
      </c>
      <c r="D2274" s="3" t="str">
        <f>IFERROR(__xludf.DUMMYFUNCTION("GOOGLETRANSLATE(B2274,""en"",""hy"")"),"Ֆրանսիայի նախագահի անունը Էմանուել Մակրոն է։")</f>
        <v>Ֆրանսիայի նախագահի անունը Էմանուել Մակրոն է։</v>
      </c>
    </row>
    <row r="2275">
      <c r="A2275" s="1" t="s">
        <v>4502</v>
      </c>
      <c r="B2275" s="2" t="s">
        <v>4503</v>
      </c>
      <c r="C2275" s="3" t="str">
        <f>IFERROR(__xludf.DUMMYFUNCTION("GOOGLETRANSLATE(A2275,""en"",""hy"")"),"ինչ լեզվով են խոսում լակոտա հնդիկները:")</f>
        <v>ինչ լեզվով են խոսում լակոտա հնդիկները:</v>
      </c>
      <c r="D2275" s="3" t="str">
        <f>IFERROR(__xludf.DUMMYFUNCTION("GOOGLETRANSLATE(B2275,""en"",""hy"")"),"Լակոտայի հնդկացիները խոսում են լակոտա լեզվով։")</f>
        <v>Լակոտայի հնդկացիները խոսում են լակոտա լեզվով։</v>
      </c>
    </row>
    <row r="2276">
      <c r="A2276" s="1" t="s">
        <v>4504</v>
      </c>
      <c r="B2276" s="2" t="s">
        <v>4505</v>
      </c>
      <c r="C2276" s="3" t="str">
        <f>IFERROR(__xludf.DUMMYFUNCTION("GOOGLETRANSLATE(A2276,""en"",""hy"")"),"Իսպանիայում ինչ են անվանում փողը")</f>
        <v>Իսպանիայում ինչ են անվանում փողը</v>
      </c>
      <c r="D2276" s="3" t="str">
        <f>IFERROR(__xludf.DUMMYFUNCTION("GOOGLETRANSLATE(B2276,""en"",""hy"")"),"Իսպանիայում արժույթը կոչվում է եվրո:")</f>
        <v>Իսպանիայում արժույթը կոչվում է եվրո:</v>
      </c>
    </row>
    <row r="2277">
      <c r="A2277" s="1" t="s">
        <v>4506</v>
      </c>
      <c r="B2277" s="2" t="s">
        <v>4507</v>
      </c>
      <c r="C2277" s="3" t="str">
        <f>IFERROR(__xludf.DUMMYFUNCTION("GOOGLETRANSLATE(A2277,""en"",""hy"")"),"որտեղ է գտնվում Գիզայի մեծ բուրգը:")</f>
        <v>որտեղ է գտնվում Գիզայի մեծ բուրգը:</v>
      </c>
      <c r="D2277" s="3" t="str">
        <f>IFERROR(__xludf.DUMMYFUNCTION("GOOGLETRANSLATE(B2277,""en"",""hy"")"),"Գիզայի մեծ բուրգը գտնվում է Եգիպտոսի Գիզայում։")</f>
        <v>Գիզայի մեծ բուրգը գտնվում է Եգիպտոսի Գիզայում։</v>
      </c>
    </row>
    <row r="2278">
      <c r="A2278" s="1" t="s">
        <v>4508</v>
      </c>
      <c r="B2278" s="2" t="s">
        <v>4509</v>
      </c>
      <c r="C2278" s="3" t="str">
        <f>IFERROR(__xludf.DUMMYFUNCTION("GOOGLETRANSLATE(A2278,""en"",""hy"")"),"որտեղ է պատրաստվում Ջոն Դիրը")</f>
        <v>որտեղ է պատրաստվում Ջոն Դիրը</v>
      </c>
      <c r="D2278" s="3" t="str">
        <f>IFERROR(__xludf.DUMMYFUNCTION("GOOGLETRANSLATE(B2278,""en"",""hy"")"),"Ջոն Դիրը պատրաստվում է ԱՄՆ-ում:")</f>
        <v>Ջոն Դիրը պատրաստվում է ԱՄՆ-ում:</v>
      </c>
    </row>
    <row r="2279">
      <c r="A2279" s="1" t="s">
        <v>4510</v>
      </c>
      <c r="B2279" s="2" t="s">
        <v>4511</v>
      </c>
      <c r="C2279" s="3" t="str">
        <f>IFERROR(__xludf.DUMMYFUNCTION("GOOGLETRANSLATE(A2279,""en"",""hy"")"),"ինչ գումարներ են օգտագործվում Ուկրաինայում.")</f>
        <v>ինչ գումարներ են օգտագործվում Ուկրաինայում.</v>
      </c>
      <c r="D2279" s="3" t="str">
        <f>IFERROR(__xludf.DUMMYFUNCTION("GOOGLETRANSLATE(B2279,""en"",""hy"")"),"Ուկրաինայում օգտագործվող արժույթը ուկրաինական գրիվնան է։")</f>
        <v>Ուկրաինայում օգտագործվող արժույթը ուկրաինական գրիվնան է։</v>
      </c>
    </row>
    <row r="2280">
      <c r="A2280" s="1" t="s">
        <v>4512</v>
      </c>
      <c r="B2280" s="2" t="s">
        <v>4513</v>
      </c>
      <c r="C2280" s="3" t="str">
        <f>IFERROR(__xludf.DUMMYFUNCTION("GOOGLETRANSLATE(A2280,""en"",""hy"")"),"որտեղ էր ապրում այն ​​Ռանդը")</f>
        <v>որտեղ էր ապրում այն ​​Ռանդը</v>
      </c>
      <c r="D2280" s="3" t="str">
        <f>IFERROR(__xludf.DUMMYFUNCTION("GOOGLETRANSLATE(B2280,""en"",""hy"")"),"Այն Ռենդն ապրում էր Միացյալ Նահանգներում, հիմնականում Նյու Յորքում:")</f>
        <v>Այն Ռենդն ապրում էր Միացյալ Նահանգներում, հիմնականում Նյու Յորքում:</v>
      </c>
    </row>
    <row r="2281">
      <c r="A2281" s="1" t="s">
        <v>4514</v>
      </c>
      <c r="B2281" s="2" t="s">
        <v>4515</v>
      </c>
      <c r="C2281" s="3" t="str">
        <f>IFERROR(__xludf.DUMMYFUNCTION("GOOGLETRANSLATE(A2281,""en"",""hy"")"),"երբ է քաղաքացիական պատերազմը Լիբիայում.")</f>
        <v>երբ է քաղաքացիական պատերազմը Լիբիայում.</v>
      </c>
      <c r="D2281" s="3" t="str">
        <f>IFERROR(__xludf.DUMMYFUNCTION("GOOGLETRANSLATE(B2281,""en"",""hy"")"),"Լիբիայում քաղաքացիական պատերազմը սկսվել է 2011թ.")</f>
        <v>Լիբիայում քաղաքացիական պատերազմը սկսվել է 2011թ.</v>
      </c>
    </row>
    <row r="2282">
      <c r="A2282" s="1" t="s">
        <v>4516</v>
      </c>
      <c r="B2282" s="2" t="s">
        <v>4517</v>
      </c>
      <c r="C2282" s="3" t="str">
        <f>IFERROR(__xludf.DUMMYFUNCTION("GOOGLETRANSLATE(A2282,""en"",""hy"")"),"որտեղ են գտնվում Միացյալ ազգերի կազմակերպության կենտրոնակայանը.")</f>
        <v>որտեղ են գտնվում Միացյալ ազգերի կազմակերպության կենտրոնակայանը.</v>
      </c>
      <c r="D2282" s="3" t="str">
        <f>IFERROR(__xludf.DUMMYFUNCTION("GOOGLETRANSLATE(B2282,""en"",""hy"")"),"Միավորված ազգերի կազմակերպության կենտրոնակայանը գտնվում է ԱՄՆ-ի Նյու Յորք քաղաքում:")</f>
        <v>Միավորված ազգերի կազմակերպության կենտրոնակայանը գտնվում է ԱՄՆ-ի Նյու Յորք քաղաքում:</v>
      </c>
    </row>
    <row r="2283">
      <c r="A2283" s="1" t="s">
        <v>4518</v>
      </c>
      <c r="B2283" s="2" t="s">
        <v>4519</v>
      </c>
      <c r="C2283" s="3" t="str">
        <f>IFERROR(__xludf.DUMMYFUNCTION("GOOGLETRANSLATE(A2283,""en"",""hy"")"),"Ինչո՞վ էր հայտնի Չարլզ Լինդբերգը 1920-ականներին:")</f>
        <v>Ինչո՞վ էր հայտնի Չարլզ Լինդբերգը 1920-ականներին:</v>
      </c>
      <c r="D2283" s="3" t="str">
        <f>IFERROR(__xludf.DUMMYFUNCTION("GOOGLETRANSLATE(B2283,""en"",""hy"")"),"Չարլզ Լինդբերգը հայտնի դարձավ որպես առաջին մարդ, ով մենակ թռավ Ատլանտյան օվկիանոսով 1927 թվականին:")</f>
        <v>Չարլզ Լինդբերգը հայտնի դարձավ որպես առաջին մարդ, ով մենակ թռավ Ատլանտյան օվկիանոսով 1927 թվականին:</v>
      </c>
    </row>
    <row r="2284">
      <c r="A2284" s="1" t="s">
        <v>4520</v>
      </c>
      <c r="B2284" s="2" t="s">
        <v>4521</v>
      </c>
      <c r="C2284" s="3" t="str">
        <f>IFERROR(__xludf.DUMMYFUNCTION("GOOGLETRANSLATE(A2284,""en"",""hy"")"),"ի՞նչն է ազդել Ռոյ Լիխտենշտեյնի ստեղծագործության վրա:")</f>
        <v>ի՞նչն է ազդել Ռոյ Լիխտենշտեյնի ստեղծագործության վրա:</v>
      </c>
      <c r="D2284" s="3" t="str">
        <f>IFERROR(__xludf.DUMMYFUNCTION("GOOGLETRANSLATE(B2284,""en"",""hy"")"),"Փոփ մշակույթ, կոմիքսներ և կոմերցիոն գովազդ:")</f>
        <v>Փոփ մշակույթ, կոմիքսներ և կոմերցիոն գովազդ:</v>
      </c>
    </row>
    <row r="2285">
      <c r="A2285" s="1" t="s">
        <v>4522</v>
      </c>
      <c r="B2285" s="2" t="s">
        <v>4523</v>
      </c>
      <c r="C2285" s="3" t="str">
        <f>IFERROR(__xludf.DUMMYFUNCTION("GOOGLETRANSLATE(A2285,""en"",""hy"")"),"ո՞ր նահանգն է արել Ռոմնիի նահանգապետը:")</f>
        <v>ո՞ր նահանգն է արել Ռոմնիի նահանգապետը:</v>
      </c>
      <c r="D2285" s="3" t="str">
        <f>IFERROR(__xludf.DUMMYFUNCTION("GOOGLETRANSLATE(B2285,""en"",""hy"")"),"Մասաչուսեթս.")</f>
        <v>Մասաչուսեթս.</v>
      </c>
    </row>
    <row r="2286">
      <c r="A2286" s="1" t="s">
        <v>4524</v>
      </c>
      <c r="B2286" s="2" t="s">
        <v>4525</v>
      </c>
      <c r="C2286" s="3" t="str">
        <f>IFERROR(__xludf.DUMMYFUNCTION("GOOGLETRANSLATE(A2286,""en"",""hy"")"),"Ո՞ր երկրներն են սահմանակից Վիկտորիա լճին:")</f>
        <v>Ո՞ր երկրներն են սահմանակից Վիկտորիա լճին:</v>
      </c>
      <c r="D2286" s="3" t="str">
        <f>IFERROR(__xludf.DUMMYFUNCTION("GOOGLETRANSLATE(B2286,""en"",""hy"")"),"Ուգանդա, Քենիա և Տանզանիա:")</f>
        <v>Ուգանդա, Քենիա և Տանզանիա:</v>
      </c>
    </row>
    <row r="2287">
      <c r="A2287" s="1" t="s">
        <v>4526</v>
      </c>
      <c r="B2287" s="2" t="s">
        <v>4527</v>
      </c>
      <c r="C2287" s="3" t="str">
        <f>IFERROR(__xludf.DUMMYFUNCTION("GOOGLETRANSLATE(A2287,""en"",""hy"")"),"Ո՞ր ֆիլմերում է նկարահանվում Ռայան Գոսլինգը")</f>
        <v>Ո՞ր ֆիլմերում է նկարահանվում Ռայան Գոսլինգը</v>
      </c>
      <c r="D2287" s="3" t="str">
        <f>IFERROR(__xludf.DUMMYFUNCTION("GOOGLETRANSLATE(B2287,""en"",""hy"")"),"Որոշ նշանավոր ֆիլմեր, որոնցում նկարահանվել է Ռայան Գոսլինգը, ներառում են «La La Land», «Drive», «The Notebook», «Blade Runner 2049» և «Crazy, Stupid, Love»:")</f>
        <v>Որոշ նշանավոր ֆիլմեր, որոնցում նկարահանվել է Ռայան Գոսլինգը, ներառում են «La La Land», «Drive», «The Notebook», «Blade Runner 2049» և «Crazy, Stupid, Love»:</v>
      </c>
    </row>
    <row r="2288">
      <c r="A2288" s="1" t="s">
        <v>4528</v>
      </c>
      <c r="B2288" s="2" t="s">
        <v>4529</v>
      </c>
      <c r="C2288" s="3" t="str">
        <f>IFERROR(__xludf.DUMMYFUNCTION("GOOGLETRANSLATE(A2288,""en"",""hy"")"),"որտեղ է գտնվում Կենտուկին")</f>
        <v>որտեղ է գտնվում Կենտուկին</v>
      </c>
      <c r="D2288" s="3" t="str">
        <f>IFERROR(__xludf.DUMMYFUNCTION("GOOGLETRANSLATE(B2288,""en"",""hy"")"),"Կենտուկին գտնվում է ԱՄՆ-ի հարավ-արևելյան շրջանում։")</f>
        <v>Կենտուկին գտնվում է ԱՄՆ-ի հարավ-արևելյան շրջանում։</v>
      </c>
    </row>
    <row r="2289">
      <c r="A2289" s="1" t="s">
        <v>4530</v>
      </c>
      <c r="B2289" s="2" t="s">
        <v>4531</v>
      </c>
      <c r="C2289" s="3" t="str">
        <f>IFERROR(__xludf.DUMMYFUNCTION("GOOGLETRANSLATE(A2289,""en"",""hy"")"),"որտեղ է ծնվել Ջոն Թայլերը")</f>
        <v>որտեղ է ծնվել Ջոն Թայլերը</v>
      </c>
      <c r="D2289" s="3" t="str">
        <f>IFERROR(__xludf.DUMMYFUNCTION("GOOGLETRANSLATE(B2289,""en"",""hy"")"),"Ջոն Թայլերը ծնվել է Վիրջինիա նահանգի Չարլզ Սիթի կոմսությունում:")</f>
        <v>Ջոն Թայլերը ծնվել է Վիրջինիա նահանգի Չարլզ Սիթի կոմսությունում:</v>
      </c>
    </row>
    <row r="2290">
      <c r="A2290" s="1" t="s">
        <v>4532</v>
      </c>
      <c r="B2290" s="2" t="s">
        <v>4533</v>
      </c>
      <c r="C2290" s="3" t="str">
        <f>IFERROR(__xludf.DUMMYFUNCTION("GOOGLETRANSLATE(A2290,""en"",""hy"")"),"որտեղից է եկել անգլերենը")</f>
        <v>որտեղից է եկել անգլերենը</v>
      </c>
      <c r="D2290" s="3" t="str">
        <f>IFERROR(__xludf.DUMMYFUNCTION("GOOGLETRANSLATE(B2290,""en"",""hy"")"),"Անգլերենը ծագում է գերմանական ցեղերից, որոնք բնակություն են հաստատել Անգլիայում 5-րդ և 6-րդ դարերում։")</f>
        <v>Անգլերենը ծագում է գերմանական ցեղերից, որոնք բնակություն են հաստատել Անգլիայում 5-րդ և 6-րդ դարերում։</v>
      </c>
    </row>
    <row r="2291">
      <c r="A2291" s="1" t="s">
        <v>4534</v>
      </c>
      <c r="B2291" s="2" t="s">
        <v>4535</v>
      </c>
      <c r="C2291" s="3" t="str">
        <f>IFERROR(__xludf.DUMMYFUNCTION("GOOGLETRANSLATE(A2291,""en"",""hy"")"),"Որտեղ է մահացել Թոմաս Ջեֆերսոնը")</f>
        <v>Որտեղ է մահացել Թոմաս Ջեֆերսոնը</v>
      </c>
      <c r="D2291" s="3" t="str">
        <f>IFERROR(__xludf.DUMMYFUNCTION("GOOGLETRANSLATE(B2291,""en"",""hy"")"),"Թոմաս Ջեֆերսոնը մահացել է Վիրջինիա նահանգի Մոնտիչելլո քաղաքի իր տանը:")</f>
        <v>Թոմաս Ջեֆերսոնը մահացել է Վիրջինիա նահանգի Մոնտիչելլո քաղաքի իր տանը:</v>
      </c>
    </row>
    <row r="2292">
      <c r="A2292" s="1" t="s">
        <v>4536</v>
      </c>
      <c r="B2292" s="2" t="s">
        <v>4537</v>
      </c>
      <c r="C2292" s="3" t="str">
        <f>IFERROR(__xludf.DUMMYFUNCTION("GOOGLETRANSLATE(A2292,""en"",""hy"")"),"երբ է լինելու կրիկետի աշխարհի հաջորդ t20 գավաթը:")</f>
        <v>երբ է լինելու կրիկետի աշխարհի հաջորդ t20 գավաթը:</v>
      </c>
      <c r="D2292" s="3" t="str">
        <f>IFERROR(__xludf.DUMMYFUNCTION("GOOGLETRANSLATE(B2292,""en"",""hy"")"),"T20 աշխարհի հաջորդ առաջնությունը նախատեսված է անցկացնել 2021 թվականին:")</f>
        <v>T20 աշխարհի հաջորդ առաջնությունը նախատեսված է անցկացնել 2021 թվականին:</v>
      </c>
    </row>
    <row r="2293">
      <c r="A2293" s="1" t="s">
        <v>4538</v>
      </c>
      <c r="B2293" s="2" t="s">
        <v>4539</v>
      </c>
      <c r="C2293" s="3" t="str">
        <f>IFERROR(__xludf.DUMMYFUNCTION("GOOGLETRANSLATE(A2293,""en"",""hy"")"),"ո՞րն է ժամային գոտին Ֆրանսիայում:")</f>
        <v>ո՞րն է ժամային գոտին Ֆրանսիայում:</v>
      </c>
      <c r="D2293" s="3" t="str">
        <f>IFERROR(__xludf.DUMMYFUNCTION("GOOGLETRANSLATE(B2293,""en"",""hy"")"),"Ժամային գոտին Ֆրանսիայում Կենտրոնական Եվրոպայի ժամանակն է (CET):")</f>
        <v>Ժամային գոտին Ֆրանսիայում Կենտրոնական Եվրոպայի ժամանակն է (CET):</v>
      </c>
    </row>
    <row r="2294">
      <c r="A2294" s="1" t="s">
        <v>4540</v>
      </c>
      <c r="B2294" s="2" t="s">
        <v>4541</v>
      </c>
      <c r="C2294" s="3" t="str">
        <f>IFERROR(__xludf.DUMMYFUNCTION("GOOGLETRANSLATE(A2294,""en"",""hy"")"),"ինչպիսի՞ տնտեսություն էր Խորհրդային Միությունը։")</f>
        <v>ինչպիսի՞ տնտեսություն էր Խորհրդային Միությունը։</v>
      </c>
      <c r="D2294" s="3" t="str">
        <f>IFERROR(__xludf.DUMMYFUNCTION("GOOGLETRANSLATE(B2294,""en"",""hy"")"),"Խորհրդային Միությունն ուներ հրամանատարական տնտեսություն։")</f>
        <v>Խորհրդային Միությունն ուներ հրամանատարական տնտեսություն։</v>
      </c>
    </row>
    <row r="2295">
      <c r="A2295" s="1" t="s">
        <v>4542</v>
      </c>
      <c r="B2295" s="2" t="s">
        <v>4543</v>
      </c>
      <c r="C2295" s="3" t="str">
        <f>IFERROR(__xludf.DUMMYFUNCTION("GOOGLETRANSLATE(A2295,""en"",""hy"")"),"Ո՞ր շրջանում է գտնվում Lancaster ca-ն:")</f>
        <v>Ո՞ր շրջանում է գտնվում Lancaster ca-ն:</v>
      </c>
      <c r="D2295" s="3" t="str">
        <f>IFERROR(__xludf.DUMMYFUNCTION("GOOGLETRANSLATE(B2295,""en"",""hy"")"),"Լոս Անջելեսի շրջան.")</f>
        <v>Լոս Անջելեսի շրջան.</v>
      </c>
    </row>
    <row r="2296">
      <c r="A2296" s="1" t="s">
        <v>4544</v>
      </c>
      <c r="B2296" s="2" t="s">
        <v>4545</v>
      </c>
      <c r="C2296" s="3" t="str">
        <f>IFERROR(__xludf.DUMMYFUNCTION("GOOGLETRANSLATE(A2296,""en"",""hy"")"),"ում հետ է ամուսնացած Սթիվ Նաշը")</f>
        <v>ում հետ է ամուսնացած Սթիվ Նաշը</v>
      </c>
      <c r="D2296" s="3" t="str">
        <f>IFERROR(__xludf.DUMMYFUNCTION("GOOGLETRANSLATE(B2296,""en"",""hy"")"),"Սթիվ Նեշն ամուսնացած է Լիլլա Ֆրեդերիկի հետ։")</f>
        <v>Սթիվ Նեշն ամուսնացած է Լիլլա Ֆրեդերիկի հետ։</v>
      </c>
    </row>
    <row r="2297">
      <c r="A2297" s="1" t="s">
        <v>4546</v>
      </c>
      <c r="B2297" s="2" t="s">
        <v>4547</v>
      </c>
      <c r="C2297" s="3" t="str">
        <f>IFERROR(__xludf.DUMMYFUNCTION("GOOGLETRANSLATE(A2297,""en"",""hy"")"),"որտեղ են պատրաստվում compaq նոութբուքերը:")</f>
        <v>որտեղ են պատրաստվում compaq նոութբուքերը:</v>
      </c>
      <c r="D2297" s="3" t="str">
        <f>IFERROR(__xludf.DUMMYFUNCTION("GOOGLETRANSLATE(B2297,""en"",""hy"")"),"Compaq նոութբուքերը արտադրվում են աշխարհի տարբեր արտադրամասերում:")</f>
        <v>Compaq նոութբուքերը արտադրվում են աշխարհի տարբեր արտադրամասերում:</v>
      </c>
    </row>
    <row r="2298">
      <c r="A2298" s="1" t="s">
        <v>4548</v>
      </c>
      <c r="B2298" s="2" t="s">
        <v>4549</v>
      </c>
      <c r="C2298" s="3" t="str">
        <f>IFERROR(__xludf.DUMMYFUNCTION("GOOGLETRANSLATE(A2298,""en"",""hy"")"),"ինչ է բենգալցի պաշտպանի անունը:")</f>
        <v>ինչ է բենգալցի պաշտպանի անունը:</v>
      </c>
      <c r="D2298" s="3" t="str">
        <f>IFERROR(__xludf.DUMMYFUNCTION("GOOGLETRANSLATE(B2298,""en"",""hy"")"),"Ջո Բերոու")</f>
        <v>Ջո Բերոու</v>
      </c>
    </row>
    <row r="2299">
      <c r="A2299" s="1" t="s">
        <v>4550</v>
      </c>
      <c r="B2299" s="2" t="s">
        <v>4551</v>
      </c>
      <c r="C2299" s="3" t="str">
        <f>IFERROR(__xludf.DUMMYFUNCTION("GOOGLETRANSLATE(A2299,""en"",""hy"")"),"ինչ աշխատանք ունի Ժանել Բրաունը:")</f>
        <v>ինչ աշխատանք ունի Ժանել Բրաունը:</v>
      </c>
      <c r="D2299" s="3" t="str">
        <f>IFERROR(__xludf.DUMMYFUNCTION("GOOGLETRANSLATE(B2299,""en"",""hy"")"),"Չկա բավարար տեղեկատվություն՝ պարզելու համար, թե ինչ աշխատանք ունի Ջանել Բրաունը։")</f>
        <v>Չկա բավարար տեղեկատվություն՝ պարզելու համար, թե ինչ աշխատանք ունի Ջանել Բրաունը։</v>
      </c>
    </row>
    <row r="2300">
      <c r="A2300" s="1" t="s">
        <v>4552</v>
      </c>
      <c r="B2300" s="2" t="s">
        <v>4553</v>
      </c>
      <c r="C2300" s="3" t="str">
        <f>IFERROR(__xludf.DUMMYFUNCTION("GOOGLETRANSLATE(A2300,""en"",""hy"")"),"ինչով է ապրում Միշել Օբաման")</f>
        <v>ինչով է ապրում Միշել Օբաման</v>
      </c>
      <c r="D2300" s="3" t="str">
        <f>IFERROR(__xludf.DUMMYFUNCTION("GOOGLETRANSLATE(B2300,""en"",""hy"")"),"Միշել Օբաման իրավաբան է, հեղինակ և տարբեր պատճառների պաշտպան, ներառյալ կրթությունը, առողջությունը և զինվորական ընտանիքները:")</f>
        <v>Միշել Օբաման իրավաբան է, հեղինակ և տարբեր պատճառների պաշտպան, ներառյալ կրթությունը, առողջությունը և զինվորական ընտանիքները:</v>
      </c>
    </row>
    <row r="2301">
      <c r="A2301" s="1" t="s">
        <v>4554</v>
      </c>
      <c r="B2301" s="2" t="s">
        <v>4555</v>
      </c>
      <c r="C2301" s="3" t="str">
        <f>IFERROR(__xludf.DUMMYFUNCTION("GOOGLETRANSLATE(A2301,""en"",""hy"")"),"ով է եղել Ռոդ Այլենդի հիմնադիրը:")</f>
        <v>ով է եղել Ռոդ Այլենդի հիմնադիրը:</v>
      </c>
      <c r="D2301" s="3" t="str">
        <f>IFERROR(__xludf.DUMMYFUNCTION("GOOGLETRANSLATE(B2301,""en"",""hy"")"),"Ռոջեր Ուիլյամս.")</f>
        <v>Ռոջեր Ուիլյամս.</v>
      </c>
    </row>
    <row r="2302">
      <c r="A2302" s="1" t="s">
        <v>4556</v>
      </c>
      <c r="B2302" s="2" t="s">
        <v>4557</v>
      </c>
      <c r="C2302" s="3" t="str">
        <f>IFERROR(__xludf.DUMMYFUNCTION("GOOGLETRANSLATE(A2302,""en"",""hy"")"),"ով էր դոկտոր Սեուսը")</f>
        <v>ով էր դոկտոր Սեուսը</v>
      </c>
      <c r="D2302" s="3" t="str">
        <f>IFERROR(__xludf.DUMMYFUNCTION("GOOGLETRANSLATE(B2302,""en"",""hy"")"),"Դոկտոր Սյուսը ամերիկացի մանկական հեղինակ և նկարազարդող էր, որը հայտնի էր իր հայտնի գրքերով, ինչպիսիք են «Գլխարկով կատուն» և «Կանաչ ձվերը և խոզապուխտը»:")</f>
        <v>Դոկտոր Սյուսը ամերիկացի մանկական հեղինակ և նկարազարդող էր, որը հայտնի էր իր հայտնի գրքերով, ինչպիսիք են «Գլխարկով կատուն» և «Կանաչ ձվերը և խոզապուխտը»:</v>
      </c>
    </row>
    <row r="2303">
      <c r="A2303" s="1" t="s">
        <v>4558</v>
      </c>
      <c r="B2303" s="2" t="s">
        <v>4559</v>
      </c>
      <c r="C2303" s="3" t="str">
        <f>IFERROR(__xludf.DUMMYFUNCTION("GOOGLETRANSLATE(A2303,""en"",""hy"")"),"Ո՞վ է խաղում Փոլ Ուեսլին 24 տարեկանում:")</f>
        <v>Ո՞վ է խաղում Փոլ Ուեսլին 24 տարեկանում:</v>
      </c>
      <c r="D2303" s="3" t="str">
        <f>IFERROR(__xludf.DUMMYFUNCTION("GOOGLETRANSLATE(B2303,""en"",""hy"")"),"Փոլ Ուեսլին չի հայտնվում «24» հեռուստաշոուում։")</f>
        <v>Փոլ Ուեսլին չի հայտնվում «24» հեռուստաշոուում։</v>
      </c>
    </row>
    <row r="2304">
      <c r="A2304" s="1" t="s">
        <v>4560</v>
      </c>
      <c r="B2304" s="2" t="s">
        <v>4561</v>
      </c>
      <c r="C2304" s="3" t="str">
        <f>IFERROR(__xludf.DUMMYFUNCTION("GOOGLETRANSLATE(A2304,""en"",""hy"")"),"ո՞ր մայրցամաքում է գտնվում Ավստրալիան")</f>
        <v>ո՞ր մայրցամաքում է գտնվում Ավստրալիան</v>
      </c>
      <c r="D2304" s="3" t="str">
        <f>IFERROR(__xludf.DUMMYFUNCTION("GOOGLETRANSLATE(B2304,""en"",""hy"")"),"Ավստրալիան ինքնուրույն մայրցամաք է:")</f>
        <v>Ավստրալիան ինքնուրույն մայրցամաք է:</v>
      </c>
    </row>
    <row r="2305">
      <c r="A2305" s="1" t="s">
        <v>4562</v>
      </c>
      <c r="B2305" s="2" t="s">
        <v>4563</v>
      </c>
      <c r="C2305" s="3" t="str">
        <f>IFERROR(__xludf.DUMMYFUNCTION("GOOGLETRANSLATE(A2305,""en"",""hy"")"),"ո՞րն է Ռոշոն Ֆեգանի ժառանգությունը:")</f>
        <v>ո՞րն է Ռոշոն Ֆեգանի ժառանգությունը:</v>
      </c>
      <c r="D2305" s="3" t="str">
        <f>IFERROR(__xludf.DUMMYFUNCTION("GOOGLETRANSLATE(B2305,""en"",""hy"")"),"Ռոշոն Ֆեգանի ժառանգությունը աֆրոամերիկացի է:")</f>
        <v>Ռոշոն Ֆեգանի ժառանգությունը աֆրոամերիկացի է:</v>
      </c>
    </row>
    <row r="2306">
      <c r="A2306" s="1" t="s">
        <v>4564</v>
      </c>
      <c r="B2306" s="2" t="s">
        <v>4565</v>
      </c>
      <c r="C2306" s="3" t="str">
        <f>IFERROR(__xludf.DUMMYFUNCTION("GOOGLETRANSLATE(A2306,""en"",""hy"")"),"որտեղ է Spanish Springs nv?")</f>
        <v>որտեղ է Spanish Springs nv?</v>
      </c>
      <c r="D2306" s="3" t="str">
        <f>IFERROR(__xludf.DUMMYFUNCTION("GOOGLETRANSLATE(B2306,""en"",""hy"")"),"Spanish Springs, NV գտնվում է Ուաշո կոմսությունում, Նևադա, ԱՄՆ։")</f>
        <v>Spanish Springs, NV գտնվում է Ուաշո կոմսությունում, Նևադա, ԱՄՆ։</v>
      </c>
    </row>
    <row r="2307">
      <c r="A2307" s="1" t="s">
        <v>4566</v>
      </c>
      <c r="B2307" s="2" t="s">
        <v>4567</v>
      </c>
      <c r="C2307" s="3" t="str">
        <f>IFERROR(__xludf.DUMMYFUNCTION("GOOGLETRANSLATE(A2307,""en"",""hy"")"),"Ո՞ր ակումբում է խաղում Ռոնալդինյոն 2012թ.")</f>
        <v>Ո՞ր ակումբում է խաղում Ռոնալդինյոն 2012թ.</v>
      </c>
      <c r="D2307" s="3" t="str">
        <f>IFERROR(__xludf.DUMMYFUNCTION("GOOGLETRANSLATE(B2307,""en"",""hy"")"),"Ռոնալդինյոն «Ատլետիկո Մինեյրո»-ում հանդես է եկել 2012 թվականին:")</f>
        <v>Ռոնալդինյոն «Ատլետիկո Մինեյրո»-ում հանդես է եկել 2012 թվականին:</v>
      </c>
    </row>
    <row r="2308">
      <c r="A2308" s="1" t="s">
        <v>4568</v>
      </c>
      <c r="B2308" s="2" t="s">
        <v>4569</v>
      </c>
      <c r="C2308" s="3" t="str">
        <f>IFERROR(__xludf.DUMMYFUNCTION("GOOGLETRANSLATE(A2308,""en"",""hy"")"),"ինչ է կոչվում իսլամի սուրբ տեքստը:")</f>
        <v>ինչ է կոչվում իսլամի սուրբ տեքստը:</v>
      </c>
      <c r="D2308" s="3" t="str">
        <f>IFERROR(__xludf.DUMMYFUNCTION("GOOGLETRANSLATE(B2308,""en"",""hy"")"),"Իսլամի սուրբ տեքստը կոչվում է Ղուրան:")</f>
        <v>Իսլամի սուրբ տեքստը կոչվում է Ղուրան:</v>
      </c>
    </row>
    <row r="2309">
      <c r="A2309" s="1" t="s">
        <v>4570</v>
      </c>
      <c r="B2309" s="2" t="s">
        <v>4571</v>
      </c>
      <c r="C2309" s="3" t="str">
        <f>IFERROR(__xludf.DUMMYFUNCTION("GOOGLETRANSLATE(A2309,""en"",""hy"")"),"որտեղ է Ռիչարդ Նիքսոնը սովորել ավագ դպրոց.")</f>
        <v>որտեղ է Ռիչարդ Նիքսոնը սովորել ավագ դպրոց.</v>
      </c>
      <c r="D2309" s="3" t="str">
        <f>IFERROR(__xludf.DUMMYFUNCTION("GOOGLETRANSLATE(B2309,""en"",""hy"")"),"Ռիչարդ Նիքսոնը սովորել է Կալիֆորնիայի Ֆուլերտոն քաղաքի Ֆուլերթոն միության ավագ դպրոցում:")</f>
        <v>Ռիչարդ Նիքսոնը սովորել է Կալիֆորնիայի Ֆուլերտոն քաղաքի Ֆուլերթոն միության ավագ դպրոցում:</v>
      </c>
    </row>
    <row r="2310">
      <c r="A2310" s="1" t="s">
        <v>4572</v>
      </c>
      <c r="B2310" s="2" t="s">
        <v>4573</v>
      </c>
      <c r="C2310" s="3" t="str">
        <f>IFERROR(__xludf.DUMMYFUNCTION("GOOGLETRANSLATE(A2310,""en"",""hy"")"),"ով է խաղում Ֆրեդ Կլաուս ֆիլմում:")</f>
        <v>ով է խաղում Ֆրեդ Կլաուս ֆիլմում:</v>
      </c>
      <c r="D2310" s="3" t="str">
        <f>IFERROR(__xludf.DUMMYFUNCTION("GOOGLETRANSLATE(B2310,""en"",""hy"")"),"Վինս Վոնը նկարահանվում է Ֆրեդ Կլաուս ֆիլմում։")</f>
        <v>Վինս Վոնը նկարահանվում է Ֆրեդ Կլաուս ֆիլմում։</v>
      </c>
    </row>
    <row r="2311">
      <c r="A2311" s="1" t="s">
        <v>4574</v>
      </c>
      <c r="B2311" s="2" t="s">
        <v>4575</v>
      </c>
      <c r="C2311" s="3" t="str">
        <f>IFERROR(__xludf.DUMMYFUNCTION("GOOGLETRANSLATE(A2311,""en"",""hy"")"),"ով է հաղթել 2012 թվականի սնուկերի վարպետները:")</f>
        <v>ով է հաղթել 2012 թվականի սնուկերի վարպետները:</v>
      </c>
      <c r="D2311" s="3" t="str">
        <f>IFERROR(__xludf.DUMMYFUNCTION("GOOGLETRANSLATE(B2311,""en"",""hy"")"),"Նիլ Ռոբերտսոն.")</f>
        <v>Նիլ Ռոբերտսոն.</v>
      </c>
    </row>
    <row r="2312">
      <c r="A2312" s="1" t="s">
        <v>4576</v>
      </c>
      <c r="B2312" s="2" t="s">
        <v>1463</v>
      </c>
      <c r="C2312" s="3" t="str">
        <f>IFERROR(__xludf.DUMMYFUNCTION("GOOGLETRANSLATE(A2312,""en"",""hy"")"),"որտեղ էր ապրում Մեդոֆը")</f>
        <v>որտեղ էր ապրում Մեդոֆը</v>
      </c>
      <c r="D2312" s="3" t="str">
        <f>IFERROR(__xludf.DUMMYFUNCTION("GOOGLETRANSLATE(B2312,""en"",""hy"")"),"Մեդոֆն ապրում էր Նյու Յորքում։")</f>
        <v>Մեդոֆն ապրում էր Նյու Յորքում։</v>
      </c>
    </row>
    <row r="2313">
      <c r="A2313" s="1" t="s">
        <v>4577</v>
      </c>
      <c r="B2313" s="2" t="s">
        <v>4578</v>
      </c>
      <c r="C2313" s="3" t="str">
        <f>IFERROR(__xludf.DUMMYFUNCTION("GOOGLETRANSLATE(A2313,""en"",""hy"")"),"ինչն է սպանել Սեմմի Դևիս կրտսերին")</f>
        <v>ինչն է սպանել Սեմմի Դևիս կրտսերին</v>
      </c>
      <c r="D2313" s="3" t="str">
        <f>IFERROR(__xludf.DUMMYFUNCTION("GOOGLETRANSLATE(B2313,""en"",""hy"")"),"Սեմմի Դևիս կրտսերը մահացել է կոկորդի քաղցկեղի հետ կապված բարդություններից։")</f>
        <v>Սեմմի Դևիս կրտսերը մահացել է կոկորդի քաղցկեղի հետ կապված բարդություններից։</v>
      </c>
    </row>
    <row r="2314">
      <c r="A2314" s="1" t="s">
        <v>4579</v>
      </c>
      <c r="B2314" s="2" t="s">
        <v>4580</v>
      </c>
      <c r="C2314" s="3" t="str">
        <f>IFERROR(__xludf.DUMMYFUNCTION("GOOGLETRANSLATE(A2314,""en"",""hy"")"),"որտեղ հանգստանալ Չիկագոյում:")</f>
        <v>որտեղ հանգստանալ Չիկագոյում:</v>
      </c>
      <c r="D2314" s="3" t="str">
        <f>IFERROR(__xludf.DUMMYFUNCTION("GOOGLETRANSLATE(B2314,""en"",""hy"")"),"Millennium Park կամ Navy Pier.")</f>
        <v>Millennium Park կամ Navy Pier.</v>
      </c>
    </row>
    <row r="2315">
      <c r="A2315" s="1" t="s">
        <v>4581</v>
      </c>
      <c r="B2315" s="2" t="s">
        <v>4582</v>
      </c>
      <c r="C2315" s="3" t="str">
        <f>IFERROR(__xludf.DUMMYFUNCTION("GOOGLETRANSLATE(A2315,""en"",""hy"")"),"Որո՞նք են Սան Դիեգոյում անելու լավագույն բաները:")</f>
        <v>Որո՞նք են Սան Դիեգոյում անելու լավագույն բաները:</v>
      </c>
      <c r="D2315" s="3" t="str">
        <f>IFERROR(__xludf.DUMMYFUNCTION("GOOGLETRANSLATE(B2315,""en"",""hy"")"),"Սան Դիեգոյում անելու լավագույն բաներից մի քանիսը ներառում են այցելել Սան Դիեգոյի կենդանաբանական այգի, ուսումնասիրել Բալբոա այգին, հանգստանալ լողափերում, շրջել USS Midway թանգարանում և ուսումնասիրել պատմական Gaslamp Quarter-ը:")</f>
        <v>Սան Դիեգոյում անելու լավագույն բաներից մի քանիսը ներառում են այցելել Սան Դիեգոյի կենդանաբանական այգի, ուսումնասիրել Բալբոա այգին, հանգստանալ լողափերում, շրջել USS Midway թանգարանում և ուսումնասիրել պատմական Gaslamp Quarter-ը:</v>
      </c>
    </row>
    <row r="2316">
      <c r="A2316" s="1" t="s">
        <v>4583</v>
      </c>
      <c r="B2316" s="2" t="s">
        <v>4584</v>
      </c>
      <c r="C2316" s="3" t="str">
        <f>IFERROR(__xludf.DUMMYFUNCTION("GOOGLETRANSLATE(A2316,""en"",""hy"")"),"ինչ արժույթ եք օգտագործում Կոստա Ռիկայում:")</f>
        <v>ինչ արժույթ եք օգտագործում Կոստա Ռիկայում:</v>
      </c>
      <c r="D2316" s="3" t="str">
        <f>IFERROR(__xludf.DUMMYFUNCTION("GOOGLETRANSLATE(B2316,""en"",""hy"")"),"Կոստա Ռիկայում օգտագործվող արժույթը Կոստա Ռիկայի Կոլոնն է։")</f>
        <v>Կոստա Ռիկայում օգտագործվող արժույթը Կոստա Ռիկայի Կոլոնն է։</v>
      </c>
    </row>
    <row r="2317">
      <c r="A2317" s="1" t="s">
        <v>4585</v>
      </c>
      <c r="B2317" s="2" t="s">
        <v>4586</v>
      </c>
      <c r="C2317" s="3" t="str">
        <f>IFERROR(__xludf.DUMMYFUNCTION("GOOGLETRANSLATE(A2317,""en"",""hy"")"),"ովքեր են Կանզասի սենատորները 2013 թ.")</f>
        <v>ովքեր են Կանզասի սենատորները 2013 թ.</v>
      </c>
      <c r="D2317" s="3" t="str">
        <f>IFERROR(__xludf.DUMMYFUNCTION("GOOGLETRANSLATE(B2317,""en"",""hy"")"),"Կանզասի սենատորները 2013-ին Փեթ Ռոբերթսն ու Ջերի Մորանն էին։")</f>
        <v>Կանզասի սենատորները 2013-ին Փեթ Ռոբերթսն ու Ջերի Մորանն էին։</v>
      </c>
    </row>
    <row r="2318">
      <c r="A2318" s="1" t="s">
        <v>4587</v>
      </c>
      <c r="B2318" s="2" t="s">
        <v>4588</v>
      </c>
      <c r="C2318" s="3" t="str">
        <f>IFERROR(__xludf.DUMMYFUNCTION("GOOGLETRANSLATE(A2318,""en"",""hy"")"),"ի՞նչն է ազդել Ջեքսոն Փոլոքի աշխատանքի վրա:")</f>
        <v>ի՞նչն է ազդել Ջեքսոն Փոլոքի աշխատանքի վրա:</v>
      </c>
      <c r="D2318" s="3" t="str">
        <f>IFERROR(__xludf.DUMMYFUNCTION("GOOGLETRANSLATE(B2318,""en"",""hy"")"),"Աբստրակտ էքսպրեսիոնիզմը, բնիկ ամերիկյան արվեստը, սյուրռեալիզմը, Յունգի հոգեբանությունը և ինքնին նկարչությունը ազդել են Ջեքսոն Փոլոքի աշխատանքի վրա։")</f>
        <v>Աբստրակտ էքսպրեսիոնիզմը, բնիկ ամերիկյան արվեստը, սյուրռեալիզմը, Յունգի հոգեբանությունը և ինքնին նկարչությունը ազդել են Ջեքսոն Փոլոքի աշխատանքի վրա։</v>
      </c>
    </row>
    <row r="2319">
      <c r="A2319" s="1" t="s">
        <v>4589</v>
      </c>
      <c r="B2319" s="2" t="s">
        <v>4523</v>
      </c>
      <c r="C2319" s="3" t="str">
        <f>IFERROR(__xludf.DUMMYFUNCTION("GOOGLETRANSLATE(A2319,""en"",""hy"")"),"ո՞ր նահանգից է ընտրվել Ջոն Ադամսը")</f>
        <v>ո՞ր նահանգից է ընտրվել Ջոն Ադամսը</v>
      </c>
      <c r="D2319" s="3" t="str">
        <f>IFERROR(__xludf.DUMMYFUNCTION("GOOGLETRANSLATE(B2319,""en"",""hy"")"),"Մասաչուսեթս.")</f>
        <v>Մասաչուսեթս.</v>
      </c>
    </row>
    <row r="2320">
      <c r="A2320" s="1" t="s">
        <v>4590</v>
      </c>
      <c r="B2320" s="2" t="s">
        <v>4591</v>
      </c>
      <c r="C2320" s="3" t="str">
        <f>IFERROR(__xludf.DUMMYFUNCTION("GOOGLETRANSLATE(A2320,""en"",""hy"")"),"ով խաղաց երիտասարդ Սեմ Վինչեսթերի հետ:")</f>
        <v>ով խաղաց երիտասարդ Սեմ Վինչեսթերի հետ:</v>
      </c>
      <c r="D2320" s="3" t="str">
        <f>IFERROR(__xludf.DUMMYFUNCTION("GOOGLETRANSLATE(B2320,""en"",""hy"")"),"Քոլին Ֆորդ.")</f>
        <v>Քոլին Ֆորդ.</v>
      </c>
    </row>
    <row r="2321">
      <c r="A2321" s="1" t="s">
        <v>4592</v>
      </c>
      <c r="B2321" s="2" t="s">
        <v>4593</v>
      </c>
      <c r="C2321" s="3" t="str">
        <f>IFERROR(__xludf.DUMMYFUNCTION("GOOGLETRANSLATE(A2321,""en"",""hy"")"),"ո՞րն է Ուկրաինայի պաշտոնական լեզուն:")</f>
        <v>ո՞րն է Ուկրաինայի պաշտոնական լեզուն:</v>
      </c>
      <c r="D2321" s="3" t="str">
        <f>IFERROR(__xludf.DUMMYFUNCTION("GOOGLETRANSLATE(B2321,""en"",""hy"")"),"Ուկրաինայի պաշտոնական լեզուն ուկրաիներենն է։")</f>
        <v>Ուկրաինայի պաշտոնական լեզուն ուկրաիներենն է։</v>
      </c>
    </row>
    <row r="2322">
      <c r="A2322" s="1" t="s">
        <v>4594</v>
      </c>
      <c r="B2322" s="2" t="s">
        <v>4595</v>
      </c>
      <c r="C2322" s="3" t="str">
        <f>IFERROR(__xludf.DUMMYFUNCTION("GOOGLETRANSLATE(A2322,""en"",""hy"")"),"ով շահեց 2001 fa Cup?")</f>
        <v>ով շահեց 2001 fa Cup?</v>
      </c>
      <c r="D2322" s="3" t="str">
        <f>IFERROR(__xludf.DUMMYFUNCTION("GOOGLETRANSLATE(B2322,""en"",""hy"")"),"Լիվերպուլ.")</f>
        <v>Լիվերպուլ.</v>
      </c>
    </row>
    <row r="2323">
      <c r="A2323" s="1" t="s">
        <v>4596</v>
      </c>
      <c r="B2323" s="2" t="s">
        <v>4597</v>
      </c>
      <c r="C2323" s="3" t="str">
        <f>IFERROR(__xludf.DUMMYFUNCTION("GOOGLETRANSLATE(A2323,""en"",""hy"")"),"ի՞նչ երգեր է երգել duane allman-ը:")</f>
        <v>ի՞նչ երգեր է երգել duane allman-ը:</v>
      </c>
      <c r="D2323" s="3" t="str">
        <f>IFERROR(__xludf.DUMMYFUNCTION("GOOGLETRANSLATE(B2323,""en"",""hy"")"),"Դուան Ալմանը չէր երգում, նա առաջին հերթին հայտնի էր կիթառ նվագելով։")</f>
        <v>Դուան Ալմանը չէր երգում, նա առաջին հերթին հայտնի էր կիթառ նվագելով։</v>
      </c>
    </row>
    <row r="2324">
      <c r="A2324" s="1" t="s">
        <v>4598</v>
      </c>
      <c r="B2324" s="2" t="s">
        <v>4599</v>
      </c>
      <c r="C2324" s="3" t="str">
        <f>IFERROR(__xludf.DUMMYFUNCTION("GOOGLETRANSLATE(A2324,""en"",""hy"")"),"ով է Դարթ Վեյդերի դերը աստղային պատերազմների օրիգինալ ֆիլմերում:")</f>
        <v>ով է Դարթ Վեյդերի դերը աստղային պատերազմների օրիգինալ ֆիլմերում:</v>
      </c>
      <c r="D2324" s="3" t="str">
        <f>IFERROR(__xludf.DUMMYFUNCTION("GOOGLETRANSLATE(B2324,""en"",""hy"")"),"Դեյվիդ Փրոուզ.")</f>
        <v>Դեյվիդ Փրոուզ.</v>
      </c>
    </row>
    <row r="2325">
      <c r="A2325" s="1" t="s">
        <v>4600</v>
      </c>
      <c r="B2325" s="2" t="s">
        <v>4601</v>
      </c>
      <c r="C2325" s="3" t="str">
        <f>IFERROR(__xludf.DUMMYFUNCTION("GOOGLETRANSLATE(A2325,""en"",""hy"")"),"Ե՞րբ ենք մենք փոխում ժամացույցները 2011 թվականին Ավստրալիայում:")</f>
        <v>Ե՞րբ ենք մենք փոխում ժամացույցները 2011 թվականին Ավստրալիայում:</v>
      </c>
      <c r="D2325" s="3" t="str">
        <f>IFERROR(__xludf.DUMMYFUNCTION("GOOGLETRANSLATE(B2325,""en"",""hy"")"),"2011 թվականին Ավստրալիայում ժամացույցները փոխվել են հոկտեմբերի 2-ին:")</f>
        <v>2011 թվականին Ավստրալիայում ժամացույցները փոխվել են հոկտեմբերի 2-ին:</v>
      </c>
    </row>
    <row r="2326">
      <c r="A2326" s="1" t="s">
        <v>4602</v>
      </c>
      <c r="B2326" s="2" t="s">
        <v>4603</v>
      </c>
      <c r="C2326" s="3" t="str">
        <f>IFERROR(__xludf.DUMMYFUNCTION("GOOGLETRANSLATE(A2326,""en"",""hy"")"),"Ո՞ր թիմում է Ջո Հարթը խաղացել «Մանչեսթեր Սիթի»-ից առաջ:")</f>
        <v>Ո՞ր թիմում է Ջո Հարթը խաղացել «Մանչեսթեր Սիթի»-ից առաջ:</v>
      </c>
      <c r="D2326" s="3" t="str">
        <f>IFERROR(__xludf.DUMMYFUNCTION("GOOGLETRANSLATE(B2326,""en"",""hy"")"),"Ջո Հարթը խաղացել է «Շրուսբերի Թաունում» նախքան «Մանչեսթեր Սիթիին» միանալը:")</f>
        <v>Ջո Հարթը խաղացել է «Շրուսբերի Թաունում» նախքան «Մանչեսթեր Սիթիին» միանալը:</v>
      </c>
    </row>
    <row r="2327">
      <c r="A2327" s="1" t="s">
        <v>4604</v>
      </c>
      <c r="B2327" s="2" t="s">
        <v>4605</v>
      </c>
      <c r="C2327" s="3" t="str">
        <f>IFERROR(__xludf.DUMMYFUNCTION("GOOGLETRANSLATE(A2327,""en"",""hy"")"),"ում հետ ամուսնացավ Սքարլեթ Յոհանսոնը")</f>
        <v>ում հետ ամուսնացավ Սքարլեթ Յոհանսոնը</v>
      </c>
      <c r="D2327" s="3" t="str">
        <f>IFERROR(__xludf.DUMMYFUNCTION("GOOGLETRANSLATE(B2327,""en"",""hy"")"),"Սքարլեթ Յոհանսոնն ամուսնացավ Քոլին Ջոստի հետ։")</f>
        <v>Սքարլեթ Յոհանսոնն ամուսնացավ Քոլին Ջոստի հետ։</v>
      </c>
    </row>
    <row r="2328">
      <c r="A2328" s="1" t="s">
        <v>4606</v>
      </c>
      <c r="B2328" s="2" t="s">
        <v>4607</v>
      </c>
      <c r="C2328" s="3" t="str">
        <f>IFERROR(__xludf.DUMMYFUNCTION("GOOGLETRANSLATE(A2328,""en"",""hy"")"),"ո՞ր թիմում է խաղացել Դագ Ուիլյամսը:")</f>
        <v>ո՞ր թիմում է խաղացել Դագ Ուիլյամսը:</v>
      </c>
      <c r="D2328" s="3" t="str">
        <f>IFERROR(__xludf.DUMMYFUNCTION("GOOGLETRANSLATE(B2328,""en"",""hy"")"),"Դագ Ուիլյամսը խաղացել է Tampa Bay Buccaneers-ում։")</f>
        <v>Դագ Ուիլյամսը խաղացել է Tampa Bay Buccaneers-ում։</v>
      </c>
    </row>
    <row r="2329">
      <c r="A2329" s="1" t="s">
        <v>4608</v>
      </c>
      <c r="B2329" s="2" t="s">
        <v>4609</v>
      </c>
      <c r="C2329" s="3" t="str">
        <f>IFERROR(__xludf.DUMMYFUNCTION("GOOGLETRANSLATE(A2329,""en"",""hy"")"),"որո՞նք են տարբեր սպորտաձևերը Ֆիլիպիններում:")</f>
        <v>որո՞նք են տարբեր սպորտաձևերը Ֆիլիպիններում:</v>
      </c>
      <c r="D2329" s="3" t="str">
        <f>IFERROR(__xludf.DUMMYFUNCTION("GOOGLETRANSLATE(B2329,""en"",""hy"")"),"Ֆիլիպիններում որոշ հայտնի սպորտաձևեր ներառում են բասկետբոլ, բռնցքամարտ, վոլեյբոլ, բեյսբոլ, թենիս, ֆուտբոլ և լող:")</f>
        <v>Ֆիլիպիններում որոշ հայտնի սպորտաձևեր ներառում են բասկետբոլ, բռնցքամարտ, վոլեյբոլ, բեյսբոլ, թենիս, ֆուտբոլ և լող:</v>
      </c>
    </row>
    <row r="2330">
      <c r="A2330" s="1" t="s">
        <v>4610</v>
      </c>
      <c r="B2330" s="2" t="s">
        <v>4611</v>
      </c>
      <c r="C2330" s="3" t="str">
        <f>IFERROR(__xludf.DUMMYFUNCTION("GOOGLETRANSLATE(A2330,""en"",""hy"")"),"ով հաղթեց Վենեսուելայի նախագահական ընտրություններում.")</f>
        <v>ով հաղթեց Վենեսուելայի նախագահական ընտրություններում.</v>
      </c>
      <c r="D2330" s="3" t="str">
        <f>IFERROR(__xludf.DUMMYFUNCTION("GOOGLETRANSLATE(B2330,""en"",""hy"")"),"2021 թվականի հոկտեմբերի դրությամբ Վենեսուելայում նախագահական մրցավազքը դեռ չի կայացել։")</f>
        <v>2021 թվականի հոկտեմբերի դրությամբ Վենեսուելայում նախագահական մրցավազքը դեռ չի կայացել։</v>
      </c>
    </row>
    <row r="2331">
      <c r="A2331" s="1" t="s">
        <v>4612</v>
      </c>
      <c r="B2331" s="2" t="s">
        <v>4613</v>
      </c>
      <c r="C2331" s="3" t="str">
        <f>IFERROR(__xludf.DUMMYFUNCTION("GOOGLETRANSLATE(A2331,""en"",""hy"")"),"որտեղ է տեղի ունեցել Վիլլի Վոնկան")</f>
        <v>որտեղ է տեղի ունեցել Վիլլի Վոնկան</v>
      </c>
      <c r="D2331" s="3" t="str">
        <f>IFERROR(__xludf.DUMMYFUNCTION("GOOGLETRANSLATE(B2331,""en"",""hy"")"),"Willy Wonka-ի իրադարձությունները տեղի են ունեցել հորինված քաղաքում, որը կոչվում է «Willy Wonka's Chocolate Factory»:")</f>
        <v>Willy Wonka-ի իրադարձությունները տեղի են ունեցել հորինված քաղաքում, որը կոչվում է «Willy Wonka's Chocolate Factory»:</v>
      </c>
    </row>
    <row r="2332">
      <c r="A2332" s="1" t="s">
        <v>4614</v>
      </c>
      <c r="B2332" s="2" t="s">
        <v>4615</v>
      </c>
      <c r="C2332" s="3" t="str">
        <f>IFERROR(__xludf.DUMMYFUNCTION("GOOGLETRANSLATE(A2332,""en"",""hy"")"),"ի՞նչ աստիճան է ստացել Մարտին Լյութեր Քինգը:")</f>
        <v>ի՞նչ աստիճան է ստացել Մարտին Լյութեր Քինգը:</v>
      </c>
      <c r="D2332" s="3" t="str">
        <f>IFERROR(__xludf.DUMMYFUNCTION("GOOGLETRANSLATE(B2332,""en"",""hy"")"),"Մարտին Լյութեր Քինգ կրտսերը արվեստի բակալավրի կոչում է ստացել սոցիոլոգիայում:")</f>
        <v>Մարտին Լյութեր Քինգ կրտսերը արվեստի բակալավրի կոչում է ստացել սոցիոլոգիայում:</v>
      </c>
    </row>
    <row r="2333">
      <c r="A2333" s="1" t="s">
        <v>4616</v>
      </c>
      <c r="B2333" s="2" t="s">
        <v>4617</v>
      </c>
      <c r="C2333" s="3" t="str">
        <f>IFERROR(__xludf.DUMMYFUNCTION("GOOGLETRANSLATE(A2333,""en"",""hy"")"),"ի՞նչ տեսակի երաժշտություն է գրել Վիվալդին:")</f>
        <v>ի՞նչ տեսակի երաժշտություն է գրել Վիվալդին:</v>
      </c>
      <c r="D2333" s="3" t="str">
        <f>IFERROR(__xludf.DUMMYFUNCTION("GOOGLETRANSLATE(B2333,""en"",""hy"")"),"Վիվալդին գրել է բարոկկո երաժշտություն։")</f>
        <v>Վիվալդին գրել է բարոկկո երաժշտություն։</v>
      </c>
    </row>
    <row r="2334">
      <c r="A2334" s="1" t="s">
        <v>4618</v>
      </c>
      <c r="B2334" s="2" t="s">
        <v>4619</v>
      </c>
      <c r="C2334" s="3" t="str">
        <f>IFERROR(__xludf.DUMMYFUNCTION("GOOGLETRANSLATE(A2334,""en"",""hy"")"),"Ի՞նչ գրքեր է գրել Էլի Վիզելը:")</f>
        <v>Ի՞նչ գրքեր է գրել Էլի Վիզելը:</v>
      </c>
      <c r="D2334" s="3" t="str">
        <f>IFERROR(__xludf.DUMMYFUNCTION("GOOGLETRANSLATE(B2334,""en"",""hy"")"),"Էլի Վիզելը գրել է բազմաթիվ գրքեր, այդ թվում՝ հայտնի «Գիշեր» հուշագրությունը Հոլոքոստի ժամանակ նացիստական ​​համակենտրոնացման ճամբարներում իր փորձառությունների մասին:")</f>
        <v>Էլի Վիզելը գրել է բազմաթիվ գրքեր, այդ թվում՝ հայտնի «Գիշեր» հուշագրությունը Հոլոքոստի ժամանակ նացիստական ​​համակենտրոնացման ճամբարներում իր փորձառությունների մասին:</v>
      </c>
    </row>
    <row r="2335">
      <c r="A2335" s="1" t="s">
        <v>4620</v>
      </c>
      <c r="B2335" s="2" t="s">
        <v>4621</v>
      </c>
      <c r="C2335" s="3" t="str">
        <f>IFERROR(__xludf.DUMMYFUNCTION("GOOGLETRANSLATE(A2335,""en"",""hy"")"),"Ե՞րբ է Բոստոն Սելթիքսը հաղթել իր առաջին առաջնությունը:")</f>
        <v>Ե՞րբ է Բոստոն Սելթիքսը հաղթել իր առաջին առաջնությունը:</v>
      </c>
      <c r="D2335" s="3" t="str">
        <f>IFERROR(__xludf.DUMMYFUNCTION("GOOGLETRANSLATE(B2335,""en"",""hy"")"),"Բոստոն Սելթիքսն իր առաջին չեմպիոնությունը նվաճեց 1957 թվականին։")</f>
        <v>Բոստոն Սելթիքսն իր առաջին չեմպիոնությունը նվաճեց 1957 թվականին։</v>
      </c>
    </row>
    <row r="2336">
      <c r="A2336" s="1" t="s">
        <v>4622</v>
      </c>
      <c r="B2336" s="2" t="s">
        <v>4623</v>
      </c>
      <c r="C2336" s="3" t="str">
        <f>IFERROR(__xludf.DUMMYFUNCTION("GOOGLETRANSLATE(A2336,""en"",""hy"")"),"ով է Քեմերոն Քրոուն")</f>
        <v>ով է Քեմերոն Քրոուն</v>
      </c>
      <c r="D2336" s="3" t="str">
        <f>IFERROR(__xludf.DUMMYFUNCTION("GOOGLETRANSLATE(B2336,""en"",""hy"")"),"Քեմերոն Քրոուն կինոռեժիսոր է և սցենարիստ։")</f>
        <v>Քեմերոն Քրոուն կինոռեժիսոր է և սցենարիստ։</v>
      </c>
    </row>
    <row r="2337">
      <c r="A2337" s="1" t="s">
        <v>4624</v>
      </c>
      <c r="B2337" s="2" t="s">
        <v>4625</v>
      </c>
      <c r="C2337" s="3" t="str">
        <f>IFERROR(__xludf.DUMMYFUNCTION("GOOGLETRANSLATE(A2337,""en"",""hy"")"),"ո՞րն է Ռուսաստանի օրհներգը")</f>
        <v>ո՞րն է Ռուսաստանի օրհներգը</v>
      </c>
      <c r="D2337" s="3" t="str">
        <f>IFERROR(__xludf.DUMMYFUNCTION("GOOGLETRANSLATE(B2337,""en"",""hy"")"),"Ռուսաստանի ազգային օրհներգն է «Государственный гимн Российской Федерации» (Gosudarstvennyy gimn Rossiyskoy Federatsii):")</f>
        <v>Ռուսաստանի ազգային օրհներգն է «Государственный гимн Российской Федерации» (Gosudarstvennyy gimn Rossiyskoy Federatsii):</v>
      </c>
    </row>
    <row r="2338">
      <c r="A2338" s="1" t="s">
        <v>4626</v>
      </c>
      <c r="B2338" s="2" t="s">
        <v>4627</v>
      </c>
      <c r="C2338" s="3" t="str">
        <f>IFERROR(__xludf.DUMMYFUNCTION("GOOGLETRANSLATE(A2338,""en"",""hy"")"),"ո՞ր քոլեջն է հաճախել Լի Կորսոն:")</f>
        <v>ո՞ր քոլեջն է հաճախել Լի Կորսոն:</v>
      </c>
      <c r="D2338" s="3" t="str">
        <f>IFERROR(__xludf.DUMMYFUNCTION("GOOGLETRANSLATE(B2338,""en"",""hy"")"),"Լի Կորսոն հաճախել է Ֆլորիդայի պետական ​​համալսարան:")</f>
        <v>Լի Կորսոն հաճախել է Ֆլորիդայի պետական ​​համալսարան:</v>
      </c>
    </row>
    <row r="2339">
      <c r="A2339" s="1" t="s">
        <v>4628</v>
      </c>
      <c r="B2339" s="2" t="s">
        <v>4629</v>
      </c>
      <c r="C2339" s="3" t="str">
        <f>IFERROR(__xludf.DUMMYFUNCTION("GOOGLETRANSLATE(A2339,""en"",""hy"")"),"ինչ ֆիլմերում է նկարահանվել Լիամ Նիսոնը")</f>
        <v>ինչ ֆիլմերում է նկարահանվել Լիամ Նիսոնը</v>
      </c>
      <c r="D2339" s="3" t="str">
        <f>IFERROR(__xludf.DUMMYFUNCTION("GOOGLETRANSLATE(B2339,""en"",""hy"")"),"«Լիամ Նիսոնը նկարահանվել է այնպիսի ֆիլմերում, ինչպիսիք են Taken-ը, Schindler's List-ը և The Qui-ն:")</f>
        <v>«Լիամ Նիսոնը նկարահանվել է այնպիսի ֆիլմերում, ինչպիսիք են Taken-ը, Schindler's List-ը և The Qui-ն:</v>
      </c>
    </row>
    <row r="2340">
      <c r="A2340" s="1" t="s">
        <v>4630</v>
      </c>
      <c r="B2340" s="2" t="s">
        <v>4631</v>
      </c>
      <c r="C2340" s="3" t="str">
        <f>IFERROR(__xludf.DUMMYFUNCTION("GOOGLETRANSLATE(A2340,""en"",""hy"")"),"որո՞նք են ՆԱՏՕ-ի բոլոր երկրները:")</f>
        <v>որո՞նք են ՆԱՏՕ-ի բոլոր երկրները:</v>
      </c>
      <c r="D2340" s="3" t="str">
        <f>IFERROR(__xludf.DUMMYFUNCTION("GOOGLETRANSLATE(B2340,""en"",""hy"")"),"ՆԱՏՕ-ում կա 30 երկիր։")</f>
        <v>ՆԱՏՕ-ում կա 30 երկիր։</v>
      </c>
    </row>
    <row r="2341">
      <c r="A2341" s="1" t="s">
        <v>4632</v>
      </c>
      <c r="B2341" s="2" t="s">
        <v>4633</v>
      </c>
      <c r="C2341" s="3" t="str">
        <f>IFERROR(__xludf.DUMMYFUNCTION("GOOGLETRANSLATE(A2341,""en"",""hy"")"),"ինչո՞վ է զբաղվում Թիմ Գանը:")</f>
        <v>ինչո՞վ է զբաղվում Թիմ Գանը:</v>
      </c>
      <c r="D2341" s="3" t="str">
        <f>IFERROR(__xludf.DUMMYFUNCTION("GOOGLETRANSLATE(B2341,""en"",""hy"")"),"Թիմ Գանը նորաձեւության խորհրդատու է և հեռուստատեսային անձնավորություն:")</f>
        <v>Թիմ Գանը նորաձեւության խորհրդատու է և հեռուստատեսային անձնավորություն:</v>
      </c>
    </row>
    <row r="2342">
      <c r="A2342" s="1" t="s">
        <v>4634</v>
      </c>
      <c r="B2342" s="2" t="s">
        <v>4635</v>
      </c>
      <c r="C2342" s="3" t="str">
        <f>IFERROR(__xludf.DUMMYFUNCTION("GOOGLETRANSLATE(A2342,""en"",""hy"")"),"ինչ էր Էլի Ուիթնիի աշխատանքը:")</f>
        <v>ինչ էր Էլի Ուիթնիի աշխատանքը:</v>
      </c>
      <c r="D2342" s="3" t="str">
        <f>IFERROR(__xludf.DUMMYFUNCTION("GOOGLETRANSLATE(B2342,""en"",""hy"")"),"Էլի Ուիթնիի աշխատանքը գյուտարարի և արտադրողի աշխատանքն էր:")</f>
        <v>Էլի Ուիթնիի աշխատանքը գյուտարարի և արտադրողի աշխատանքն էր:</v>
      </c>
    </row>
    <row r="2343">
      <c r="A2343" s="1" t="s">
        <v>4636</v>
      </c>
      <c r="B2343" s="2" t="s">
        <v>4637</v>
      </c>
      <c r="C2343" s="3" t="str">
        <f>IFERROR(__xludf.DUMMYFUNCTION("GOOGLETRANSLATE(A2343,""en"",""hy"")"),"Ո՞ր քաղաքում են գտնվում շվեյցարական ալպերը:")</f>
        <v>Ո՞ր քաղաքում են գտնվում շվեյցարական ալպերը:</v>
      </c>
      <c r="D2343" s="3" t="str">
        <f>IFERROR(__xludf.DUMMYFUNCTION("GOOGLETRANSLATE(B2343,""en"",""hy"")"),"Շվեյցարական Ալպերը գտնվում են Շվեյցարիայում:")</f>
        <v>Շվեյցարական Ալպերը գտնվում են Շվեյցարիայում:</v>
      </c>
    </row>
    <row r="2344">
      <c r="A2344" s="1" t="s">
        <v>4638</v>
      </c>
      <c r="B2344" s="2" t="s">
        <v>4639</v>
      </c>
      <c r="C2344" s="3" t="str">
        <f>IFERROR(__xludf.DUMMYFUNCTION("GOOGLETRANSLATE(A2344,""en"",""hy"")"),"ո՞ր քաղաքական կուսակցությունից էր Ադոլֆ Հիտլերը:")</f>
        <v>ո՞ր քաղաքական կուսակցությունից էր Ադոլֆ Հիտլերը:</v>
      </c>
      <c r="D2344" s="3" t="str">
        <f>IFERROR(__xludf.DUMMYFUNCTION("GOOGLETRANSLATE(B2344,""en"",""hy"")"),"Ադոլֆ Հիտլերը Գերմանիայի ազգային-սոցիալիստական ​​բանվորական կուսակցությունից էր (Նացիստական ​​կուսակցություն):")</f>
        <v>Ադոլֆ Հիտլերը Գերմանիայի ազգային-սոցիալիստական ​​բանվորական կուսակցությունից էր (Նացիստական ​​կուսակցություն):</v>
      </c>
    </row>
    <row r="2345">
      <c r="A2345" s="1" t="s">
        <v>4640</v>
      </c>
      <c r="B2345" s="2" t="s">
        <v>4641</v>
      </c>
      <c r="C2345" s="3" t="str">
        <f>IFERROR(__xludf.DUMMYFUNCTION("GOOGLETRANSLATE(A2345,""en"",""hy"")"),"ում հետ ամուսնացավ Հերմիոն Գրենջերը:")</f>
        <v>ում հետ ամուսնացավ Հերմիոն Գրենջերը:</v>
      </c>
      <c r="D2345" s="3" t="str">
        <f>IFERROR(__xludf.DUMMYFUNCTION("GOOGLETRANSLATE(B2345,""en"",""hy"")"),"Հերմիոնա Գրեյնջերն ամուսնացավ Ռոն Ուիզլիի հետ։")</f>
        <v>Հերմիոնա Գրեյնջերն ամուսնացավ Ռոն Ուիզլիի հետ։</v>
      </c>
    </row>
    <row r="2346">
      <c r="A2346" s="1" t="s">
        <v>4642</v>
      </c>
      <c r="B2346" s="2" t="s">
        <v>4643</v>
      </c>
      <c r="C2346" s="3" t="str">
        <f>IFERROR(__xludf.DUMMYFUNCTION("GOOGLETRANSLATE(A2346,""en"",""hy"")"),"ով է եղել առաջին ջեդի վարպետը")</f>
        <v>ով է եղել առաջին ջեդի վարպետը</v>
      </c>
      <c r="D2346" s="3" t="str">
        <f>IFERROR(__xludf.DUMMYFUNCTION("GOOGLETRANSLATE(B2346,""en"",""hy"")"),"Ջեդիների առաջին վարպետը եղել է ջեդայ վարպետ Մեյս Ուինդուն։")</f>
        <v>Ջեդիների առաջին վարպետը եղել է ջեդայ վարպետ Մեյս Ուինդուն։</v>
      </c>
    </row>
    <row r="2347">
      <c r="A2347" s="1" t="s">
        <v>4644</v>
      </c>
      <c r="B2347" s="2" t="s">
        <v>4645</v>
      </c>
      <c r="C2347" s="3" t="str">
        <f>IFERROR(__xludf.DUMMYFUNCTION("GOOGLETRANSLATE(A2347,""en"",""hy"")"),"ի՞նչ տարածքներ է հայտնաբերել Հենրի Հադսոնը:")</f>
        <v>ի՞նչ տարածքներ է հայտնաբերել Հենրի Հադսոնը:</v>
      </c>
      <c r="D2347" s="3" t="str">
        <f>IFERROR(__xludf.DUMMYFUNCTION("GOOGLETRANSLATE(B2347,""en"",""hy"")"),"Հենրի Հադսոնը հայտնաբերել է մի քանի տարածքներ, այդ թվում՝ Հադսոն ծովածոցը, Հադսոն գետը և ներկայիս Նյու Յորքի և Կանադայի մասերը:")</f>
        <v>Հենրի Հադսոնը հայտնաբերել է մի քանի տարածքներ, այդ թվում՝ Հադսոն ծովածոցը, Հադսոն գետը և ներկայիս Նյու Յորքի և Կանադայի մասերը:</v>
      </c>
    </row>
    <row r="2348">
      <c r="A2348" s="1" t="s">
        <v>4646</v>
      </c>
      <c r="B2348" s="2" t="s">
        <v>4647</v>
      </c>
      <c r="C2348" s="3" t="str">
        <f>IFERROR(__xludf.DUMMYFUNCTION("GOOGLETRANSLATE(A2348,""en"",""hy"")"),"ինչ են խոսում թայվանցիները")</f>
        <v>ինչ են խոսում թայվանցիները</v>
      </c>
      <c r="D2348" s="3" t="str">
        <f>IFERROR(__xludf.DUMMYFUNCTION("GOOGLETRANSLATE(B2348,""en"",""hy"")"),"Թայվանի բնակիչները հիմնականում խոսում են մանդարին չինարեն:")</f>
        <v>Թայվանի բնակիչները հիմնականում խոսում են մանդարին չինարեն:</v>
      </c>
    </row>
    <row r="2349">
      <c r="A2349" s="1" t="s">
        <v>4648</v>
      </c>
      <c r="B2349" s="2" t="s">
        <v>4649</v>
      </c>
      <c r="C2349" s="3" t="str">
        <f>IFERROR(__xludf.DUMMYFUNCTION("GOOGLETRANSLATE(A2349,""en"",""hy"")"),"ինչն է Անջելա Դեւիսին հայտնի դարձրել")</f>
        <v>ինչն է Անջելա Դեւիսին հայտնի դարձրել</v>
      </c>
      <c r="D2349" s="3" t="str">
        <f>IFERROR(__xludf.DUMMYFUNCTION("GOOGLETRANSLATE(B2349,""en"",""hy"")"),"Անջելա Դևիսը հայտնի դարձավ քաղաքացիական իրավունքների ոլորտում իր ներգրավվածությամբ, «Սև հովազ» կուսակցությանն անդամակցությամբ և գենդերային հավասարության և բանտերի վերացման համար իր ակտիվությամբ:")</f>
        <v>Անջելա Դևիսը հայտնի դարձավ քաղաքացիական իրավունքների ոլորտում իր ներգրավվածությամբ, «Սև հովազ» կուսակցությանն անդամակցությամբ և գենդերային հավասարության և բանտերի վերացման համար իր ակտիվությամբ:</v>
      </c>
    </row>
    <row r="2350">
      <c r="A2350" s="1" t="s">
        <v>4650</v>
      </c>
      <c r="B2350" s="2" t="s">
        <v>745</v>
      </c>
      <c r="C2350" s="3" t="str">
        <f>IFERROR(__xludf.DUMMYFUNCTION("GOOGLETRANSLATE(A2350,""en"",""hy"")"),"Ո՞ր նահանգում է գտնվում Ջորջ Վաշինգթոնի համալսարանը:")</f>
        <v>Ո՞ր նահանգում է գտնվում Ջորջ Վաշինգթոնի համալսարանը:</v>
      </c>
      <c r="D2350" s="3" t="str">
        <f>IFERROR(__xludf.DUMMYFUNCTION("GOOGLETRANSLATE(B2350,""en"",""hy"")"),"Վաշինգտոն, D.C.")</f>
        <v>Վաշինգտոն, D.C.</v>
      </c>
    </row>
    <row r="2351">
      <c r="A2351" s="1" t="s">
        <v>4651</v>
      </c>
      <c r="B2351" s="2" t="s">
        <v>4652</v>
      </c>
      <c r="C2351" s="3" t="str">
        <f>IFERROR(__xludf.DUMMYFUNCTION("GOOGLETRANSLATE(A2351,""en"",""hy"")"),"ո՞րն է Միչիգանի պետական ​​թռչունն ու ծաղիկը:")</f>
        <v>ո՞րն է Միչիգանի պետական ​​թռչունն ու ծաղիկը:</v>
      </c>
      <c r="D2351" s="3" t="str">
        <f>IFERROR(__xludf.DUMMYFUNCTION("GOOGLETRANSLATE(B2351,""en"",""hy"")"),"Միչիգանի նահանգի թռչունը ամերիկյան ռոբինն է, իսկ պետական ​​ծաղիկը խնձորի ծաղկունքն է։")</f>
        <v>Միչիգանի նահանգի թռչունը ամերիկյան ռոբինն է, իսկ պետական ​​ծաղիկը խնձորի ծաղկունքն է։</v>
      </c>
    </row>
    <row r="2352">
      <c r="A2352" s="1" t="s">
        <v>4653</v>
      </c>
      <c r="B2352" s="2" t="s">
        <v>4654</v>
      </c>
      <c r="C2352" s="3" t="str">
        <f>IFERROR(__xludf.DUMMYFUNCTION("GOOGLETRANSLATE(A2352,""en"",""hy"")"),"ինչ է ալ արաբական անուններով:")</f>
        <v>ինչ է ալ արաբական անուններով:</v>
      </c>
      <c r="D2352" s="3" t="str">
        <f>IFERROR(__xludf.DUMMYFUNCTION("GOOGLETRANSLATE(B2352,""en"",""hy"")"),"Արաբական անուններում «Ալ»-ը որոշակի հոդ է, որը նշանակում է «the» անգլերենում:")</f>
        <v>Արաբական անուններում «Ալ»-ը որոշակի հոդ է, որը նշանակում է «the» անգլերենում:</v>
      </c>
    </row>
    <row r="2353">
      <c r="A2353" s="1" t="s">
        <v>4655</v>
      </c>
      <c r="B2353" s="2" t="s">
        <v>4656</v>
      </c>
      <c r="C2353" s="3" t="str">
        <f>IFERROR(__xludf.DUMMYFUNCTION("GOOGLETRANSLATE(A2353,""en"",""hy"")"),"որտեղ է ծնվել նահանգապետ Կուոմոն:")</f>
        <v>որտեղ է ծնվել նահանգապետ Կուոմոն:</v>
      </c>
      <c r="D2353" s="3" t="str">
        <f>IFERROR(__xludf.DUMMYFUNCTION("GOOGLETRANSLATE(B2353,""en"",""hy"")"),"Նահանգապետ Կուոմոն ծնվել է Նյու Յորք նահանգի Քուինս քաղաքում։")</f>
        <v>Նահանգապետ Կուոմոն ծնվել է Նյու Յորք նահանգի Քուինս քաղաքում։</v>
      </c>
    </row>
    <row r="2354">
      <c r="A2354" s="1" t="s">
        <v>4657</v>
      </c>
      <c r="B2354" s="2" t="s">
        <v>4658</v>
      </c>
      <c r="C2354" s="3" t="str">
        <f>IFERROR(__xludf.DUMMYFUNCTION("GOOGLETRANSLATE(A2354,""en"",""hy"")"),"ովքեր են գերագույն դատարանի դատավորները.")</f>
        <v>ովքեր են գերագույն դատարանի դատավորները.</v>
      </c>
      <c r="D2354" s="3" t="str">
        <f>IFERROR(__xludf.DUMMYFUNCTION("GOOGLETRANSLATE(B2354,""en"",""hy"")"),"Գերագույն դատարանի դատավորները նշանակվում են Միացյալ Նահանգների նախագահի կողմից և հաստատվում Սենատի կողմից։")</f>
        <v>Գերագույն դատարանի դատավորները նշանակվում են Միացյալ Նահանգների նախագահի կողմից և հաստատվում Սենատի կողմից։</v>
      </c>
    </row>
    <row r="2355">
      <c r="A2355" s="1" t="s">
        <v>4659</v>
      </c>
      <c r="B2355" s="2" t="s">
        <v>4660</v>
      </c>
      <c r="C2355" s="3" t="str">
        <f>IFERROR(__xludf.DUMMYFUNCTION("GOOGLETRANSLATE(A2355,""en"",""hy"")"),"ով է հիմա Բրազիլիայի նախագահը.")</f>
        <v>ով է հիմա Բրազիլիայի նախագահը.</v>
      </c>
      <c r="D2355" s="3" t="str">
        <f>IFERROR(__xludf.DUMMYFUNCTION("GOOGLETRANSLATE(B2355,""en"",""hy"")"),"Ժաիր Բոլսոնարո.")</f>
        <v>Ժաիր Բոլսոնարո.</v>
      </c>
    </row>
    <row r="2356">
      <c r="A2356" s="1" t="s">
        <v>4661</v>
      </c>
      <c r="B2356" s="2" t="s">
        <v>4662</v>
      </c>
      <c r="C2356" s="3" t="str">
        <f>IFERROR(__xludf.DUMMYFUNCTION("GOOGLETRANSLATE(A2356,""en"",""hy"")"),"Ո՞ր տարիներին են ագռավները հաղթել սուպեր գավաթում:")</f>
        <v>Ո՞ր տարիներին են ագռավները հաղթել սուպեր գավաթում:</v>
      </c>
      <c r="D2356" s="3" t="str">
        <f>IFERROR(__xludf.DUMMYFUNCTION("GOOGLETRANSLATE(B2356,""en"",""hy"")"),"The Ravens-ը հաղթել է Super Bowl-ը 2000 և 2012 թվականներին:")</f>
        <v>The Ravens-ը հաղթել է Super Bowl-ը 2000 և 2012 թվականներին:</v>
      </c>
    </row>
    <row r="2357">
      <c r="A2357" s="1" t="s">
        <v>4663</v>
      </c>
      <c r="B2357" s="2" t="s">
        <v>4664</v>
      </c>
      <c r="C2357" s="3" t="str">
        <f>IFERROR(__xludf.DUMMYFUNCTION("GOOGLETRANSLATE(A2357,""en"",""hy"")"),"ինչ գումար տանել Շրի Լանկա.")</f>
        <v>ինչ գումար տանել Շրի Լանկա.</v>
      </c>
      <c r="D2357" s="3" t="str">
        <f>IFERROR(__xludf.DUMMYFUNCTION("GOOGLETRANSLATE(B2357,""en"",""hy"")"),"Շրի Լանկայի արժույթը Շրի Լանկայի ռուփին է։")</f>
        <v>Շրի Լանկայի արժույթը Շրի Լանկայի ռուփին է։</v>
      </c>
    </row>
    <row r="2358">
      <c r="A2358" s="1" t="s">
        <v>4665</v>
      </c>
      <c r="B2358" s="2">
        <v>1969.0</v>
      </c>
      <c r="C2358" s="3" t="str">
        <f>IFERROR(__xludf.DUMMYFUNCTION("GOOGLETRANSLATE(A2358,""en"",""hy"")"),"Ո՞ր տարին է Մեթսը շահել իրենց առաջին համաշխարհային սերիան:")</f>
        <v>Ո՞ր տարին է Մեթսը շահել իրենց առաջին համաշխարհային սերիան:</v>
      </c>
      <c r="D2358" s="3" t="str">
        <f>IFERROR(__xludf.DUMMYFUNCTION("GOOGLETRANSLATE(B2358,""en"",""hy"")"),"1969 թ")</f>
        <v>1969 թ</v>
      </c>
    </row>
    <row r="2359">
      <c r="A2359" s="1" t="s">
        <v>4666</v>
      </c>
      <c r="B2359" s="2" t="s">
        <v>4667</v>
      </c>
      <c r="C2359" s="3" t="str">
        <f>IFERROR(__xludf.DUMMYFUNCTION("GOOGLETRANSLATE(A2359,""en"",""hy"")"),"ով էր Լեոնարդո դա Վինչիի ուսուցիչը:")</f>
        <v>ով էր Լեոնարդո դա Վինչիի ուսուցիչը:</v>
      </c>
      <c r="D2359" s="3" t="str">
        <f>IFERROR(__xludf.DUMMYFUNCTION("GOOGLETRANSLATE(B2359,""en"",""hy"")"),"Անդրեա դել Վերրոկիո")</f>
        <v>Անդրեա դել Վերրոկիո</v>
      </c>
    </row>
    <row r="2360">
      <c r="A2360" s="1" t="s">
        <v>4668</v>
      </c>
      <c r="B2360" s="2" t="s">
        <v>4669</v>
      </c>
      <c r="C2360" s="3" t="str">
        <f>IFERROR(__xludf.DUMMYFUNCTION("GOOGLETRANSLATE(A2360,""en"",""hy"")"),"որտեղ է Նյութ Գինգրիխը հաճախել քոլեջ:")</f>
        <v>որտեղ է Նյութ Գինգրիխը հաճախել քոլեջ:</v>
      </c>
      <c r="D2360" s="3" t="str">
        <f>IFERROR(__xludf.DUMMYFUNCTION("GOOGLETRANSLATE(B2360,""en"",""hy"")"),"Նյութ Գինգրիչը սովորել է Էմորիի համալսարանի քոլեջում և այնտեղից ստացել իր բակալավրի աստիճանը:")</f>
        <v>Նյութ Գինգրիչը սովորել է Էմորիի համալսարանի քոլեջում և այնտեղից ստացել իր բակալավրի աստիճանը:</v>
      </c>
    </row>
    <row r="2361">
      <c r="A2361" s="1" t="s">
        <v>4670</v>
      </c>
      <c r="B2361" s="2" t="s">
        <v>4671</v>
      </c>
      <c r="C2361" s="3" t="str">
        <f>IFERROR(__xludf.DUMMYFUNCTION("GOOGLETRANSLATE(A2361,""en"",""hy"")"),"որտեղ է մահացել Թոմաս Ջեֆերսոնը")</f>
        <v>որտեղ է մահացել Թոմաս Ջեֆերսոնը</v>
      </c>
      <c r="D2361" s="3" t="str">
        <f>IFERROR(__xludf.DUMMYFUNCTION("GOOGLETRANSLATE(B2361,""en"",""hy"")"),"Թոմաս Ջեֆերսոնը մահացել է Վիրջինիա նահանգի Շառլոտսվիլ քաղաքում գտնվող իր տանը՝ Մոնտիչելլոյում:")</f>
        <v>Թոմաս Ջեֆերսոնը մահացել է Վիրջինիա նահանգի Շառլոտսվիլ քաղաքում գտնվող իր տանը՝ Մոնտիչելլոյում:</v>
      </c>
    </row>
    <row r="2362">
      <c r="A2362" s="1" t="s">
        <v>4672</v>
      </c>
      <c r="B2362" s="2" t="s">
        <v>4673</v>
      </c>
      <c r="C2362" s="3" t="str">
        <f>IFERROR(__xludf.DUMMYFUNCTION("GOOGLETRANSLATE(A2362,""en"",""hy"")"),"Ո՞ր ֆուտբոլային թիմերում է խաղացել Էմիթ Սմիթը:")</f>
        <v>Ո՞ր ֆուտբոլային թիմերում է խաղացել Էմիթ Սմիթը:</v>
      </c>
      <c r="D2362" s="3" t="str">
        <f>IFERROR(__xludf.DUMMYFUNCTION("GOOGLETRANSLATE(B2362,""en"",""hy"")"),"Էմմիթ Սմիթը խաղացել է Dallas Cowboys և Arizona Cardinals թիմերում։")</f>
        <v>Էմմիթ Սմիթը խաղացել է Dallas Cowboys և Arizona Cardinals թիմերում։</v>
      </c>
    </row>
    <row r="2363">
      <c r="A2363" s="1" t="s">
        <v>4674</v>
      </c>
      <c r="B2363" s="2" t="s">
        <v>4675</v>
      </c>
      <c r="C2363" s="3" t="str">
        <f>IFERROR(__xludf.DUMMYFUNCTION("GOOGLETRANSLATE(A2363,""en"",""hy"")"),"որտե՞ղ է Ջո Նամաթը հաճախել քոլեջ:")</f>
        <v>որտե՞ղ է Ջո Նամաթը հաճախել քոլեջ:</v>
      </c>
      <c r="D2363" s="3" t="str">
        <f>IFERROR(__xludf.DUMMYFUNCTION("GOOGLETRANSLATE(B2363,""en"",""hy"")"),"Ջո Նամաթը հաճախել է Ալաբամայի համալսարան:")</f>
        <v>Ջո Նամաթը հաճախել է Ալաբամայի համալսարան:</v>
      </c>
    </row>
    <row r="2364">
      <c r="A2364" s="1" t="s">
        <v>4676</v>
      </c>
      <c r="B2364" s="2" t="s">
        <v>4677</v>
      </c>
      <c r="C2364" s="3" t="str">
        <f>IFERROR(__xludf.DUMMYFUNCTION("GOOGLETRANSLATE(A2364,""en"",""hy"")"),"ո՞ր քաղաքում է գտնվում Պերդյու համալսարանը:")</f>
        <v>ո՞ր քաղաքում է գտնվում Պերդյու համալսարանը:</v>
      </c>
      <c r="D2364" s="3" t="str">
        <f>IFERROR(__xludf.DUMMYFUNCTION("GOOGLETRANSLATE(B2364,""en"",""hy"")"),"West Lafayette, Ինդիանա.")</f>
        <v>West Lafayette, Ինդիանա.</v>
      </c>
    </row>
    <row r="2365">
      <c r="A2365" s="1" t="s">
        <v>4678</v>
      </c>
      <c r="B2365" s="2" t="s">
        <v>4679</v>
      </c>
      <c r="C2365" s="3" t="str">
        <f>IFERROR(__xludf.DUMMYFUNCTION("GOOGLETRANSLATE(A2365,""en"",""hy"")"),"ինչ լեզվով են խոսում Թաիլանդում:")</f>
        <v>ինչ լեզվով են խոսում Թաիլանդում:</v>
      </c>
      <c r="D2365" s="3" t="str">
        <f>IFERROR(__xludf.DUMMYFUNCTION("GOOGLETRANSLATE(B2365,""en"",""hy"")"),"թայերեն.")</f>
        <v>թայերեն.</v>
      </c>
    </row>
    <row r="2366">
      <c r="A2366" s="1" t="s">
        <v>4680</v>
      </c>
      <c r="B2366" s="2" t="s">
        <v>4681</v>
      </c>
      <c r="C2366" s="3" t="str">
        <f>IFERROR(__xludf.DUMMYFUNCTION("GOOGLETRANSLATE(A2366,""en"",""hy"")"),"որտեղի՞ց է Իբրահիմ Չաթտան")</f>
        <v>որտեղի՞ց է Իբրահիմ Չաթտան</v>
      </c>
      <c r="D2366" s="3" t="str">
        <f>IFERROR(__xludf.DUMMYFUNCTION("GOOGLETRANSLATE(B2366,""en"",""hy"")"),"Իբրահիմ Չատտան Նիգերիայից է։")</f>
        <v>Իբրահիմ Չատտան Նիգերիայից է։</v>
      </c>
    </row>
    <row r="2367">
      <c r="A2367" s="1" t="s">
        <v>4682</v>
      </c>
      <c r="B2367" s="2" t="s">
        <v>4683</v>
      </c>
      <c r="C2367" s="3" t="str">
        <f>IFERROR(__xludf.DUMMYFUNCTION("GOOGLETRANSLATE(A2367,""en"",""hy"")"),"ինչում է բեթ Թվելը մրցում:")</f>
        <v>ինչում է բեթ Թվելը մրցում:</v>
      </c>
      <c r="D2367" s="3" t="str">
        <f>IFERROR(__xludf.DUMMYFUNCTION("GOOGLETRANSLATE(B2367,""en"",""hy"")"),"Բեթ Թվեդլը մրցում է մարմնամարզության մեջ։")</f>
        <v>Բեթ Թվեդլը մրցում է մարմնամարզության մեջ։</v>
      </c>
    </row>
    <row r="2368">
      <c r="A2368" s="1" t="s">
        <v>4684</v>
      </c>
      <c r="B2368" s="2" t="s">
        <v>4685</v>
      </c>
      <c r="C2368" s="3" t="str">
        <f>IFERROR(__xludf.DUMMYFUNCTION("GOOGLETRANSLATE(A2368,""en"",""hy"")"),"Ո՞ր օդանավակայանն է Տորոնտոյի կենտրոնին ամենամոտ:")</f>
        <v>Ո՞ր օդանավակայանն է Տորոնտոյի կենտրոնին ամենամոտ:</v>
      </c>
      <c r="D2368" s="3" t="str">
        <f>IFERROR(__xludf.DUMMYFUNCTION("GOOGLETRANSLATE(B2368,""en"",""hy"")"),"Տորոնտոյի կենտրոնին ամենամոտ օդանավակայանը Բիլի Բիշոփ Տորոնտոյի քաղաքային օդանավակայանն է:")</f>
        <v>Տորոնտոյի կենտրոնին ամենամոտ օդանավակայանը Բիլի Բիշոփ Տորոնտոյի քաղաքային օդանավակայանն է:</v>
      </c>
    </row>
    <row r="2369">
      <c r="A2369" s="1" t="s">
        <v>4686</v>
      </c>
      <c r="B2369" s="2" t="s">
        <v>4687</v>
      </c>
      <c r="C2369" s="3" t="str">
        <f>IFERROR(__xludf.DUMMYFUNCTION("GOOGLETRANSLATE(A2369,""en"",""hy"")"),"ինչի՞ց է մահացել Էմիլի Բրոնտեն")</f>
        <v>ինչի՞ց է մահացել Էմիլի Բրոնտեն</v>
      </c>
      <c r="D2369" s="3" t="str">
        <f>IFERROR(__xludf.DUMMYFUNCTION("GOOGLETRANSLATE(B2369,""en"",""hy"")"),"Էմիլի Բրոնտեն մահացել է տուբերկուլյոզից։")</f>
        <v>Էմիլի Բրոնտեն մահացել է տուբերկուլյոզից։</v>
      </c>
    </row>
    <row r="2370">
      <c r="A2370" s="1" t="s">
        <v>4688</v>
      </c>
      <c r="B2370" s="2" t="s">
        <v>4689</v>
      </c>
      <c r="C2370" s="3" t="str">
        <f>IFERROR(__xludf.DUMMYFUNCTION("GOOGLETRANSLATE(A2370,""en"",""hy"")"),"ինչ անել Կրաբի Թաիլանդի շրջակայքում:")</f>
        <v>ինչ անել Կրաբի Թաիլանդի շրջակայքում:</v>
      </c>
      <c r="D2370" s="3" t="str">
        <f>IFERROR(__xludf.DUMMYFUNCTION("GOOGLETRANSLATE(B2370,""en"",""hy"")"),"Թաիլանդի Կրաբիում որոշ հայտնի զբաղմունքներ ներառում են՝ այցելելով ցնցող Ռեյլայ լողափ, ուսումնասիրել Ֆի Ֆի կղզիները, նավով էքսկուրսիա կատարել դեպի հայտնի Ջեյմս Բոնդի կղզի, ժայռամագլցում Տոնսայում և այցելել Զմրուխտ լողավազան և տաք աղբյուրներ:")</f>
        <v>Թաիլանդի Կրաբիում որոշ հայտնի զբաղմունքներ ներառում են՝ այցելելով ցնցող Ռեյլայ լողափ, ուսումնասիրել Ֆի Ֆի կղզիները, նավով էքսկուրսիա կատարել դեպի հայտնի Ջեյմս Բոնդի կղզի, ժայռամագլցում Տոնսայում և այցելել Զմրուխտ լողավազան և տաք աղբյուրներ:</v>
      </c>
    </row>
    <row r="2371">
      <c r="A2371" s="1" t="s">
        <v>4690</v>
      </c>
      <c r="B2371" s="2" t="s">
        <v>4691</v>
      </c>
      <c r="C2371" s="3" t="str">
        <f>IFERROR(__xludf.DUMMYFUNCTION("GOOGLETRANSLATE(A2371,""en"",""hy"")"),"Ո՞ր երկրից է Ջորջ Վաշինգտոն Քարվերը:")</f>
        <v>Ո՞ր երկրից է Ջորջ Վաշինգտոն Քարվերը:</v>
      </c>
      <c r="D2371" s="3" t="str">
        <f>IFERROR(__xludf.DUMMYFUNCTION("GOOGLETRANSLATE(B2371,""en"",""hy"")"),"Ջորջ Վաշինգտոն Քարվերը ԱՄՆ-ից է։")</f>
        <v>Ջորջ Վաշինգտոն Քարվերը ԱՄՆ-ից է։</v>
      </c>
    </row>
    <row r="2372">
      <c r="A2372" s="1" t="s">
        <v>4692</v>
      </c>
      <c r="B2372" s="2" t="s">
        <v>1223</v>
      </c>
      <c r="C2372" s="3" t="str">
        <f>IFERROR(__xludf.DUMMYFUNCTION("GOOGLETRANSLATE(A2372,""en"",""hy"")"),"ով է բիլբո խաղում հոբիթի ֆիլմում:")</f>
        <v>ով է բիլբո խաղում հոբիթի ֆիլմում:</v>
      </c>
      <c r="D2372" s="3" t="str">
        <f>IFERROR(__xludf.DUMMYFUNCTION("GOOGLETRANSLATE(B2372,""en"",""hy"")"),"Մարտին Ֆրիման.")</f>
        <v>Մարտին Ֆրիման.</v>
      </c>
    </row>
    <row r="2373">
      <c r="A2373" s="1" t="s">
        <v>4693</v>
      </c>
      <c r="B2373" s="2" t="s">
        <v>4694</v>
      </c>
      <c r="C2373" s="3" t="str">
        <f>IFERROR(__xludf.DUMMYFUNCTION("GOOGLETRANSLATE(A2373,""en"",""hy"")"),"Էլ ի՞նչ կա Օրլանդոյում, բացի Դիսնեյից:")</f>
        <v>Էլ ի՞նչ կա Օրլանդոյում, բացի Դիսնեյից:</v>
      </c>
      <c r="D2373" s="3" t="str">
        <f>IFERROR(__xludf.DUMMYFUNCTION("GOOGLETRANSLATE(B2373,""en"",""hy"")"),"Orlando-ն առաջարկում է մի շարք տեսարժան վայրեր, բացի Disney-ից, ինչպիսիք են Universal Studios Orlando-ն, SeaWorld Orlando-ն և Քենեդու տիեզերական կենտրոնը:")</f>
        <v>Orlando-ն առաջարկում է մի շարք տեսարժան վայրեր, բացի Disney-ից, ինչպիսիք են Universal Studios Orlando-ն, SeaWorld Orlando-ն և Քենեդու տիեզերական կենտրոնը:</v>
      </c>
    </row>
    <row r="2374">
      <c r="A2374" s="1" t="s">
        <v>4695</v>
      </c>
      <c r="B2374" s="2" t="s">
        <v>4696</v>
      </c>
      <c r="C2374" s="3" t="str">
        <f>IFERROR(__xludf.DUMMYFUNCTION("GOOGLETRANSLATE(A2374,""en"",""hy"")"),"Ե՞րբ է ընտրվել Քենեդին")</f>
        <v>Ե՞րբ է ընտրվել Քենեդին</v>
      </c>
      <c r="D2374" s="3" t="str">
        <f>IFERROR(__xludf.DUMMYFUNCTION("GOOGLETRANSLATE(B2374,""en"",""hy"")"),"Ջոն Քենեդին ԱՄՆ նախագահ է ընտրվել 1960թ.")</f>
        <v>Ջոն Քենեդին ԱՄՆ նախագահ է ընտրվել 1960թ.</v>
      </c>
    </row>
    <row r="2375">
      <c r="A2375" s="1" t="s">
        <v>4697</v>
      </c>
      <c r="B2375" s="2" t="s">
        <v>4021</v>
      </c>
      <c r="C2375" s="3" t="str">
        <f>IFERROR(__xludf.DUMMYFUNCTION("GOOGLETRANSLATE(A2375,""en"",""hy"")"),"ինչ արժույթ են նրանք օգտագործում Թաիլանդում:")</f>
        <v>ինչ արժույթ են նրանք օգտագործում Թաիլանդում:</v>
      </c>
      <c r="D2375" s="3" t="str">
        <f>IFERROR(__xludf.DUMMYFUNCTION("GOOGLETRANSLATE(B2375,""en"",""hy"")"),"Թաիլանդում օգտագործվող արժույթը թաիլանդական բահն է:")</f>
        <v>Թաիլանդում օգտագործվող արժույթը թաիլանդական բահն է:</v>
      </c>
    </row>
    <row r="2376">
      <c r="A2376" s="1" t="s">
        <v>4698</v>
      </c>
      <c r="B2376" s="2" t="s">
        <v>4699</v>
      </c>
      <c r="C2376" s="3" t="str">
        <f>IFERROR(__xludf.DUMMYFUNCTION("GOOGLETRANSLATE(A2376,""en"",""hy"")"),"ով է այն դերասանը, ով խաղում է Ռիկո Հաննա Մոնտանայում:")</f>
        <v>ով է այն դերասանը, ով խաղում է Ռիկո Հաննա Մոնտանայում:</v>
      </c>
      <c r="D2376" s="3" t="str">
        <f>IFERROR(__xludf.DUMMYFUNCTION("GOOGLETRANSLATE(B2376,""en"",""hy"")"),"Մոյսես Արիաս")</f>
        <v>Մոյսես Արիաս</v>
      </c>
    </row>
    <row r="2377">
      <c r="A2377" s="1" t="s">
        <v>4700</v>
      </c>
      <c r="B2377" s="2" t="s">
        <v>4701</v>
      </c>
      <c r="C2377" s="3" t="str">
        <f>IFERROR(__xludf.DUMMYFUNCTION("GOOGLETRANSLATE(A2377,""en"",""hy"")"),"Ո՞ր ժամային գոտին է Բիրմինգհեմ Անգլիան:")</f>
        <v>Ո՞ր ժամային գոտին է Բիրմինգհեմ Անգլիան:</v>
      </c>
      <c r="D2377" s="3" t="str">
        <f>IFERROR(__xludf.DUMMYFUNCTION("GOOGLETRANSLATE(B2377,""en"",""hy"")"),"Անգլիայի Բիրմինգհեմը գտնվում է Գրինվիչի ժամանակով (GMT) ժամային գոտում:")</f>
        <v>Անգլիայի Բիրմինգհեմը գտնվում է Գրինվիչի ժամանակով (GMT) ժամային գոտում:</v>
      </c>
    </row>
    <row r="2378">
      <c r="A2378" s="1" t="s">
        <v>4702</v>
      </c>
      <c r="B2378" s="2" t="s">
        <v>4703</v>
      </c>
      <c r="C2378" s="3" t="str">
        <f>IFERROR(__xludf.DUMMYFUNCTION("GOOGLETRANSLATE(A2378,""en"",""hy"")"),"ինչ է անում Էնդի Ուորհոլը")</f>
        <v>ինչ է անում Էնդի Ուորհոլը</v>
      </c>
      <c r="D2378" s="3" t="str">
        <f>IFERROR(__xludf.DUMMYFUNCTION("GOOGLETRANSLATE(B2378,""en"",""hy"")"),"Էնդի Ուորհոլը ամերիկացի նկարիչ և կինոռեժիսոր էր։")</f>
        <v>Էնդի Ուորհոլը ամերիկացի նկարիչ և կինոռեժիսոր էր։</v>
      </c>
    </row>
    <row r="2379">
      <c r="A2379" s="1" t="s">
        <v>4704</v>
      </c>
      <c r="B2379" s="2" t="s">
        <v>4705</v>
      </c>
      <c r="C2379" s="3" t="str">
        <f>IFERROR(__xludf.DUMMYFUNCTION("GOOGLETRANSLATE(A2379,""en"",""hy"")"),"որտեղ է Կոլումբիան երկիրը")</f>
        <v>որտեղ է Կոլումբիան երկիրը</v>
      </c>
      <c r="D2379" s="3" t="str">
        <f>IFERROR(__xludf.DUMMYFUNCTION("GOOGLETRANSLATE(B2379,""en"",""hy"")"),"Կոլումբիան գտնվում է Հարավային Ամերիկայում։")</f>
        <v>Կոլումբիան գտնվում է Հարավային Ամերիկայում։</v>
      </c>
    </row>
    <row r="2380">
      <c r="A2380" s="1" t="s">
        <v>4706</v>
      </c>
      <c r="B2380" s="2" t="s">
        <v>4707</v>
      </c>
      <c r="C2380" s="3" t="str">
        <f>IFERROR(__xludf.DUMMYFUNCTION("GOOGLETRANSLATE(A2380,""en"",""hy"")"),"Ո՞վ է խաղում Ջոդել Ֆերլանդը խավարման ժամանակ:")</f>
        <v>Ո՞վ է խաղում Ջոդել Ֆերլանդը խավարման ժամանակ:</v>
      </c>
      <c r="D2380" s="3" t="str">
        <f>IFERROR(__xludf.DUMMYFUNCTION("GOOGLETRANSLATE(B2380,""en"",""hy"")"),"Eclipse-ում Ջոդել Ֆերլանդը մարմնավորում է Բրի Թաններին։")</f>
        <v>Eclipse-ում Ջոդել Ֆերլանդը մարմնավորում է Բրի Թաններին։</v>
      </c>
    </row>
    <row r="2381">
      <c r="A2381" s="1" t="s">
        <v>4708</v>
      </c>
      <c r="B2381" s="2" t="s">
        <v>4709</v>
      </c>
      <c r="C2381" s="3" t="str">
        <f>IFERROR(__xludf.DUMMYFUNCTION("GOOGLETRANSLATE(A2381,""en"",""hy"")"),"որտեղ կարող եմ գրանցվել Urbana il-ում քվեարկելու համար:")</f>
        <v>որտեղ կարող եմ գրանցվել Urbana il-ում քվեարկելու համար:</v>
      </c>
      <c r="D2381" s="3" t="str">
        <f>IFERROR(__xludf.DUMMYFUNCTION("GOOGLETRANSLATE(B2381,""en"",""hy"")"),"Դուք կարող եք գրանցվել Ուրբանա նահանգում քվեարկելու համար Champaign County Clerk's Office-ում կամ առցանց՝ Իլինոյսի նահանգի ընտրական խորհրդի կայքի միջոցով:")</f>
        <v>Դուք կարող եք գրանցվել Ուրբանա նահանգում քվեարկելու համար Champaign County Clerk's Office-ում կամ առցանց՝ Իլինոյսի նահանգի ընտրական խորհրդի կայքի միջոցով:</v>
      </c>
    </row>
    <row r="2382">
      <c r="A2382" s="1" t="s">
        <v>4710</v>
      </c>
      <c r="B2382" s="2" t="s">
        <v>4711</v>
      </c>
      <c r="C2382" s="3" t="str">
        <f>IFERROR(__xludf.DUMMYFUNCTION("GOOGLETRANSLATE(A2382,""en"",""hy"")"),"որտեղ է թաղված Կարլ Մարքսը")</f>
        <v>որտեղ է թաղված Կարլ Մարքսը</v>
      </c>
      <c r="D2382" s="3" t="str">
        <f>IFERROR(__xludf.DUMMYFUNCTION("GOOGLETRANSLATE(B2382,""en"",""hy"")"),"Կարլ Մարքսը թաղվել է Անգլիայի Լոնդոնի Հայգեյթ գերեզմանատանը։")</f>
        <v>Կարլ Մարքսը թաղվել է Անգլիայի Լոնդոնի Հայգեյթ գերեզմանատանը։</v>
      </c>
    </row>
    <row r="2383">
      <c r="A2383" s="1" t="s">
        <v>4712</v>
      </c>
      <c r="B2383" s="2" t="s">
        <v>4713</v>
      </c>
      <c r="C2383" s="3" t="str">
        <f>IFERROR(__xludf.DUMMYFUNCTION("GOOGLETRANSLATE(A2383,""en"",""hy"")"),"ո՞ր երկրներում է աշխատել մայր Թերեզան.")</f>
        <v>ո՞ր երկրներում է աշխատել մայր Թերեզան.</v>
      </c>
      <c r="D2383" s="3" t="str">
        <f>IFERROR(__xludf.DUMMYFUNCTION("GOOGLETRANSLATE(B2383,""en"",""hy"")"),"Մայր Թերեզան աշխատել է մի քանի երկրներում, այդ թվում՝ Հնդկաստանում, Ալբանիայում և Բանգլադեշում։")</f>
        <v>Մայր Թերեզան աշխատել է մի քանի երկրներում, այդ թվում՝ Հնդկաստանում, Ալբանիայում և Բանգլադեշում։</v>
      </c>
    </row>
    <row r="2384">
      <c r="A2384" s="1" t="s">
        <v>4714</v>
      </c>
      <c r="B2384" s="2" t="s">
        <v>4715</v>
      </c>
      <c r="C2384" s="3" t="str">
        <f>IFERROR(__xludf.DUMMYFUNCTION("GOOGLETRANSLATE(A2384,""en"",""hy"")"),"Ո՞ր ժամային գոտում է գտնվում Նևադան այս պահին:")</f>
        <v>Ո՞ր ժամային գոտում է գտնվում Նևադան այս պահին:</v>
      </c>
      <c r="D2384" s="3" t="str">
        <f>IFERROR(__xludf.DUMMYFUNCTION("GOOGLETRANSLATE(B2384,""en"",""hy"")"),"Նևադան ներկայումս գտնվում է Խաղաղ օվկիանոսի ժամային գոտում (PT):")</f>
        <v>Նևադան ներկայումս գտնվում է Խաղաղ օվկիանոսի ժամային գոտում (PT):</v>
      </c>
    </row>
    <row r="2385">
      <c r="A2385" s="1" t="s">
        <v>4716</v>
      </c>
      <c r="B2385" s="2" t="s">
        <v>4717</v>
      </c>
      <c r="C2385" s="3" t="str">
        <f>IFERROR(__xludf.DUMMYFUNCTION("GOOGLETRANSLATE(A2385,""en"",""hy"")"),"Ո՞ր թիմում է խաղացել դեյոն Սանդերսը բեյսբոլում:")</f>
        <v>Ո՞ր թիմում է խաղացել դեյոն Սանդերսը բեյսբոլում:</v>
      </c>
      <c r="D2385" s="3" t="str">
        <f>IFERROR(__xludf.DUMMYFUNCTION("GOOGLETRANSLATE(B2385,""en"",""hy"")"),"Դեյոն Սանդերսը խաղացել է բեյսբոլի մի քանի թիմերում, այդ թվում՝ Նյու Յորք Յանկիս, Ատլանտա Բրեյվս, Սինցինատի Ռեդս և Սան Ֆրանցիսկո Ջայանցս։")</f>
        <v>Դեյոն Սանդերսը խաղացել է բեյսբոլի մի քանի թիմերում, այդ թվում՝ Նյու Յորք Յանկիս, Ատլանտա Բրեյվս, Սինցինատի Ռեդս և Սան Ֆրանցիսկո Ջայանցս։</v>
      </c>
    </row>
    <row r="2386">
      <c r="A2386" s="1" t="s">
        <v>4718</v>
      </c>
      <c r="B2386" s="2" t="s">
        <v>4719</v>
      </c>
      <c r="C2386" s="3" t="str">
        <f>IFERROR(__xludf.DUMMYFUNCTION("GOOGLETRANSLATE(A2386,""en"",""hy"")"),"ի՞նչ արեց բժիշկ Քարթեր Վուդսոնը:")</f>
        <v>ի՞նչ արեց բժիշկ Քարթեր Վուդսոնը:</v>
      </c>
      <c r="D2386" s="3" t="str">
        <f>IFERROR(__xludf.DUMMYFUNCTION("GOOGLETRANSLATE(B2386,""en"",""hy"")"),"Դոկտոր Քարթեր Գ. Վուդսոնը պատմաբան և հեղինակ էր, ում հաճախ անվանում են «սևերի պատմության հայր»: Նա իր կյանքը նվիրեց աֆրոամերիկացիների պատմությանն ու նվաճումներին ուսումնասիրելուն և խթանելուն, և նա մեծ դեր ունեցավ սևամորթների պատմության միամսյակի ստեղծման "&amp;"գործում:")</f>
        <v>Դոկտոր Քարթեր Գ. Վուդսոնը պատմաբան և հեղինակ էր, ում հաճախ անվանում են «սևերի պատմության հայր»: Նա իր կյանքը նվիրեց աֆրոամերիկացիների պատմությանն ու նվաճումներին ուսումնասիրելուն և խթանելուն, և նա մեծ դեր ունեցավ սևամորթների պատմության միամսյակի ստեղծման գործում:</v>
      </c>
    </row>
    <row r="2387">
      <c r="A2387" s="1" t="s">
        <v>4720</v>
      </c>
      <c r="B2387" s="2" t="s">
        <v>4721</v>
      </c>
      <c r="C2387" s="3" t="str">
        <f>IFERROR(__xludf.DUMMYFUNCTION("GOOGLETRANSLATE(A2387,""en"",""hy"")"),"ով է հորինել Ford Motor ընկերությունը:")</f>
        <v>ով է հորինել Ford Motor ընկերությունը:</v>
      </c>
      <c r="D2387" s="3" t="str">
        <f>IFERROR(__xludf.DUMMYFUNCTION("GOOGLETRANSLATE(B2387,""en"",""hy"")"),"Հենրի Ֆորդ.")</f>
        <v>Հենրի Ֆորդ.</v>
      </c>
    </row>
    <row r="2388">
      <c r="A2388" s="1" t="s">
        <v>4722</v>
      </c>
      <c r="B2388" s="2" t="s">
        <v>4723</v>
      </c>
      <c r="C2388" s="3" t="str">
        <f>IFERROR(__xludf.DUMMYFUNCTION("GOOGLETRANSLATE(A2388,""en"",""hy"")"),"ինչ է այրթոն սեննան:")</f>
        <v>ինչ է այրթոն սեննան:</v>
      </c>
      <c r="D2388" s="3" t="str">
        <f>IFERROR(__xludf.DUMMYFUNCTION("GOOGLETRANSLATE(B2388,""en"",""hy"")"),"Այրթոն Սեննան Ֆորմուլա 1-ի հայտնի բրազիլացի ավտոարշավորդ էր։")</f>
        <v>Այրթոն Սեննան Ֆորմուլա 1-ի հայտնի բրազիլացի ավտոարշավորդ էր։</v>
      </c>
    </row>
    <row r="2389">
      <c r="A2389" s="1" t="s">
        <v>4724</v>
      </c>
      <c r="B2389" s="2" t="s">
        <v>4725</v>
      </c>
      <c r="C2389" s="3" t="str">
        <f>IFERROR(__xludf.DUMMYFUNCTION("GOOGLETRANSLATE(A2389,""en"",""hy"")"),"որտեղ էր Ստիվեն Գ. ծնվել է Բրեյերը")</f>
        <v>որտեղ էր Ստիվեն Գ. ծնվել է Բրեյերը</v>
      </c>
      <c r="D2389" s="3" t="str">
        <f>IFERROR(__xludf.DUMMYFUNCTION("GOOGLETRANSLATE(B2389,""en"",""hy"")"),"Սթիվեն Ջ. Բրեյերը ծնվել է Սան Ֆրանցիսկոյում, Կալիֆորնիա, ԱՄՆ:")</f>
        <v>Սթիվեն Ջ. Բրեյերը ծնվել է Սան Ֆրանցիսկոյում, Կալիֆորնիա, ԱՄՆ:</v>
      </c>
    </row>
    <row r="2390">
      <c r="A2390" s="1" t="s">
        <v>4726</v>
      </c>
      <c r="B2390" s="2" t="s">
        <v>4727</v>
      </c>
      <c r="C2390" s="3" t="str">
        <f>IFERROR(__xludf.DUMMYFUNCTION("GOOGLETRANSLATE(A2390,""en"",""hy"")"),"ո՞ր ֆիլմերում է նկարահանվել Թեյլոր Լոթները")</f>
        <v>ո՞ր ֆիլմերում է նկարահանվել Թեյլոր Լոթները</v>
      </c>
      <c r="D2390" s="3" t="str">
        <f>IFERROR(__xludf.DUMMYFUNCTION("GOOGLETRANSLATE(B2390,""en"",""hy"")"),"Թեյլոր Լոթները նկարահանվել է այնպիսի ֆիլմերում, ինչպիսիք են «Մթնշաղ», «Շարկբոյի և լավաղջիկի արկածները» և «Առևանգում»:")</f>
        <v>Թեյլոր Լոթները նկարահանվել է այնպիսի ֆիլմերում, ինչպիսիք են «Մթնշաղ», «Շարկբոյի և լավաղջիկի արկածները» և «Առևանգում»:</v>
      </c>
    </row>
    <row r="2391">
      <c r="A2391" s="1" t="s">
        <v>4728</v>
      </c>
      <c r="B2391" s="2" t="s">
        <v>4729</v>
      </c>
      <c r="C2391" s="3" t="str">
        <f>IFERROR(__xludf.DUMMYFUNCTION("GOOGLETRANSLATE(A2391,""en"",""hy"")"),"ինչի՞ն էր հավատում Չարլզ Դիքենսը")</f>
        <v>ինչի՞ն էր հավատում Չարլզ Դիքենսը</v>
      </c>
      <c r="D2391" s="3" t="str">
        <f>IFERROR(__xludf.DUMMYFUNCTION("GOOGLETRANSLATE(B2391,""en"",""hy"")"),"Չարլզ Դիքենսը հավատում էր սոցիալական բարեփոխումներին և պաշտպանում էր ցածր խավի իրավունքները և բարեկեցությունը՝ կենտրոնանալով վիկտորիանական հասարակության դաժան իրողությունների բացահայտման վրա:")</f>
        <v>Չարլզ Դիքենսը հավատում էր սոցիալական բարեփոխումներին և պաշտպանում էր ցածր խավի իրավունքները և բարեկեցությունը՝ կենտրոնանալով վիկտորիանական հասարակության դաժան իրողությունների բացահայտման վրա:</v>
      </c>
    </row>
    <row r="2392">
      <c r="A2392" s="1" t="s">
        <v>4730</v>
      </c>
      <c r="B2392" s="2" t="s">
        <v>4731</v>
      </c>
      <c r="C2392" s="3" t="str">
        <f>IFERROR(__xludf.DUMMYFUNCTION("GOOGLETRANSLATE(A2392,""en"",""hy"")"),"ով խաղացել է Էլեյնը doc martin-ի վրա:")</f>
        <v>ով խաղացել է Էլեյնը doc martin-ի վրա:</v>
      </c>
      <c r="D2392" s="3" t="str">
        <f>IFERROR(__xludf.DUMMYFUNCTION("GOOGLETRANSLATE(B2392,""en"",""hy"")"),"Լյուսի Փանչը մարմնավորել է Էլեյնի կերպարը Doc Martin-ում։")</f>
        <v>Լյուսի Փանչը մարմնավորել է Էլեյնի կերպարը Doc Martin-ում։</v>
      </c>
    </row>
    <row r="2393">
      <c r="A2393" s="1" t="s">
        <v>4732</v>
      </c>
      <c r="B2393" s="2" t="s">
        <v>4733</v>
      </c>
      <c r="C2393" s="3" t="str">
        <f>IFERROR(__xludf.DUMMYFUNCTION("GOOGLETRANSLATE(A2393,""en"",""hy"")"),"Ո՞ր կրոնն է Սեմմի Դևիս կրտսերը:")</f>
        <v>Ո՞ր կրոնն է Սեմմի Դևիս կրտսերը:</v>
      </c>
      <c r="D2393" s="3" t="str">
        <f>IFERROR(__xludf.DUMMYFUNCTION("GOOGLETRANSLATE(B2393,""en"",""hy"")"),"Սեմմի Դևիս կրտսերը ընդունել է հուդայականություն:")</f>
        <v>Սեմմի Դևիս կրտսերը ընդունել է հուդայականություն:</v>
      </c>
    </row>
    <row r="2394">
      <c r="A2394" s="1" t="s">
        <v>4734</v>
      </c>
      <c r="B2394" s="2" t="s">
        <v>4735</v>
      </c>
      <c r="C2394" s="3" t="str">
        <f>IFERROR(__xludf.DUMMYFUNCTION("GOOGLETRANSLATE(A2394,""en"",""hy"")"),"Ո՞ր օդանավակայանն է դեպի հարավ-արևմուտք թռչում Դենվերում:")</f>
        <v>Ո՞ր օդանավակայանն է դեպի հարավ-արևմուտք թռչում Դենվերում:</v>
      </c>
      <c r="D2394" s="3" t="str">
        <f>IFERROR(__xludf.DUMMYFUNCTION("GOOGLETRANSLATE(B2394,""en"",""hy"")"),"Հարավ-արևմուտք թռչում է Դենվերի միջազգային օդանավակայան (DEN):")</f>
        <v>Հարավ-արևմուտք թռչում է Դենվերի միջազգային օդանավակայան (DEN):</v>
      </c>
    </row>
    <row r="2395">
      <c r="A2395" s="1" t="s">
        <v>4736</v>
      </c>
      <c r="B2395" s="2" t="s">
        <v>4737</v>
      </c>
      <c r="C2395" s="3" t="str">
        <f>IFERROR(__xludf.DUMMYFUNCTION("GOOGLETRANSLATE(A2395,""en"",""hy"")"),"ով է սկսել Google-ը")</f>
        <v>ով է սկսել Google-ը</v>
      </c>
      <c r="D2395" s="3" t="str">
        <f>IFERROR(__xludf.DUMMYFUNCTION("GOOGLETRANSLATE(B2395,""en"",""hy"")"),"Լարի Փեյջ և Սերգեյ Բրին.")</f>
        <v>Լարի Փեյջ և Սերգեյ Բրին.</v>
      </c>
    </row>
    <row r="2396">
      <c r="A2396" s="1" t="s">
        <v>4738</v>
      </c>
      <c r="B2396" s="2" t="s">
        <v>4739</v>
      </c>
      <c r="C2396" s="3" t="str">
        <f>IFERROR(__xludf.DUMMYFUNCTION("GOOGLETRANSLATE(A2396,""en"",""hy"")"),"Ո՞ր ժամային գոտում է գտնվում Արիզոնան:")</f>
        <v>Ո՞ր ժամային գոտում է գտնվում Արիզոնան:</v>
      </c>
      <c r="D2396" s="3" t="str">
        <f>IFERROR(__xludf.DUMMYFUNCTION("GOOGLETRANSLATE(B2396,""en"",""hy"")"),"Արիզոնան գտնվում է Mountain Standard Time Zone-ում:")</f>
        <v>Արիզոնան գտնվում է Mountain Standard Time Zone-ում:</v>
      </c>
    </row>
    <row r="2397">
      <c r="A2397" s="1" t="s">
        <v>4740</v>
      </c>
      <c r="B2397" s="2" t="s">
        <v>4741</v>
      </c>
      <c r="C2397" s="3" t="str">
        <f>IFERROR(__xludf.DUMMYFUNCTION("GOOGLETRANSLATE(A2397,""en"",""hy"")"),"որտեղից է քուրդ ժողովուրդը")</f>
        <v>որտեղից է քուրդ ժողովուրդը</v>
      </c>
      <c r="D2397" s="3" t="str">
        <f>IFERROR(__xludf.DUMMYFUNCTION("GOOGLETRANSLATE(B2397,""en"",""hy"")"),"Քուրդ ժողովուրդը Քրդստանից է, որը ընդգրկում է Թուրքիայի, Իրանի, Իրաքի և Սիրիայի տարածքները:")</f>
        <v>Քուրդ ժողովուրդը Քրդստանից է, որը ընդգրկում է Թուրքիայի, Իրանի, Իրաքի և Սիրիայի տարածքները:</v>
      </c>
    </row>
    <row r="2398">
      <c r="A2398" s="1" t="s">
        <v>4742</v>
      </c>
      <c r="B2398" s="2" t="s">
        <v>4743</v>
      </c>
      <c r="C2398" s="3" t="str">
        <f>IFERROR(__xludf.DUMMYFUNCTION("GOOGLETRANSLATE(A2398,""en"",""hy"")"),"որտեղի՞ց սկսեց Հարիսոն Ֆորդը:")</f>
        <v>որտեղի՞ց սկսեց Հարիսոն Ֆորդը:</v>
      </c>
      <c r="D2398" s="3" t="str">
        <f>IFERROR(__xludf.DUMMYFUNCTION("GOOGLETRANSLATE(B2398,""en"",""hy"")"),"Հարիսոն Ֆորդը սկսել է դերասանական գործունեությունը Լոս Անջելեսում:")</f>
        <v>Հարիսոն Ֆորդը սկսել է դերասանական գործունեությունը Լոս Անջելեսում:</v>
      </c>
    </row>
    <row r="2399">
      <c r="A2399" s="1" t="s">
        <v>4744</v>
      </c>
      <c r="B2399" s="2" t="s">
        <v>4745</v>
      </c>
      <c r="C2399" s="3" t="str">
        <f>IFERROR(__xludf.DUMMYFUNCTION("GOOGLETRANSLATE(A2399,""en"",""hy"")"),"Ո՞ր տարում են Arizona Diamondbacks-ը հաղթել համաշխարհային շարքում:")</f>
        <v>Ո՞ր տարում են Arizona Diamondbacks-ը հաղթել համաշխարհային շարքում:</v>
      </c>
      <c r="D2399" s="3" t="str">
        <f>IFERROR(__xludf.DUMMYFUNCTION("GOOGLETRANSLATE(B2399,""en"",""hy"")"),"Arizona Diamondbacks-ը հաղթել է World Series 2001 թվականին:")</f>
        <v>Arizona Diamondbacks-ը հաղթել է World Series 2001 թվականին:</v>
      </c>
    </row>
    <row r="2400">
      <c r="A2400" s="1" t="s">
        <v>4746</v>
      </c>
      <c r="B2400" s="2" t="s">
        <v>4747</v>
      </c>
      <c r="C2400" s="3" t="str">
        <f>IFERROR(__xludf.DUMMYFUNCTION("GOOGLETRANSLATE(A2400,""en"",""hy"")"),"որտեղ է ծնվել և մեծացել Հիսուսը:")</f>
        <v>որտեղ է ծնվել և մեծացել Հիսուսը:</v>
      </c>
      <c r="D2400" s="3" t="str">
        <f>IFERROR(__xludf.DUMMYFUNCTION("GOOGLETRANSLATE(B2400,""en"",""hy"")"),"Հիսուսը ծնվել է Բեթղեհեմում և մեծացել Նազարեթում:")</f>
        <v>Հիսուսը ծնվել է Բեթղեհեմում և մեծացել Նազարեթում:</v>
      </c>
    </row>
    <row r="2401">
      <c r="A2401" s="1" t="s">
        <v>4748</v>
      </c>
      <c r="B2401" s="2" t="s">
        <v>4749</v>
      </c>
      <c r="C2401" s="3" t="str">
        <f>IFERROR(__xludf.DUMMYFUNCTION("GOOGLETRANSLATE(A2401,""en"",""hy"")"),"ինչ արժույթով տանեմ Թուրքիա:")</f>
        <v>ինչ արժույթով տանեմ Թուրքիա:</v>
      </c>
      <c r="D2401" s="3" t="str">
        <f>IFERROR(__xludf.DUMMYFUNCTION("GOOGLETRANSLATE(B2401,""en"",""hy"")"),"Թուրքիայում օգտագործվող արժույթը թուրքական լիրան է։")</f>
        <v>Թուրքիայում օգտագործվող արժույթը թուրքական լիրան է։</v>
      </c>
    </row>
    <row r="2402">
      <c r="A2402" s="1" t="s">
        <v>4750</v>
      </c>
      <c r="B2402" s="2" t="s">
        <v>4751</v>
      </c>
      <c r="C2402" s="3" t="str">
        <f>IFERROR(__xludf.DUMMYFUNCTION("GOOGLETRANSLATE(A2402,""en"",""hy"")"),"ո՞վ է պատկերել Ինդիանա Ջոնսին կորած տապանի արշավորդների մեջ:")</f>
        <v>ո՞վ է պատկերել Ինդիանա Ջոնսին կորած տապանի արշավորդների մեջ:</v>
      </c>
      <c r="D2402" s="3" t="str">
        <f>IFERROR(__xludf.DUMMYFUNCTION("GOOGLETRANSLATE(B2402,""en"",""hy"")"),"Հարիսոն Ֆորդ.")</f>
        <v>Հարիսոն Ֆորդ.</v>
      </c>
    </row>
    <row r="2403">
      <c r="A2403" s="1" t="s">
        <v>4752</v>
      </c>
      <c r="B2403" s="2" t="s">
        <v>4753</v>
      </c>
      <c r="C2403" s="3" t="str">
        <f>IFERROR(__xludf.DUMMYFUNCTION("GOOGLETRANSLATE(A2403,""en"",""hy"")"),"ինչ գումար է օգտագործվում Ուկրաինայում.")</f>
        <v>ինչ գումար է օգտագործվում Ուկրաինայում.</v>
      </c>
      <c r="D2403" s="3" t="str">
        <f>IFERROR(__xludf.DUMMYFUNCTION("GOOGLETRANSLATE(B2403,""en"",""hy"")"),"Ուկրաինայում օգտագործվող արժույթը կոչվում է ուկրաինական գրիվնա։")</f>
        <v>Ուկրաինայում օգտագործվող արժույթը կոչվում է ուկրաինական գրիվնա։</v>
      </c>
    </row>
    <row r="2404">
      <c r="A2404" s="1" t="s">
        <v>4754</v>
      </c>
      <c r="B2404" s="2" t="s">
        <v>4755</v>
      </c>
      <c r="C2404" s="3" t="str">
        <f>IFERROR(__xludf.DUMMYFUNCTION("GOOGLETRANSLATE(A2404,""en"",""hy"")"),"որտեղ է գտնվում Գրեյթոն Արևմտյան հրվանդանը:")</f>
        <v>որտեղ է գտնվում Գրեյթոն Արևմտյան հրվանդանը:</v>
      </c>
      <c r="D2404" s="3" t="str">
        <f>IFERROR(__xludf.DUMMYFUNCTION("GOOGLETRANSLATE(B2404,""en"",""hy"")"),"Գրեյթոնը գտնվում է Հարավային Աֆրիկայի Արևմտյան Քեյփ նահանգում։")</f>
        <v>Գրեյթոնը գտնվում է Հարավային Աֆրիկայի Արևմտյան Քեյփ նահանգում։</v>
      </c>
    </row>
    <row r="2405">
      <c r="A2405" s="1" t="s">
        <v>4756</v>
      </c>
      <c r="B2405" s="2" t="s">
        <v>4757</v>
      </c>
      <c r="C2405" s="3" t="str">
        <f>IFERROR(__xludf.DUMMYFUNCTION("GOOGLETRANSLATE(A2405,""en"",""hy"")"),"ինչ է բուդդայական սուրբ գիրքը:")</f>
        <v>ինչ է բուդդայական սուրբ գիրքը:</v>
      </c>
      <c r="D2405" s="3" t="str">
        <f>IFERROR(__xludf.DUMMYFUNCTION("GOOGLETRANSLATE(B2405,""en"",""hy"")"),"Բուդդայական սուրբ գիրքը կոչվում է Տրիպիտակա, որը նաև հայտնի է որպես Պալի կանոն:")</f>
        <v>Բուդդայական սուրբ գիրքը կոչվում է Տրիպիտակա, որը նաև հայտնի է որպես Պալի կանոն:</v>
      </c>
    </row>
    <row r="2406">
      <c r="A2406" s="1" t="s">
        <v>4758</v>
      </c>
      <c r="B2406" s="2" t="s">
        <v>4759</v>
      </c>
      <c r="C2406" s="3" t="str">
        <f>IFERROR(__xludf.DUMMYFUNCTION("GOOGLETRANSLATE(A2406,""en"",""hy"")"),"ում հետ է Ջեյսոն Մորգանն ամուսնացած իրական կյանքում:")</f>
        <v>ում հետ է Ջեյսոն Մորգանն ամուսնացած իրական կյանքում:</v>
      </c>
      <c r="D2406" s="3" t="str">
        <f>IFERROR(__xludf.DUMMYFUNCTION("GOOGLETRANSLATE(B2406,""en"",""hy"")"),"Ռեբեկա Հերբստը իրական կյանքում ամուսնացած է Մայքլ Սաուսեդոյի հետ:")</f>
        <v>Ռեբեկա Հերբստը իրական կյանքում ամուսնացած է Մայքլ Սաուսեդոյի հետ:</v>
      </c>
    </row>
    <row r="2407">
      <c r="A2407" s="1" t="s">
        <v>4760</v>
      </c>
      <c r="B2407" s="2" t="s">
        <v>4761</v>
      </c>
      <c r="C2407" s="3" t="str">
        <f>IFERROR(__xludf.DUMMYFUNCTION("GOOGLETRANSLATE(A2407,""en"",""hy"")"),"ինչ է Կոլորադոյի պետական ​​ծաղիկը:")</f>
        <v>ինչ է Կոլորադոյի պետական ​​ծաղիկը:</v>
      </c>
      <c r="D2407" s="3" t="str">
        <f>IFERROR(__xludf.DUMMYFUNCTION("GOOGLETRANSLATE(B2407,""en"",""hy"")"),"Կոլորադոյի պետական ​​ծաղիկը Կոլումբինն է:")</f>
        <v>Կոլորադոյի պետական ​​ծաղիկը Կոլումբինն է:</v>
      </c>
    </row>
    <row r="2408">
      <c r="A2408" s="1" t="s">
        <v>4762</v>
      </c>
      <c r="B2408" s="2" t="s">
        <v>4763</v>
      </c>
      <c r="C2408" s="3" t="str">
        <f>IFERROR(__xludf.DUMMYFUNCTION("GOOGLETRANSLATE(A2408,""en"",""hy"")"),"ովքե՞ր են ստորագրել լեյքերները:")</f>
        <v>ովքե՞ր են ստորագրել լեյքերները:</v>
      </c>
      <c r="D2408" s="3" t="str">
        <f>IFERROR(__xludf.DUMMYFUNCTION("GOOGLETRANSLATE(B2408,""en"",""hy"")"),"Ինձ հասանելի չեն ուղիղ եթերում տեղեկատվություն, բայց դուք կարող եք ստուգել պաշտոնական աղբյուրները կամ սպորտային նորությունների կայքերը՝ Լեյքերսի վերջին ձեռքբերումների մասին իմանալու համար:")</f>
        <v>Ինձ հասանելի չեն ուղիղ եթերում տեղեկատվություն, բայց դուք կարող եք ստուգել պաշտոնական աղբյուրները կամ սպորտային նորությունների կայքերը՝ Լեյքերսի վերջին ձեռքբերումների մասին իմանալու համար:</v>
      </c>
    </row>
    <row r="2409">
      <c r="A2409" s="1" t="s">
        <v>4764</v>
      </c>
      <c r="B2409" s="2" t="s">
        <v>4765</v>
      </c>
      <c r="C2409" s="3" t="str">
        <f>IFERROR(__xludf.DUMMYFUNCTION("GOOGLETRANSLATE(A2409,""en"",""hy"")"),"ո՞ւմ հետ էր ամուսնացած Ֆիլ Հարիսը:")</f>
        <v>ո՞ւմ հետ էր ամուսնացած Ֆիլ Հարիսը:</v>
      </c>
      <c r="D2409" s="3" t="str">
        <f>IFERROR(__xludf.DUMMYFUNCTION("GOOGLETRANSLATE(B2409,""en"",""hy"")"),"Ֆիլ Հարիսն ամուսնացած էր Էլիս Ֆեյի հետ։")</f>
        <v>Ֆիլ Հարիսն ամուսնացած էր Էլիս Ֆեյի հետ։</v>
      </c>
    </row>
    <row r="2410">
      <c r="A2410" s="1" t="s">
        <v>4766</v>
      </c>
      <c r="B2410" s="2" t="s">
        <v>4767</v>
      </c>
      <c r="C2410" s="3" t="str">
        <f>IFERROR(__xludf.DUMMYFUNCTION("GOOGLETRANSLATE(A2410,""en"",""hy"")"),"Ջեյն Օսթենի ո՞ր գրքերն են ֆիլմեր:")</f>
        <v>Ջեյն Օսթենի ո՞ր գրքերն են ֆիլմեր:</v>
      </c>
      <c r="D2410" s="3" t="str">
        <f>IFERROR(__xludf.DUMMYFUNCTION("GOOGLETRANSLATE(B2410,""en"",""hy"")"),"Ջեյն Օսթինի որոշ գրքեր, որոնք վերածվել են ֆիլմերի, են «Հպարտություն և նախապաշարմունք», «Զգացմունք և զգացմունք», «Էմմա» և «Համոզում»:")</f>
        <v>Ջեյն Օսթինի որոշ գրքեր, որոնք վերածվել են ֆիլմերի, են «Հպարտություն և նախապաշարմունք», «Զգացմունք և զգացմունք», «Էմմա» և «Համոզում»:</v>
      </c>
    </row>
    <row r="2411">
      <c r="A2411" s="1" t="s">
        <v>4768</v>
      </c>
      <c r="B2411" s="2" t="s">
        <v>4769</v>
      </c>
      <c r="C2411" s="3" t="str">
        <f>IFERROR(__xludf.DUMMYFUNCTION("GOOGLETRANSLATE(A2411,""en"",""hy"")"),"որտեղ է մահացել Անտուան ​​Լորան Լավազիեն.")</f>
        <v>որտեղ է մահացել Անտուան ​​Լորան Լավազիեն.</v>
      </c>
      <c r="D2411" s="3" t="str">
        <f>IFERROR(__xludf.DUMMYFUNCTION("GOOGLETRANSLATE(B2411,""en"",""hy"")"),"Անտուան ​​Լորան Լավուազեն մահացել է Ֆրանսիայի մայրաքաղաք Փարիզում։")</f>
        <v>Անտուան ​​Լորան Լավուազեն մահացել է Ֆրանսիայի մայրաքաղաք Փարիզում։</v>
      </c>
    </row>
    <row r="2412">
      <c r="A2412" s="1" t="s">
        <v>4770</v>
      </c>
      <c r="B2412" s="2" t="s">
        <v>4771</v>
      </c>
      <c r="C2412" s="3" t="str">
        <f>IFERROR(__xludf.DUMMYFUNCTION("GOOGLETRANSLATE(A2412,""en"",""hy"")"),"որտեղ է գտնվում Լանզարոտը աշխարհի քարտեզի վրա:")</f>
        <v>որտեղ է գտնվում Լանզարոտը աշխարհի քարտեզի վրա:</v>
      </c>
      <c r="D2412" s="3" t="str">
        <f>IFERROR(__xludf.DUMMYFUNCTION("GOOGLETRANSLATE(B2412,""en"",""hy"")"),"Լանզարոտեն գտնվում է Կանարյան կղզիներում, որոնք գտնվում են Աֆրիկայի հյուսիս-արևմտյան ափերի մոտ։")</f>
        <v>Լանզարոտեն գտնվում է Կանարյան կղզիներում, որոնք գտնվում են Աֆրիկայի հյուսիս-արևմտյան ափերի մոտ։</v>
      </c>
    </row>
    <row r="2413">
      <c r="A2413" s="1" t="s">
        <v>4772</v>
      </c>
      <c r="B2413" s="2">
        <v>1949.0</v>
      </c>
      <c r="C2413" s="3" t="str">
        <f>IFERROR(__xludf.DUMMYFUNCTION("GOOGLETRANSLATE(A2413,""en"",""hy"")"),"Ո՞ր տարում են լեյքերները հաղթել իրենց առաջին առաջնությունում:")</f>
        <v>Ո՞ր տարում են լեյքերները հաղթել իրենց առաջին առաջնությունում:</v>
      </c>
      <c r="D2413" s="3" t="str">
        <f>IFERROR(__xludf.DUMMYFUNCTION("GOOGLETRANSLATE(B2413,""en"",""hy"")"),"1949 թ")</f>
        <v>1949 թ</v>
      </c>
    </row>
    <row r="2414">
      <c r="A2414" s="1" t="s">
        <v>4773</v>
      </c>
      <c r="B2414" s="2" t="s">
        <v>4774</v>
      </c>
      <c r="C2414" s="3" t="str">
        <f>IFERROR(__xludf.DUMMYFUNCTION("GOOGLETRANSLATE(A2414,""en"",""hy"")"),"Ինչպե՞ս է Մարիա Քերին անվանում իր երկրպագուներին:")</f>
        <v>Ինչպե՞ս է Մարիա Քերին անվանում իր երկրպագուներին:</v>
      </c>
      <c r="D2414" s="3" t="str">
        <f>IFERROR(__xludf.DUMMYFUNCTION("GOOGLETRANSLATE(B2414,""en"",""hy"")"),"Մրայա Քերին իր երկրպագուներին անվանում է «Գառներ»:")</f>
        <v>Մրայա Քերին իր երկրպագուներին անվանում է «Գառներ»:</v>
      </c>
    </row>
    <row r="2415">
      <c r="A2415" s="1" t="s">
        <v>4775</v>
      </c>
      <c r="B2415" s="2" t="s">
        <v>4776</v>
      </c>
      <c r="C2415" s="3" t="str">
        <f>IFERROR(__xludf.DUMMYFUNCTION("GOOGLETRANSLATE(A2415,""en"",""hy"")"),"ի՞նչ եղավ Հարվի Սմիթի հետ։")</f>
        <v>ի՞նչ եղավ Հարվի Սմիթի հետ։</v>
      </c>
      <c r="D2415" s="3" t="str">
        <f>IFERROR(__xludf.DUMMYFUNCTION("GOOGLETRANSLATE(B2415,""en"",""hy"")"),"Ցավում եմ, բայց ես չունեմ անհատների մասին անձնական տեղեկություններ:")</f>
        <v>Ցավում եմ, բայց ես չունեմ անհատների մասին անձնական տեղեկություններ:</v>
      </c>
    </row>
    <row r="2416">
      <c r="A2416" s="1" t="s">
        <v>4777</v>
      </c>
      <c r="B2416" s="2" t="s">
        <v>4778</v>
      </c>
      <c r="C2416" s="3" t="str">
        <f>IFERROR(__xludf.DUMMYFUNCTION("GOOGLETRANSLATE(A2416,""en"",""hy"")"),"ով է խաղում Դանթ Ֆալկոների")</f>
        <v>ով է խաղում Դանթ Ֆալկոների</v>
      </c>
      <c r="D2416" s="3" t="str">
        <f>IFERROR(__xludf.DUMMYFUNCTION("GOOGLETRANSLATE(B2416,""en"",""hy"")"),"Դոմինիկ Զամպրոնիան մարմնավորում է Դանթե Ֆալկոներիին։")</f>
        <v>Դոմինիկ Զամպրոնիան մարմնավորում է Դանթե Ֆալկոներիին։</v>
      </c>
    </row>
    <row r="2417">
      <c r="A2417" s="1" t="s">
        <v>4779</v>
      </c>
      <c r="B2417" s="2" t="s">
        <v>4780</v>
      </c>
      <c r="C2417" s="3" t="str">
        <f>IFERROR(__xludf.DUMMYFUNCTION("GOOGLETRANSLATE(A2417,""en"",""hy"")"),"ինչ սպորտաձևեր են խաղում Կանադայում")</f>
        <v>ինչ սպորտաձևեր են խաղում Կանադայում</v>
      </c>
      <c r="D2417" s="3" t="str">
        <f>IFERROR(__xludf.DUMMYFUNCTION("GOOGLETRANSLATE(B2417,""en"",""hy"")"),"Կանադայում խաղարկվող սպորտաձևերից մի քանիսը ներառում են հոկեյ, լակրոս, բասկետբոլ, ֆուտբոլ, բեյսբոլ և կանադական ֆուտբոլ:")</f>
        <v>Կանադայում խաղարկվող սպորտաձևերից մի քանիսը ներառում են հոկեյ, լակրոս, բասկետբոլ, ֆուտբոլ, բեյսբոլ և կանադական ֆուտբոլ:</v>
      </c>
    </row>
    <row r="2418">
      <c r="A2418" s="1" t="s">
        <v>4781</v>
      </c>
      <c r="B2418" s="2" t="s">
        <v>4782</v>
      </c>
      <c r="C2418" s="3" t="str">
        <f>IFERROR(__xludf.DUMMYFUNCTION("GOOGLETRANSLATE(A2418,""en"",""hy"")"),"ով է Իսրայելի նախագահը 2012 թ.")</f>
        <v>ով է Իսրայելի նախագահը 2012 թ.</v>
      </c>
      <c r="D2418" s="3" t="str">
        <f>IFERROR(__xludf.DUMMYFUNCTION("GOOGLETRANSLATE(B2418,""en"",""hy"")"),"Շիմոն Պերես.")</f>
        <v>Շիմոն Պերես.</v>
      </c>
    </row>
    <row r="2419">
      <c r="A2419" s="1" t="s">
        <v>4783</v>
      </c>
      <c r="B2419" s="2" t="s">
        <v>4784</v>
      </c>
      <c r="C2419" s="3" t="str">
        <f>IFERROR(__xludf.DUMMYFUNCTION("GOOGLETRANSLATE(A2419,""en"",""hy"")"),"ում է պատկանում Հյուսիսային Իռլանդիան:")</f>
        <v>ում է պատկանում Հյուսիսային Իռլանդիան:</v>
      </c>
      <c r="D2419" s="3" t="str">
        <f>IFERROR(__xludf.DUMMYFUNCTION("GOOGLETRANSLATE(B2419,""en"",""hy"")"),"Հյուսիսային Իռլանդիան Միացյալ Թագավորության մի մասն է։")</f>
        <v>Հյուսիսային Իռլանդիան Միացյալ Թագավորության մի մասն է։</v>
      </c>
    </row>
    <row r="2420">
      <c r="A2420" s="1" t="s">
        <v>4785</v>
      </c>
      <c r="B2420" s="2" t="s">
        <v>4786</v>
      </c>
      <c r="C2420" s="3" t="str">
        <f>IFERROR(__xludf.DUMMYFUNCTION("GOOGLETRANSLATE(A2420,""en"",""hy"")"),"ով է խաղում Ալեն Այվերսոնը հիմա 2010 թ.")</f>
        <v>ով է խաղում Ալեն Այվերսոնը հիմա 2010 թ.</v>
      </c>
      <c r="D2420" s="3" t="str">
        <f>IFERROR(__xludf.DUMMYFUNCTION("GOOGLETRANSLATE(B2420,""en"",""hy"")"),"2010 թվականին Ալեն Այվերսոնը խաղացել է Ֆիլադելֆիա 76երսում։")</f>
        <v>2010 թվականին Ալեն Այվերսոնը խաղացել է Ֆիլադելֆիա 76երսում։</v>
      </c>
    </row>
    <row r="2421">
      <c r="A2421" s="1" t="s">
        <v>4787</v>
      </c>
      <c r="B2421" s="2" t="s">
        <v>4788</v>
      </c>
      <c r="C2421" s="3" t="str">
        <f>IFERROR(__xludf.DUMMYFUNCTION("GOOGLETRANSLATE(A2421,""en"",""hy"")"),"Ո՞ր կուսակցության հետ էր կապված Լինքոլնը:")</f>
        <v>Ո՞ր կուսակցության հետ էր կապված Լինքոլնը:</v>
      </c>
      <c r="D2421" s="3" t="str">
        <f>IFERROR(__xludf.DUMMYFUNCTION("GOOGLETRANSLATE(B2421,""en"",""hy"")"),"Հանրապետական ​​կուսակցություն.")</f>
        <v>Հանրապետական ​​կուսակցություն.</v>
      </c>
    </row>
    <row r="2422">
      <c r="A2422" s="1" t="s">
        <v>4789</v>
      </c>
      <c r="B2422" s="2" t="s">
        <v>4790</v>
      </c>
      <c r="C2422" s="3" t="str">
        <f>IFERROR(__xludf.DUMMYFUNCTION("GOOGLETRANSLATE(A2422,""en"",""hy"")"),"որտե՞ղ են գնում իսլամական մարդիկ երկրպագելու:")</f>
        <v>որտե՞ղ են գնում իսլամական մարդիկ երկրպագելու:</v>
      </c>
      <c r="D2422" s="3" t="str">
        <f>IFERROR(__xludf.DUMMYFUNCTION("GOOGLETRANSLATE(B2422,""en"",""hy"")"),"Իսլամ մարդիկ գնում են մզկիթ՝ երկրպագելու։")</f>
        <v>Իսլամ մարդիկ գնում են մզկիթ՝ երկրպագելու։</v>
      </c>
    </row>
    <row r="2423">
      <c r="A2423" s="1" t="s">
        <v>4791</v>
      </c>
      <c r="B2423" s="2" t="s">
        <v>4792</v>
      </c>
      <c r="C2423" s="3" t="str">
        <f>IFERROR(__xludf.DUMMYFUNCTION("GOOGLETRANSLATE(A2423,""en"",""hy"")"),"որտեղ է Քըրք Հերբստրեյթը:")</f>
        <v>որտեղ է Քըրք Հերբստրեյթը:</v>
      </c>
      <c r="D2423" s="3" t="str">
        <f>IFERROR(__xludf.DUMMYFUNCTION("GOOGLETRANSLATE(B2423,""en"",""hy"")"),"Քըրք Հերբստրեյթը ESPN-ի վերլուծաբան է:")</f>
        <v>Քըրք Հերբստրեյթը ESPN-ի վերլուծաբան է:</v>
      </c>
    </row>
    <row r="2424">
      <c r="A2424" s="1" t="s">
        <v>4793</v>
      </c>
      <c r="B2424" s="2" t="s">
        <v>4794</v>
      </c>
      <c r="C2424" s="3" t="str">
        <f>IFERROR(__xludf.DUMMYFUNCTION("GOOGLETRANSLATE(A2424,""en"",""hy"")"),"որտեղ են կռվել ամերիկյան զորքերը WW1-ում:")</f>
        <v>որտեղ են կռվել ամերիկյան զորքերը WW1-ում:</v>
      </c>
      <c r="D2424" s="3" t="str">
        <f>IFERROR(__xludf.DUMMYFUNCTION("GOOGLETRANSLATE(B2424,""en"",""hy"")"),"Ամերիկյան զորքերը Առաջին համաշխարհային պատերազմի ընթացքում կռվել են տարբեր վայրերում, ներառյալ Արևմտյան ճակատը Ֆրանսիայում և Բելգիայում:")</f>
        <v>Ամերիկյան զորքերը Առաջին համաշխարհային պատերազմի ընթացքում կռվել են տարբեր վայրերում, ներառյալ Արևմտյան ճակատը Ֆրանսիայում և Բելգիայում:</v>
      </c>
    </row>
    <row r="2425">
      <c r="A2425" s="1" t="s">
        <v>4795</v>
      </c>
      <c r="B2425" s="2" t="s">
        <v>4796</v>
      </c>
      <c r="C2425" s="3" t="str">
        <f>IFERROR(__xludf.DUMMYFUNCTION("GOOGLETRANSLATE(A2425,""en"",""hy"")"),"ո՞ր աստծուն է հավատում տաոիզմը:")</f>
        <v>ո՞ր աստծուն է հավատում տաոիզմը:</v>
      </c>
      <c r="D2425" s="3" t="str">
        <f>IFERROR(__xludf.DUMMYFUNCTION("GOOGLETRANSLATE(B2425,""en"",""hy"")"),"Դաոսիզմը չի հավատում կոնկրետ Աստծուն:")</f>
        <v>Դաոսիզմը չի հավատում կոնկրետ Աստծուն:</v>
      </c>
    </row>
    <row r="2426">
      <c r="A2426" s="1" t="s">
        <v>4797</v>
      </c>
      <c r="B2426" s="2" t="s">
        <v>4798</v>
      </c>
      <c r="C2426" s="3" t="str">
        <f>IFERROR(__xludf.DUMMYFUNCTION("GOOGLETRANSLATE(A2426,""en"",""hy"")"),"Ո՞ր քոլեջում է նվագել Քրիս Համֆրիսը:")</f>
        <v>Ո՞ր քոլեջում է նվագել Քրիս Համֆրիսը:</v>
      </c>
      <c r="D2426" s="3" t="str">
        <f>IFERROR(__xludf.DUMMYFUNCTION("GOOGLETRANSLATE(B2426,""en"",""hy"")"),"Քրիս Համֆրիսը քոլեջի բասկետբոլ է խաղացել Մինեսոտայի համալսարանի համար:")</f>
        <v>Քրիս Համֆրիսը քոլեջի բասկետբոլ է խաղացել Մինեսոտայի համալսարանի համար:</v>
      </c>
    </row>
    <row r="2427">
      <c r="A2427" s="1" t="s">
        <v>4799</v>
      </c>
      <c r="B2427" s="2" t="s">
        <v>4800</v>
      </c>
      <c r="C2427" s="3" t="str">
        <f>IFERROR(__xludf.DUMMYFUNCTION("GOOGLETRANSLATE(A2427,""en"",""hy"")"),"Ինչո՞վ է ամենահայտնի հրազենային կռիվը Wyatt Earp-ը:")</f>
        <v>Ինչո՞վ է ամենահայտնի հրազենային կռիվը Wyatt Earp-ը:</v>
      </c>
      <c r="D2427" s="3" t="str">
        <f>IFERROR(__xludf.DUMMYFUNCTION("GOOGLETRANSLATE(B2427,""en"",""hy"")"),"Հրազենային ծեծկռտուքը O.K. Կորալ.")</f>
        <v>Հրազենային ծեծկռտուքը O.K. Կորալ.</v>
      </c>
    </row>
    <row r="2428">
      <c r="A2428" s="1" t="s">
        <v>4801</v>
      </c>
      <c r="B2428" s="2" t="s">
        <v>4802</v>
      </c>
      <c r="C2428" s="3" t="str">
        <f>IFERROR(__xludf.DUMMYFUNCTION("GOOGLETRANSLATE(A2428,""en"",""hy"")"),"ինչ տեսք ունի գլխավոր պետական ​​դրոշը:")</f>
        <v>ինչ տեսք ունի գլխավոր պետական ​​դրոշը:</v>
      </c>
      <c r="D2428" s="3" t="str">
        <f>IFERROR(__xludf.DUMMYFUNCTION("GOOGLETRANSLATE(B2428,""en"",""hy"")"),"Մենի նահանգի դրոշի վրա պատկերված է կապույտ դաշտ, որի կենտրոնում զինանշանն է:")</f>
        <v>Մենի նահանգի դրոշի վրա պատկերված է կապույտ դաշտ, որի կենտրոնում զինանշանն է:</v>
      </c>
    </row>
    <row r="2429">
      <c r="A2429" s="1" t="s">
        <v>4803</v>
      </c>
      <c r="B2429" s="2" t="s">
        <v>4804</v>
      </c>
      <c r="C2429" s="3" t="str">
        <f>IFERROR(__xludf.DUMMYFUNCTION("GOOGLETRANSLATE(A2429,""en"",""hy"")"),"ինչ են խոսում Մալիները")</f>
        <v>ինչ են խոսում Մալիները</v>
      </c>
      <c r="D2429" s="3" t="str">
        <f>IFERROR(__xludf.DUMMYFUNCTION("GOOGLETRANSLATE(B2429,""en"",""hy"")"),"Մալիի բնակիչները հիմնականում խոսում են բամբարա լեզվով։")</f>
        <v>Մալիի բնակիչները հիմնականում խոսում են բամբարա լեզվով։</v>
      </c>
    </row>
    <row r="2430">
      <c r="A2430" s="1" t="s">
        <v>4805</v>
      </c>
      <c r="B2430" s="2" t="s">
        <v>4806</v>
      </c>
      <c r="C2430" s="3" t="str">
        <f>IFERROR(__xludf.DUMMYFUNCTION("GOOGLETRANSLATE(A2430,""en"",""hy"")"),"ով է Ջոն Գարսիան")</f>
        <v>ով է Ջոն Գարսիան</v>
      </c>
      <c r="D2430" s="3" t="str">
        <f>IFERROR(__xludf.DUMMYFUNCTION("GOOGLETRANSLATE(B2430,""en"",""hy"")"),"Ջոն Գարսիան սովորաբար օգտագործվող անուն է և կարող է վերաբերել բազմաթիվ անհատների: Առանց լրացուցիչ համատեքստի, անհասկանալի է, թե կոնկրետ որ Ջոն Գարսիային եք ակնարկում:")</f>
        <v>Ջոն Գարսիան սովորաբար օգտագործվող անուն է և կարող է վերաբերել բազմաթիվ անհատների: Առանց լրացուցիչ համատեքստի, անհասկանալի է, թե կոնկրետ որ Ջոն Գարսիային եք ակնարկում:</v>
      </c>
    </row>
    <row r="2431">
      <c r="A2431" s="1" t="s">
        <v>4807</v>
      </c>
      <c r="B2431" s="2" t="s">
        <v>4808</v>
      </c>
      <c r="C2431" s="3" t="str">
        <f>IFERROR(__xludf.DUMMYFUNCTION("GOOGLETRANSLATE(A2431,""en"",""hy"")"),"ինչպիսի՞ կառավարություն ունի ներկայումս Ճապոնիան:")</f>
        <v>ինչպիսի՞ կառավարություն ունի ներկայումս Ճապոնիան:</v>
      </c>
      <c r="D2431" s="3" t="str">
        <f>IFERROR(__xludf.DUMMYFUNCTION("GOOGLETRANSLATE(B2431,""en"",""hy"")"),"Ներկայումս Ճապոնիան ունի սահմանադրական միապետություն։")</f>
        <v>Ներկայումս Ճապոնիան ունի սահմանադրական միապետություն։</v>
      </c>
    </row>
    <row r="2432">
      <c r="A2432" s="1" t="s">
        <v>4809</v>
      </c>
      <c r="B2432" s="2" t="s">
        <v>4810</v>
      </c>
      <c r="C2432" s="3" t="str">
        <f>IFERROR(__xludf.DUMMYFUNCTION("GOOGLETRANSLATE(A2432,""en"",""hy"")"),"ինչ են խոսում իսրայելցիները")</f>
        <v>ինչ են խոսում իսրայելցիները</v>
      </c>
      <c r="D2432" s="3" t="str">
        <f>IFERROR(__xludf.DUMMYFUNCTION("GOOGLETRANSLATE(B2432,""en"",""hy"")"),"Իսրայելցիները խոսում են եբրայերեն:")</f>
        <v>Իսրայելցիները խոսում են եբրայերեն:</v>
      </c>
    </row>
    <row r="2433">
      <c r="A2433" s="1" t="s">
        <v>4811</v>
      </c>
      <c r="B2433" s="2">
        <v>1789.0</v>
      </c>
      <c r="C2433" s="3" t="str">
        <f>IFERROR(__xludf.DUMMYFUNCTION("GOOGLETRANSLATE(A2433,""en"",""hy"")"),"Ո՞ր տարին է Ջորջ Վաշինգթոնը դարձել նախագահ.")</f>
        <v>Ո՞ր տարին է Ջորջ Վաշինգթոնը դարձել նախագահ.</v>
      </c>
      <c r="D2433" s="3" t="str">
        <f>IFERROR(__xludf.DUMMYFUNCTION("GOOGLETRANSLATE(B2433,""en"",""hy"")"),"1789 թ")</f>
        <v>1789 թ</v>
      </c>
    </row>
    <row r="2434">
      <c r="A2434" s="1" t="s">
        <v>4812</v>
      </c>
      <c r="B2434" s="2" t="s">
        <v>4813</v>
      </c>
      <c r="C2434" s="3" t="str">
        <f>IFERROR(__xludf.DUMMYFUNCTION("GOOGLETRANSLATE(A2434,""en"",""hy"")"),"ինչի՞ց է մահացել լբջը")</f>
        <v>ինչի՞ց է մահացել լբջը</v>
      </c>
      <c r="D2434" s="3" t="str">
        <f>IFERROR(__xludf.DUMMYFUNCTION("GOOGLETRANSLATE(B2434,""en"",""hy"")"),"Լինդոն Բ. Ջոնսոնը մահացել է սրտի կաթվածից:")</f>
        <v>Լինդոն Բ. Ջոնսոնը մահացել է սրտի կաթվածից:</v>
      </c>
    </row>
    <row r="2435">
      <c r="A2435" s="1" t="s">
        <v>4814</v>
      </c>
      <c r="B2435" s="2" t="s">
        <v>4815</v>
      </c>
      <c r="C2435" s="3" t="str">
        <f>IFERROR(__xludf.DUMMYFUNCTION("GOOGLETRANSLATE(A2435,""en"",""hy"")"),"ո՞րն է Իտալիայում խոսվող հիմնական լեզուն:")</f>
        <v>ո՞րն է Իտալիայում խոսվող հիմնական լեզուն:</v>
      </c>
      <c r="D2435" s="3" t="str">
        <f>IFERROR(__xludf.DUMMYFUNCTION("GOOGLETRANSLATE(B2435,""en"",""hy"")"),"Իտալիայում խոսվող հիմնական լեզուն իտալերենն է։")</f>
        <v>Իտալիայում խոսվող հիմնական լեզուն իտալերենն է։</v>
      </c>
    </row>
    <row r="2436">
      <c r="A2436" s="1" t="s">
        <v>4816</v>
      </c>
      <c r="B2436" s="2" t="s">
        <v>4817</v>
      </c>
      <c r="C2436" s="3" t="str">
        <f>IFERROR(__xludf.DUMMYFUNCTION("GOOGLETRANSLATE(A2436,""en"",""hy"")"),"ով է եղել Մուհամեդ մարգարեի առաջին կինը:")</f>
        <v>ով է եղել Մուհամեդ մարգարեի առաջին կինը:</v>
      </c>
      <c r="D2436" s="3" t="str">
        <f>IFERROR(__xludf.DUMMYFUNCTION("GOOGLETRANSLATE(B2436,""en"",""hy"")"),"Մուհամմեդ մարգարեի առաջին կինը Խադիջա բինթ Խուվեյլիդն էր:")</f>
        <v>Մուհամմեդ մարգարեի առաջին կինը Խադիջա բինթ Խուվեյլիդն էր:</v>
      </c>
    </row>
    <row r="2437">
      <c r="A2437" s="1" t="s">
        <v>4818</v>
      </c>
      <c r="B2437" s="2" t="s">
        <v>4819</v>
      </c>
      <c r="C2437" s="3" t="str">
        <f>IFERROR(__xludf.DUMMYFUNCTION("GOOGLETRANSLATE(A2437,""en"",""hy"")"),"ինչի՞ն է հավատում Ջորջ Սորոսը.")</f>
        <v>ինչի՞ն է հավատում Ջորջ Սորոսը.</v>
      </c>
      <c r="D2437" s="3" t="str">
        <f>IFERROR(__xludf.DUMMYFUNCTION("GOOGLETRANSLATE(B2437,""en"",""hy"")"),"Ջորջ Սորոսը հավատում է ազատական ​​ժողովրդավարության, մարդու իրավունքների և սոցիալական արդարության խթանմանը:")</f>
        <v>Ջորջ Սորոսը հավատում է ազատական ​​ժողովրդավարության, մարդու իրավունքների և սոցիալական արդարության խթանմանը:</v>
      </c>
    </row>
    <row r="2438">
      <c r="A2438" s="1" t="s">
        <v>4820</v>
      </c>
      <c r="B2438" s="2" t="s">
        <v>4821</v>
      </c>
      <c r="C2438" s="3" t="str">
        <f>IFERROR(__xludf.DUMMYFUNCTION("GOOGLETRANSLATE(A2438,""en"",""hy"")"),"ո՞ր գետի վրա է գտնվում Փարիզը")</f>
        <v>ո՞ր գետի վրա է գտնվում Փարիզը</v>
      </c>
      <c r="D2438" s="3" t="str">
        <f>IFERROR(__xludf.DUMMYFUNCTION("GOOGLETRANSLATE(B2438,""en"",""hy"")"),"Սեն գետը.")</f>
        <v>Սեն գետը.</v>
      </c>
    </row>
    <row r="2439">
      <c r="A2439" s="1" t="s">
        <v>4822</v>
      </c>
      <c r="B2439" s="2" t="s">
        <v>4823</v>
      </c>
      <c r="C2439" s="3" t="str">
        <f>IFERROR(__xludf.DUMMYFUNCTION("GOOGLETRANSLATE(A2439,""en"",""hy"")"),"ով էր Սեմ Հյուսթոնը պատասխանում.")</f>
        <v>ով էր Սեմ Հյուսթոնը պատասխանում.</v>
      </c>
      <c r="D2439" s="3" t="str">
        <f>IFERROR(__xludf.DUMMYFUNCTION("GOOGLETRANSLATE(B2439,""en"",""hy"")"),"Սեմ Հյուսթոնը ամերիկացի քաղաքական և պետական ​​գործիչ էր։")</f>
        <v>Սեմ Հյուսթոնը ամերիկացի քաղաքական և պետական ​​գործիչ էր։</v>
      </c>
    </row>
    <row r="2440">
      <c r="A2440" s="1" t="s">
        <v>4824</v>
      </c>
      <c r="B2440" s="2" t="s">
        <v>4825</v>
      </c>
      <c r="C2440" s="3" t="str">
        <f>IFERROR(__xludf.DUMMYFUNCTION("GOOGLETRANSLATE(A2440,""en"",""hy"")"),"ով է Շերի Շերդիի նոր ամուսինը:")</f>
        <v>ով է Շերի Շերդիի նոր ամուսինը:</v>
      </c>
      <c r="D2440" s="3" t="str">
        <f>IFERROR(__xludf.DUMMYFUNCTION("GOOGLETRANSLATE(B2440,""en"",""hy"")"),"Շերի Շեփերդի նոր ամուսինը Լամար Սալին է։")</f>
        <v>Շերի Շեփերդի նոր ամուսինը Լամար Սալին է։</v>
      </c>
    </row>
    <row r="2441">
      <c r="A2441" s="1" t="s">
        <v>4826</v>
      </c>
      <c r="B2441" s="2" t="s">
        <v>4827</v>
      </c>
      <c r="C2441" s="3" t="str">
        <f>IFERROR(__xludf.DUMMYFUNCTION("GOOGLETRANSLATE(A2441,""en"",""hy"")"),"ո՞ւմ համար է խաղացել Քևին Գառնեթը Սելթիքսից առաջ:")</f>
        <v>ո՞ւմ համար է խաղացել Քևին Գառնեթը Սելթիքսից առաջ:</v>
      </c>
      <c r="D2441" s="3" t="str">
        <f>IFERROR(__xludf.DUMMYFUNCTION("GOOGLETRANSLATE(B2441,""en"",""hy"")"),"Քևին Գարնետը խաղացել է «Մինեսոտա Թիմբերվուլվզում» նախքան «Բոստոն Սելթիքսին» միանալը:")</f>
        <v>Քևին Գարնետը խաղացել է «Մինեսոտա Թիմբերվուլվզում» նախքան «Բոստոն Սելթիքսին» միանալը:</v>
      </c>
    </row>
    <row r="2442">
      <c r="A2442" s="1" t="s">
        <v>4828</v>
      </c>
      <c r="B2442" s="2" t="s">
        <v>4829</v>
      </c>
      <c r="C2442" s="3" t="str">
        <f>IFERROR(__xludf.DUMMYFUNCTION("GOOGLETRANSLATE(A2442,""en"",""hy"")"),"ով է Փիթեր Գրիֆինի ձայնը:")</f>
        <v>ով է Փիթեր Գրիֆինի ձայնը:</v>
      </c>
      <c r="D2442" s="3" t="str">
        <f>IFERROR(__xludf.DUMMYFUNCTION("GOOGLETRANSLATE(B2442,""en"",""hy"")"),"Փիթեր Գրիֆինի ձայնը Սեթ Մաքֆարլեյնն է։")</f>
        <v>Փիթեր Գրիֆինի ձայնը Սեթ Մաքֆարլեյնն է։</v>
      </c>
    </row>
    <row r="2443">
      <c r="A2443" s="1" t="s">
        <v>4830</v>
      </c>
      <c r="B2443" s="2" t="s">
        <v>4831</v>
      </c>
      <c r="C2443" s="3" t="str">
        <f>IFERROR(__xludf.DUMMYFUNCTION("GOOGLETRANSLATE(A2443,""en"",""hy"")"),"ինչպես է կոչվում լուսաբաց ֆրանսիացի առաջին վեպը:")</f>
        <v>ինչպես է կոչվում լուսաբաց ֆրանսիացի առաջին վեպը:</v>
      </c>
      <c r="D2443" s="3" t="str">
        <f>IFERROR(__xludf.DUMMYFUNCTION("GOOGLETRANSLATE(B2443,""en"",""hy"")"),"Dawn French-ի առաջին վեպի անվանումն է «A Tiny Bit Marvellous»:")</f>
        <v>Dawn French-ի առաջին վեպի անվանումն է «A Tiny Bit Marvellous»:</v>
      </c>
    </row>
    <row r="2444">
      <c r="A2444" s="1" t="s">
        <v>4832</v>
      </c>
      <c r="B2444" s="2" t="s">
        <v>4833</v>
      </c>
      <c r="C2444" s="3" t="str">
        <f>IFERROR(__xludf.DUMMYFUNCTION("GOOGLETRANSLATE(A2444,""en"",""hy"")"),"ով է Կալիֆորնիայի նահանգապետը 2010 թ.")</f>
        <v>ով է Կալիֆորնիայի նահանգապետը 2010 թ.</v>
      </c>
      <c r="D2444" s="3" t="str">
        <f>IFERROR(__xludf.DUMMYFUNCTION("GOOGLETRANSLATE(B2444,""en"",""hy"")"),"2010 թվականին Կալիֆորնիայի նահանգապետը Ջերի Բրաունն էր։")</f>
        <v>2010 թվականին Կալիֆորնիայի նահանգապետը Ջերի Բրաունն էր։</v>
      </c>
    </row>
    <row r="2445">
      <c r="A2445" s="1" t="s">
        <v>4834</v>
      </c>
      <c r="B2445" s="2" t="s">
        <v>4835</v>
      </c>
      <c r="C2445" s="3" t="str">
        <f>IFERROR(__xludf.DUMMYFUNCTION("GOOGLETRANSLATE(A2445,""en"",""hy"")"),"Փարիզի ո՞ր օդանավակայանն է ամենամոտ քաղաքի կենտրոնին:")</f>
        <v>Փարիզի ո՞ր օդանավակայանն է ամենամոտ քաղաքի կենտրոնին:</v>
      </c>
      <c r="D2445" s="3" t="str">
        <f>IFERROR(__xludf.DUMMYFUNCTION("GOOGLETRANSLATE(B2445,""en"",""hy"")"),"Փարիզի կենտրոնին ամենամոտ օդանավակայանը Շառլ դը Գոլի օդանավակայանն է։")</f>
        <v>Փարիզի կենտրոնին ամենամոտ օդանավակայանը Շառլ դը Գոլի օդանավակայանն է։</v>
      </c>
    </row>
    <row r="2446">
      <c r="A2446" s="1" t="s">
        <v>4836</v>
      </c>
      <c r="B2446" s="2" t="s">
        <v>4837</v>
      </c>
      <c r="C2446" s="3" t="str">
        <f>IFERROR(__xludf.DUMMYFUNCTION("GOOGLETRANSLATE(A2446,""en"",""hy"")"),"որտեղ է Սենտ Լուիս Կարդինալս մարզադաշտը")</f>
        <v>որտեղ է Սենտ Լուիս Կարդինալս մարզադաշտը</v>
      </c>
      <c r="D2446" s="3" t="str">
        <f>IFERROR(__xludf.DUMMYFUNCTION("GOOGLETRANSLATE(B2446,""en"",""hy"")"),"Սենթ Լուիս Կարդինալսի մարզադաշտը գտնվում է Միսսուրի նահանգի Սենտ Լուիս քաղաքում։")</f>
        <v>Սենթ Լուիս Կարդինալսի մարզադաշտը գտնվում է Միսսուրի նահանգի Սենտ Լուիս քաղաքում։</v>
      </c>
    </row>
    <row r="2447">
      <c r="A2447" s="1" t="s">
        <v>4838</v>
      </c>
      <c r="B2447" s="2" t="s">
        <v>4839</v>
      </c>
      <c r="C2447" s="3" t="str">
        <f>IFERROR(__xludf.DUMMYFUNCTION("GOOGLETRANSLATE(A2447,""en"",""hy"")"),"որտեղ են արտադրվում dell-ի արտադրանքները:")</f>
        <v>որտեղ են արտադրվում dell-ի արտադրանքները:</v>
      </c>
      <c r="D2447" s="3" t="str">
        <f>IFERROR(__xludf.DUMMYFUNCTION("GOOGLETRANSLATE(B2447,""en"",""hy"")"),"Dell-ի արտադրանքն արտադրվում է աշխարհի տարբեր վայրերում, այդ թվում՝ Չինաստանում, Թայվանում, Մալայզիայում և Միացյալ Նահանգներում:")</f>
        <v>Dell-ի արտադրանքն արտադրվում է աշխարհի տարբեր վայրերում, այդ թվում՝ Չինաստանում, Թայվանում, Մալայզիայում և Միացյալ Նահանգներում:</v>
      </c>
    </row>
    <row r="2448">
      <c r="A2448" s="1" t="s">
        <v>4840</v>
      </c>
      <c r="B2448" s="2" t="s">
        <v>4841</v>
      </c>
      <c r="C2448" s="3" t="str">
        <f>IFERROR(__xludf.DUMMYFUNCTION("GOOGLETRANSLATE(A2448,""en"",""hy"")"),"որտեղ է ապրում Մաննի Պակյաոն:")</f>
        <v>որտեղ է ապրում Մաննի Պակյաոն:</v>
      </c>
      <c r="D2448" s="3" t="str">
        <f>IFERROR(__xludf.DUMMYFUNCTION("GOOGLETRANSLATE(B2448,""en"",""hy"")"),"Մենի Պակյաոն ապրում է Ֆիլիպիններում։")</f>
        <v>Մենի Պակյաոն ապրում է Ֆիլիպիններում։</v>
      </c>
    </row>
    <row r="2449">
      <c r="A2449" s="1" t="s">
        <v>4842</v>
      </c>
      <c r="B2449" s="2" t="s">
        <v>4843</v>
      </c>
      <c r="C2449" s="3" t="str">
        <f>IFERROR(__xludf.DUMMYFUNCTION("GOOGLETRANSLATE(A2449,""en"",""hy"")"),"երբ են ծնվել փորող երեխաները")</f>
        <v>երբ են ծնվել փորող երեխաները</v>
      </c>
      <c r="D2449" s="3" t="str">
        <f>IFERROR(__xludf.DUMMYFUNCTION("GOOGLETRANSLATE(B2449,""en"",""hy"")"),"Դուգարի ​​բոլոր երեխաները ծնվել են 1988-ից 2010 թվականներին:")</f>
        <v>Դուգարի ​​բոլոր երեխաները ծնվել են 1988-ից 2010 թվականներին:</v>
      </c>
    </row>
    <row r="2450">
      <c r="A2450" s="1" t="s">
        <v>4844</v>
      </c>
      <c r="B2450" s="2" t="s">
        <v>4845</v>
      </c>
      <c r="C2450" s="3" t="str">
        <f>IFERROR(__xludf.DUMMYFUNCTION("GOOGLETRANSLATE(A2450,""en"",""hy"")"),"որտեղ էր ապրում փարավոն Հաթշեպսուտը:")</f>
        <v>որտեղ էր ապրում փարավոն Հաթշեպսուտը:</v>
      </c>
      <c r="D2450" s="3" t="str">
        <f>IFERROR(__xludf.DUMMYFUNCTION("GOOGLETRANSLATE(B2450,""en"",""hy"")"),"Հաթշեփսուտ փարավոնն ապրել է Հին Եգիպտոսում։")</f>
        <v>Հաթշեփսուտ փարավոնն ապրել է Հին Եգիպտոսում։</v>
      </c>
    </row>
    <row r="2451">
      <c r="A2451" s="1" t="s">
        <v>4846</v>
      </c>
      <c r="B2451" s="2" t="s">
        <v>1461</v>
      </c>
      <c r="C2451" s="3" t="str">
        <f>IFERROR(__xludf.DUMMYFUNCTION("GOOGLETRANSLATE(A2451,""en"",""hy"")"),"ո՞ր չորս երկրներն են Միացյալ Թագավորությունում:")</f>
        <v>ո՞ր չորս երկրներն են Միացյալ Թագավորությունում:</v>
      </c>
      <c r="D2451" s="3" t="str">
        <f>IFERROR(__xludf.DUMMYFUNCTION("GOOGLETRANSLATE(B2451,""en"",""hy"")"),"Անգլիա, Շոտլանդիա, Ուելս և Հյուսիսային Իռլանդիա:")</f>
        <v>Անգլիա, Շոտլանդիա, Ուելս և Հյուսիսային Իռլանդիա:</v>
      </c>
    </row>
    <row r="2452">
      <c r="A2452" s="1" t="s">
        <v>4847</v>
      </c>
      <c r="B2452" s="2" t="s">
        <v>4848</v>
      </c>
      <c r="C2452" s="3" t="str">
        <f>IFERROR(__xludf.DUMMYFUNCTION("GOOGLETRANSLATE(A2452,""en"",""hy"")"),"Ո՞ր ձայնագրման լեյբլով է Ռիհաննան ստորագրել 2012թ.")</f>
        <v>Ո՞ր ձայնագրման լեյբլով է Ռիհաննան ստորագրել 2012թ.</v>
      </c>
      <c r="D2452" s="3" t="str">
        <f>IFERROR(__xludf.DUMMYFUNCTION("GOOGLETRANSLATE(B2452,""en"",""hy"")"),"2012 թվականին Ռիհաննան պայմանագիր կնքեց Def Jam Recordings ձայնագրման լեյբլի հետ։")</f>
        <v>2012 թվականին Ռիհաննան պայմանագիր կնքեց Def Jam Recordings ձայնագրման լեյբլի հետ։</v>
      </c>
    </row>
    <row r="2453">
      <c r="A2453" s="1" t="s">
        <v>4849</v>
      </c>
      <c r="B2453" s="2" t="s">
        <v>4850</v>
      </c>
      <c r="C2453" s="3" t="str">
        <f>IFERROR(__xludf.DUMMYFUNCTION("GOOGLETRANSLATE(A2453,""en"",""hy"")"),"ո՞ւմ համար է խաղում Սեմ Բրեդֆորդը")</f>
        <v>ո՞ւմ համար է խաղում Սեմ Բրեդֆորդը</v>
      </c>
      <c r="D2453" s="3" t="str">
        <f>IFERROR(__xludf.DUMMYFUNCTION("GOOGLETRANSLATE(B2453,""en"",""hy"")"),"Սեմ Բրեդֆորդը ներկայումս խաղում է NFL-ի Arizona Cardinals-ում:")</f>
        <v>Սեմ Բրեդֆորդը ներկայումս խաղում է NFL-ի Arizona Cardinals-ում:</v>
      </c>
    </row>
    <row r="2454">
      <c r="A2454" s="1" t="s">
        <v>4851</v>
      </c>
      <c r="B2454" s="2" t="s">
        <v>4852</v>
      </c>
      <c r="C2454" s="3" t="str">
        <f>IFERROR(__xludf.DUMMYFUNCTION("GOOGLETRANSLATE(A2454,""en"",""hy"")"),"որտեղ էին ապրում սեմինոլ բնիկ ամերիկացիները:")</f>
        <v>որտեղ էին ապրում սեմինոլ բնիկ ամերիկացիները:</v>
      </c>
      <c r="D2454" s="3" t="str">
        <f>IFERROR(__xludf.DUMMYFUNCTION("GOOGLETRANSLATE(B2454,""en"",""hy"")"),"Սեմինոլ բնիկ ամերիկացիները հիմնականում ապրում էին Ֆլորիդայում:")</f>
        <v>Սեմինոլ բնիկ ամերիկացիները հիմնականում ապրում էին Ֆլորիդայում:</v>
      </c>
    </row>
    <row r="2455">
      <c r="A2455" s="1" t="s">
        <v>4853</v>
      </c>
      <c r="B2455" s="2" t="s">
        <v>4854</v>
      </c>
      <c r="C2455" s="3" t="str">
        <f>IFERROR(__xludf.DUMMYFUNCTION("GOOGLETRANSLATE(A2455,""en"",""hy"")"),"ո՞ր շրջանում է գտնվում Պլիմութը:")</f>
        <v>ո՞ր շրջանում է գտնվում Պլիմութը:</v>
      </c>
      <c r="D2455" s="3" t="str">
        <f>IFERROR(__xludf.DUMMYFUNCTION("GOOGLETRANSLATE(B2455,""en"",""hy"")"),"Սերրո Գորդո շրջան.")</f>
        <v>Սերրո Գորդո շրջան.</v>
      </c>
    </row>
    <row r="2456">
      <c r="A2456" s="1" t="s">
        <v>4855</v>
      </c>
      <c r="B2456" s="2" t="s">
        <v>4856</v>
      </c>
      <c r="C2456" s="3" t="str">
        <f>IFERROR(__xludf.DUMMYFUNCTION("GOOGLETRANSLATE(A2456,""en"",""hy"")"),"Ի՞նչ ավիաընկերություններ են թռչում Օնտարիոյի միջազգային օդանավակայան:")</f>
        <v>Ի՞նչ ավիաընկերություններ են թռչում Օնտարիոյի միջազգային օդանավակայան:</v>
      </c>
      <c r="D2456" s="3" t="str">
        <f>IFERROR(__xludf.DUMMYFUNCTION("GOOGLETRANSLATE(B2456,""en"",""hy"")"),"Մի քանի ավիաընկերություններ թռչում են Օնտարիոյի միջազգային օդանավակայան, ներառյալ Հարավարևմտյան, Ամերիկյան, Delta, United, JetBlue և Alaska:")</f>
        <v>Մի քանի ավիաընկերություններ թռչում են Օնտարիոյի միջազգային օդանավակայան, ներառյալ Հարավարևմտյան, Ամերիկյան, Delta, United, JetBlue և Alaska:</v>
      </c>
    </row>
    <row r="2457">
      <c r="A2457" s="1" t="s">
        <v>4857</v>
      </c>
      <c r="B2457" s="2" t="s">
        <v>4858</v>
      </c>
      <c r="C2457" s="3" t="str">
        <f>IFERROR(__xludf.DUMMYFUNCTION("GOOGLETRANSLATE(A2457,""en"",""hy"")"),"ո՞ր դպրոցն է սովորել Կուրտ ֆոննեգուտը:")</f>
        <v>ո՞ր դպրոցն է սովորել Կուրտ ֆոննեգուտը:</v>
      </c>
      <c r="D2457" s="3" t="str">
        <f>IFERROR(__xludf.DUMMYFUNCTION("GOOGLETRANSLATE(B2457,""en"",""hy"")"),"Կուրտ Վոննեգուտը գնաց Կոռնելի համալսարան և Չիկագոյի համալսարան:")</f>
        <v>Կուրտ Վոննեգուտը գնաց Կոռնելի համալսարան և Չիկագոյի համալսարան:</v>
      </c>
    </row>
    <row r="2458">
      <c r="A2458" s="1" t="s">
        <v>4859</v>
      </c>
      <c r="B2458" s="2" t="s">
        <v>4860</v>
      </c>
      <c r="C2458" s="3" t="str">
        <f>IFERROR(__xludf.DUMMYFUNCTION("GOOGLETRANSLATE(A2458,""en"",""hy"")"),"ինչպիսի՞ բիոմ է էվերգլեյդսը:")</f>
        <v>ինչպիսի՞ բիոմ է էվերգլեյդսը:</v>
      </c>
      <c r="D2458" s="3" t="str">
        <f>IFERROR(__xludf.DUMMYFUNCTION("GOOGLETRANSLATE(B2458,""en"",""hy"")"),"Էվերգլեյդսը ճահճային բիոմ է:")</f>
        <v>Էվերգլեյդսը ճահճային բիոմ է:</v>
      </c>
    </row>
    <row r="2459">
      <c r="A2459" s="1" t="s">
        <v>4861</v>
      </c>
      <c r="B2459" s="2" t="s">
        <v>4862</v>
      </c>
      <c r="C2459" s="3" t="str">
        <f>IFERROR(__xludf.DUMMYFUNCTION("GOOGLETRANSLATE(A2459,""en"",""hy"")"),"որտեղի՞ց է ծագել Հենրի Հադսոնը:")</f>
        <v>որտեղի՞ց է ծագել Հենրի Հադսոնը:</v>
      </c>
      <c r="D2459" s="3" t="str">
        <f>IFERROR(__xludf.DUMMYFUNCTION("GOOGLETRANSLATE(B2459,""en"",""hy"")"),"Հենրի Հադսոնը Անգլիայից էր։")</f>
        <v>Հենրի Հադսոնը Անգլիայից էր։</v>
      </c>
    </row>
    <row r="2460">
      <c r="A2460" s="1" t="s">
        <v>4863</v>
      </c>
      <c r="B2460" s="2" t="s">
        <v>1627</v>
      </c>
      <c r="C2460" s="3" t="str">
        <f>IFERROR(__xludf.DUMMYFUNCTION("GOOGLETRANSLATE(A2460,""en"",""hy"")"),"Ո՞ր մայրցամաքն է գտնվում Կոստա Ռիկան:")</f>
        <v>Ո՞ր մայրցամաքն է գտնվում Կոստա Ռիկան:</v>
      </c>
      <c r="D2460" s="3" t="str">
        <f>IFERROR(__xludf.DUMMYFUNCTION("GOOGLETRANSLATE(B2460,""en"",""hy"")"),"Հյուսիսային Ամերիկա.")</f>
        <v>Հյուսիսային Ամերիկա.</v>
      </c>
    </row>
    <row r="2461">
      <c r="A2461" s="1" t="s">
        <v>4864</v>
      </c>
      <c r="B2461" s="2" t="s">
        <v>4865</v>
      </c>
      <c r="C2461" s="3" t="str">
        <f>IFERROR(__xludf.DUMMYFUNCTION("GOOGLETRANSLATE(A2461,""en"",""hy"")"),"ո՞ր ֆիլմերում է նկարահանվել Հոլ Բերին:")</f>
        <v>ո՞ր ֆիլմերում է նկարահանվել Հոլ Բերին:</v>
      </c>
      <c r="D2461" s="3" t="str">
        <f>IFERROR(__xludf.DUMMYFUNCTION("GOOGLETRANSLATE(B2461,""en"",""hy"")"),"Որոշ ֆիլմեր, որոնցում նկարահանվել է Հալլի Բերին, ներառում են «Հրեշների գնդակը», «Իքս մարդիկ» ֆրանշիզը, «Կատուն», «Մահի մեկ այլ օր» և «Գոտիկա»:")</f>
        <v>Որոշ ֆիլմեր, որոնցում նկարահանվել է Հալլի Բերին, ներառում են «Հրեշների գնդակը», «Իքս մարդիկ» ֆրանշիզը, «Կատուն», «Մահի մեկ այլ օր» և «Գոտիկա»:</v>
      </c>
    </row>
    <row r="2462">
      <c r="A2462" s="1" t="s">
        <v>4866</v>
      </c>
      <c r="B2462" s="2" t="s">
        <v>4867</v>
      </c>
      <c r="C2462" s="3" t="str">
        <f>IFERROR(__xludf.DUMMYFUNCTION("GOOGLETRANSLATE(A2462,""en"",""hy"")"),"ո՞րն էր հին Իսրայելի մայրաքաղաքը")</f>
        <v>ո՞րն էր հին Իսրայելի մայրաքաղաքը</v>
      </c>
      <c r="D2462" s="3" t="str">
        <f>IFERROR(__xludf.DUMMYFUNCTION("GOOGLETRANSLATE(B2462,""en"",""hy"")"),"Հին Իսրայելի մայրաքաղաքը Երուսաղեմն էր։")</f>
        <v>Հին Իսրայելի մայրաքաղաքը Երուսաղեմն էր։</v>
      </c>
    </row>
    <row r="2463">
      <c r="A2463" s="1" t="s">
        <v>4868</v>
      </c>
      <c r="B2463" s="2" t="s">
        <v>4869</v>
      </c>
      <c r="C2463" s="3" t="str">
        <f>IFERROR(__xludf.DUMMYFUNCTION("GOOGLETRANSLATE(A2463,""en"",""hy"")"),"որտեղ է Ալամա Իքբալի գերեզմանը")</f>
        <v>որտեղ է Ալամա Իքբալի գերեզմանը</v>
      </c>
      <c r="D2463" s="3" t="str">
        <f>IFERROR(__xludf.DUMMYFUNCTION("GOOGLETRANSLATE(B2463,""en"",""hy"")"),"Ալլամա Իքբալի դամբարանը գտնվում է Հազուրի Բաղում՝ Պակիստանի Լահոր քաղաքի Բադշահի մզկիթի մոտ։")</f>
        <v>Ալլամա Իքբալի դամբարանը գտնվում է Հազուրի Բաղում՝ Պակիստանի Լահոր քաղաքի Բադշահի մզկիթի մոտ։</v>
      </c>
    </row>
    <row r="2464">
      <c r="A2464" s="1" t="s">
        <v>4870</v>
      </c>
      <c r="B2464" s="2" t="s">
        <v>4871</v>
      </c>
      <c r="C2464" s="3" t="str">
        <f>IFERROR(__xludf.DUMMYFUNCTION("GOOGLETRANSLATE(A2464,""en"",""hy"")"),"ո՞ւմ են ամենաշատը արտահանում Միացյալ Նահանգները.")</f>
        <v>ո՞ւմ են ամենաշատը արտահանում Միացյալ Նահանգները.</v>
      </c>
      <c r="D2464" s="3" t="str">
        <f>IFERROR(__xludf.DUMMYFUNCTION("GOOGLETRANSLATE(B2464,""en"",""hy"")"),"ԱՄՆ-ն ամենաշատը արտահանում է Չինաստան։")</f>
        <v>ԱՄՆ-ն ամենաշատը արտահանում է Չինաստան։</v>
      </c>
    </row>
    <row r="2465">
      <c r="A2465" s="1" t="s">
        <v>4872</v>
      </c>
      <c r="B2465" s="2" t="s">
        <v>4873</v>
      </c>
      <c r="C2465" s="3" t="str">
        <f>IFERROR(__xludf.DUMMYFUNCTION("GOOGLETRANSLATE(A2465,""en"",""hy"")"),"որտեղ է հիմնված sony ericsson-ը:")</f>
        <v>որտեղ է հիմնված sony ericsson-ը:</v>
      </c>
      <c r="D2465" s="3" t="str">
        <f>IFERROR(__xludf.DUMMYFUNCTION("GOOGLETRANSLATE(B2465,""en"",""hy"")"),"Sony Ericsson-ը հեռահաղորդակցության բազմազգ ընկերություն էր, որը հիմնված էր Շվեդիայում:")</f>
        <v>Sony Ericsson-ը հեռահաղորդակցության բազմազգ ընկերություն էր, որը հիմնված էր Շվեդիայում:</v>
      </c>
    </row>
    <row r="2466">
      <c r="A2466" s="1" t="s">
        <v>4874</v>
      </c>
      <c r="B2466" s="2" t="s">
        <v>4875</v>
      </c>
      <c r="C2466" s="3" t="str">
        <f>IFERROR(__xludf.DUMMYFUNCTION("GOOGLETRANSLATE(A2466,""en"",""hy"")"),"ինչ դպրոց է սովորել Մայքլ Ջորդանը")</f>
        <v>ինչ դպրոց է սովորել Մայքլ Ջորդանը</v>
      </c>
      <c r="D2466" s="3" t="str">
        <f>IFERROR(__xludf.DUMMYFUNCTION("GOOGLETRANSLATE(B2466,""en"",""hy"")"),"Մայքլ Ջորդանը սովորել է Հյուսիսային Կարոլինայի համալսարանում:")</f>
        <v>Մայքլ Ջորդանը սովորել է Հյուսիսային Կարոլինայի համալսարանում:</v>
      </c>
    </row>
    <row r="2467">
      <c r="A2467" s="1" t="s">
        <v>4876</v>
      </c>
      <c r="B2467" s="2" t="s">
        <v>4877</v>
      </c>
      <c r="C2467" s="3" t="str">
        <f>IFERROR(__xludf.DUMMYFUNCTION("GOOGLETRANSLATE(A2467,""en"",""hy"")"),"ինչ ես խոսում Սինգապուրում")</f>
        <v>ինչ ես խոսում Սինգապուրում</v>
      </c>
      <c r="D2467" s="3" t="str">
        <f>IFERROR(__xludf.DUMMYFUNCTION("GOOGLETRANSLATE(B2467,""en"",""hy"")"),"Անգլերենը, մալայերենը, մանդարին չինարենը և թամիլերենը Սինգապուրում խոսվող չորս պաշտոնական լեզուներն են:")</f>
        <v>Անգլերենը, մալայերենը, մանդարին չինարենը և թամիլերենը Սինգապուրում խոսվող չորս պաշտոնական լեզուներն են:</v>
      </c>
    </row>
    <row r="2468">
      <c r="A2468" s="1" t="s">
        <v>4878</v>
      </c>
      <c r="B2468" s="2" t="s">
        <v>4879</v>
      </c>
      <c r="C2468" s="3" t="str">
        <f>IFERROR(__xludf.DUMMYFUNCTION("GOOGLETRANSLATE(A2468,""en"",""hy"")"),"որտեղից է ռեգի բուշը")</f>
        <v>որտեղից է ռեգի բուշը</v>
      </c>
      <c r="D2468" s="3" t="str">
        <f>IFERROR(__xludf.DUMMYFUNCTION("GOOGLETRANSLATE(B2468,""en"",""hy"")"),"Ռեջի Բուշը Կալիֆորնիայի Սան Դիեգոյից է։")</f>
        <v>Ռեջի Բուշը Կալիֆորնիայի Սան Դիեգոյից է։</v>
      </c>
    </row>
    <row r="2469">
      <c r="A2469" s="1" t="s">
        <v>4880</v>
      </c>
      <c r="B2469" s="2" t="s">
        <v>4881</v>
      </c>
      <c r="C2469" s="3" t="str">
        <f>IFERROR(__xludf.DUMMYFUNCTION("GOOGLETRANSLATE(A2469,""en"",""hy"")"),"ինչում էր սարա Պաքսթոնը:")</f>
        <v>ինչում էր սարա Պաքսթոնը:</v>
      </c>
      <c r="D2469" s="3" t="str">
        <f>IFERROR(__xludf.DUMMYFUNCTION("GOOGLETRANSLATE(B2469,""en"",""hy"")"),"Սառա Փաքսթոնը նկարահանվել է այնպիսի ֆիլմերում, ինչպիսիք են «Aquamarine»-ը և «The Innkeepers»-ը և հեռուստատեսային շոուները, ինչպիսիք են «Darcy's Wild Life»-ը և «Good Girls»-ը:")</f>
        <v>Սառա Փաքսթոնը նկարահանվել է այնպիսի ֆիլմերում, ինչպիսիք են «Aquamarine»-ը և «The Innkeepers»-ը և հեռուստատեսային շոուները, ինչպիսիք են «Darcy's Wild Life»-ը և «Good Girls»-ը:</v>
      </c>
    </row>
    <row r="2470">
      <c r="A2470" s="1" t="s">
        <v>4882</v>
      </c>
      <c r="B2470" s="2" t="s">
        <v>4883</v>
      </c>
      <c r="C2470" s="3" t="str">
        <f>IFERROR(__xludf.DUMMYFUNCTION("GOOGLETRANSLATE(A2470,""en"",""hy"")"),"Ո՞ր տարրական դպրոց է սովորել սըր Իսահակ Նյուտոնը:")</f>
        <v>Ո՞ր տարրական դպրոց է սովորել սըր Իսահակ Նյուտոնը:</v>
      </c>
      <c r="D2470" s="3" t="str">
        <f>IFERROR(__xludf.DUMMYFUNCTION("GOOGLETRANSLATE(B2470,""en"",""hy"")"),"Սըր Իսահակ Նյուտոնը հաճախել է Անգլիայի Գրանթեմ քաղաքի Քինգի դպրոցը:")</f>
        <v>Սըր Իսահակ Նյուտոնը հաճախել է Անգլիայի Գրանթեմ քաղաքի Քինգի դպրոցը:</v>
      </c>
    </row>
    <row r="2471">
      <c r="A2471" s="1" t="s">
        <v>4884</v>
      </c>
      <c r="B2471" s="2" t="s">
        <v>4885</v>
      </c>
      <c r="C2471" s="3" t="str">
        <f>IFERROR(__xludf.DUMMYFUNCTION("GOOGLETRANSLATE(A2471,""en"",""hy"")"),"ինչ է եգիպտական ​​արժույթը")</f>
        <v>ինչ է եգիպտական ​​արժույթը</v>
      </c>
      <c r="D2471" s="3" t="str">
        <f>IFERROR(__xludf.DUMMYFUNCTION("GOOGLETRANSLATE(B2471,""en"",""hy"")"),"Եգիպտական ​​արժույթը եգիպտական ​​ֆունտն է։")</f>
        <v>Եգիպտական ​​արժույթը եգիպտական ​​ֆունտն է։</v>
      </c>
    </row>
    <row r="2472">
      <c r="A2472" s="1" t="s">
        <v>4886</v>
      </c>
      <c r="B2472" s="2" t="s">
        <v>4887</v>
      </c>
      <c r="C2472" s="3" t="str">
        <f>IFERROR(__xludf.DUMMYFUNCTION("GOOGLETRANSLATE(A2472,""en"",""hy"")"),"ո՞ր հռոմեական աստվածուհին ես դու")</f>
        <v>ո՞ր հռոմեական աստվածուհին ես դու</v>
      </c>
      <c r="D2472" s="3" t="str">
        <f>IFERROR(__xludf.DUMMYFUNCTION("GOOGLETRANSLATE(B2472,""en"",""hy"")"),"Որպես AI՝ ես աստված կամ աստվածուհի չեմ, ուստի չեմ նույնանում հռոմեական որևէ աստվածության հետ:")</f>
        <v>Որպես AI՝ ես աստված կամ աստվածուհի չեմ, ուստի չեմ նույնանում հռոմեական որևէ աստվածության հետ:</v>
      </c>
    </row>
    <row r="2473">
      <c r="A2473" s="1" t="s">
        <v>4888</v>
      </c>
      <c r="B2473" s="2" t="s">
        <v>4889</v>
      </c>
      <c r="C2473" s="3" t="str">
        <f>IFERROR(__xludf.DUMMYFUNCTION("GOOGLETRANSLATE(A2473,""en"",""hy"")"),"Ո՞ր երկրներ է Կանադան ցորեն արտահանում:")</f>
        <v>Ո՞ր երկրներ է Կանադան ցորեն արտահանում:</v>
      </c>
      <c r="D2473" s="3" t="str">
        <f>IFERROR(__xludf.DUMMYFUNCTION("GOOGLETRANSLATE(B2473,""en"",""hy"")"),"Կանադան ցորեն է արտահանում աշխարհի բազմաթիվ երկրներ, այդ թվում՝ ԱՄՆ, Ճապոնիա, Չինաստան, Մեքսիկա և Բրազիլիա:")</f>
        <v>Կանադան ցորեն է արտահանում աշխարհի բազմաթիվ երկրներ, այդ թվում՝ ԱՄՆ, Ճապոնիա, Չինաստան, Մեքսիկա և Բրազիլիա:</v>
      </c>
    </row>
    <row r="2474">
      <c r="A2474" s="1" t="s">
        <v>4890</v>
      </c>
      <c r="B2474" s="2" t="s">
        <v>4891</v>
      </c>
      <c r="C2474" s="3" t="str">
        <f>IFERROR(__xludf.DUMMYFUNCTION("GOOGLETRANSLATE(A2474,""en"",""hy"")"),"ինչպիսի՞ տնտեսություն ունի Չինաստանը.")</f>
        <v>ինչպիսի՞ տնտեսություն ունի Չինաստանը.</v>
      </c>
      <c r="D2474" s="3" t="str">
        <f>IFERROR(__xludf.DUMMYFUNCTION("GOOGLETRANSLATE(B2474,""en"",""hy"")"),"Չինաստանն ունի խառը սոցիալիստական ​​շուկայական տնտեսություն։")</f>
        <v>Չինաստանն ունի խառը սոցիալիստական ​​շուկայական տնտեսություն։</v>
      </c>
    </row>
    <row r="2475">
      <c r="A2475" s="1" t="s">
        <v>4892</v>
      </c>
      <c r="B2475" s="2" t="s">
        <v>4893</v>
      </c>
      <c r="C2475" s="3" t="str">
        <f>IFERROR(__xludf.DUMMYFUNCTION("GOOGLETRANSLATE(A2475,""en"",""hy"")"),"ինչ է Մեքսիկայի քաղաքի ժամային գոտին:")</f>
        <v>ինչ է Մեքսիկայի քաղաքի ժամային գոտին:</v>
      </c>
      <c r="D2475" s="3" t="str">
        <f>IFERROR(__xludf.DUMMYFUNCTION("GOOGLETRANSLATE(B2475,""en"",""hy"")"),"Մեխիկո քաղաքը գտնվում է Կենտրոնական ստանդարտ ժամանակային գոտում (CST):")</f>
        <v>Մեխիկո քաղաքը գտնվում է Կենտրոնական ստանդարտ ժամանակային գոտում (CST):</v>
      </c>
    </row>
    <row r="2476">
      <c r="A2476" s="1" t="s">
        <v>4894</v>
      </c>
      <c r="B2476" s="2" t="s">
        <v>4895</v>
      </c>
      <c r="C2476" s="3" t="str">
        <f>IFERROR(__xludf.DUMMYFUNCTION("GOOGLETRANSLATE(A2476,""en"",""hy"")"),"ով հաղթեց ֆա գավաթը 2008 թ.")</f>
        <v>ով հաղթեց ֆա գավաթը 2008 թ.</v>
      </c>
      <c r="D2476" s="3" t="str">
        <f>IFERROR(__xludf.DUMMYFUNCTION("GOOGLETRANSLATE(B2476,""en"",""hy"")"),"Պորտսմութ.")</f>
        <v>Պորտսմութ.</v>
      </c>
    </row>
    <row r="2477">
      <c r="A2477" s="1" t="s">
        <v>4896</v>
      </c>
      <c r="B2477" s="2" t="s">
        <v>2792</v>
      </c>
      <c r="C2477" s="3" t="str">
        <f>IFERROR(__xludf.DUMMYFUNCTION("GOOGLETRANSLATE(A2477,""en"",""hy"")"),"ով է Ջեյքոբ Բլեքի դերը մթնշաղի ֆիլմերում:")</f>
        <v>ով է Ջեյքոբ Բլեքի դերը մթնշաղի ֆիլմերում:</v>
      </c>
      <c r="D2477" s="3" t="str">
        <f>IFERROR(__xludf.DUMMYFUNCTION("GOOGLETRANSLATE(B2477,""en"",""hy"")"),"Թեյլոր Լոթներ.")</f>
        <v>Թեյլոր Լոթներ.</v>
      </c>
    </row>
    <row r="2478">
      <c r="A2478" s="1" t="s">
        <v>4897</v>
      </c>
      <c r="B2478" s="2" t="s">
        <v>4898</v>
      </c>
      <c r="C2478" s="3" t="str">
        <f>IFERROR(__xludf.DUMMYFUNCTION("GOOGLETRANSLATE(A2478,""en"",""hy"")"),"ով է Ինդիանապոլիս Քոլթսի գլխավոր մարզիչը.")</f>
        <v>ով է Ինդիանապոլիս Քոլթսի գլխավոր մարզիչը.</v>
      </c>
      <c r="D2478" s="3" t="str">
        <f>IFERROR(__xludf.DUMMYFUNCTION("GOOGLETRANSLATE(B2478,""en"",""hy"")"),"Ֆրենկ Ռայխը Ինդիանապոլիս Քոլթսի գլխավոր մարզիչն է։")</f>
        <v>Ֆրենկ Ռայխը Ինդիանապոլիս Քոլթսի գլխավոր մարզիչն է։</v>
      </c>
    </row>
    <row r="2479">
      <c r="A2479" s="1" t="s">
        <v>4899</v>
      </c>
      <c r="B2479" s="2" t="s">
        <v>4900</v>
      </c>
      <c r="C2479" s="3" t="str">
        <f>IFERROR(__xludf.DUMMYFUNCTION("GOOGLETRANSLATE(A2479,""en"",""hy"")"),"Ո՞վ է Ռոբ Քարդաշյանը հանդիպում 2012 թ.")</f>
        <v>Ո՞վ է Ռոբ Քարդաշյանը հանդիպում 2012 թ.</v>
      </c>
      <c r="D2479" s="3" t="str">
        <f>IFERROR(__xludf.DUMMYFUNCTION("GOOGLETRANSLATE(B2479,""en"",""hy"")"),"2012 թվականին Ռոբ Քարդաշյանը հանդիպում էր Ռիտա Օրայի հետ։")</f>
        <v>2012 թվականին Ռոբ Քարդաշյանը հանդիպում էր Ռիտա Օրայի հետ։</v>
      </c>
    </row>
    <row r="2480">
      <c r="A2480" s="1" t="s">
        <v>4901</v>
      </c>
      <c r="B2480" s="2" t="s">
        <v>4902</v>
      </c>
      <c r="C2480" s="3" t="str">
        <f>IFERROR(__xludf.DUMMYFUNCTION("GOOGLETRANSLATE(A2480,""en"",""hy"")"),"ինչ է Սիրակուզայի համալսարանի թալիսմանը:")</f>
        <v>ինչ է Սիրակուզայի համալսարանի թալիսմանը:</v>
      </c>
      <c r="D2480" s="3" t="str">
        <f>IFERROR(__xludf.DUMMYFUNCTION("GOOGLETRANSLATE(B2480,""en"",""hy"")"),"Սիրակուզայի համալսարանի թալիսմանը Օտտո Նարինջն է:")</f>
        <v>Սիրակուզայի համալսարանի թալիսմանը Օտտո Նարինջն է:</v>
      </c>
    </row>
    <row r="2481">
      <c r="A2481" s="1" t="s">
        <v>4903</v>
      </c>
      <c r="B2481" s="2" t="s">
        <v>4904</v>
      </c>
      <c r="C2481" s="3" t="str">
        <f>IFERROR(__xludf.DUMMYFUNCTION("GOOGLETRANSLATE(A2481,""en"",""hy"")"),"որտեղ է Honda-ն ֆուտբոլ խաղում")</f>
        <v>որտեղ է Honda-ն ֆուտբոլ խաղում</v>
      </c>
      <c r="D2481" s="3" t="str">
        <f>IFERROR(__xludf.DUMMYFUNCTION("GOOGLETRANSLATE(B2481,""en"",""hy"")"),"Honda-ն ֆուտբոլ չի խաղում, քանի որ ավտոմեքենա արտադրող է:")</f>
        <v>Honda-ն ֆուտբոլ չի խաղում, քանի որ ավտոմեքենա արտադրող է:</v>
      </c>
    </row>
    <row r="2482">
      <c r="A2482" s="1" t="s">
        <v>4905</v>
      </c>
      <c r="B2482" s="2" t="s">
        <v>4906</v>
      </c>
      <c r="C2482" s="3" t="str">
        <f>IFERROR(__xludf.DUMMYFUNCTION("GOOGLETRANSLATE(A2482,""en"",""hy"")"),"Ո՞ր ժամային գոտին է Օնտարիո Տորոնտոն:")</f>
        <v>Ո՞ր ժամային գոտին է Օնտարիո Տորոնտոն:</v>
      </c>
      <c r="D2482" s="3" t="str">
        <f>IFERROR(__xludf.DUMMYFUNCTION("GOOGLETRANSLATE(B2482,""en"",""hy"")"),"Արևելյան ստանդարտ ժամանակ (EST) կամ արևելյան ամառային ժամանակ (EDT)՝ կախված սեզոնից:")</f>
        <v>Արևելյան ստանդարտ ժամանակ (EST) կամ արևելյան ամառային ժամանակ (EDT)՝ կախված սեզոնից:</v>
      </c>
    </row>
    <row r="2483">
      <c r="A2483" s="1" t="s">
        <v>4907</v>
      </c>
      <c r="B2483" s="2" t="s">
        <v>4908</v>
      </c>
      <c r="C2483" s="3" t="str">
        <f>IFERROR(__xludf.DUMMYFUNCTION("GOOGLETRANSLATE(A2483,""en"",""hy"")"),"որտեղ է augusta գոլֆի վարպետները:")</f>
        <v>որտեղ է augusta գոլֆի վարպետները:</v>
      </c>
      <c r="D2483" s="3" t="str">
        <f>IFERROR(__xludf.DUMMYFUNCTION("GOOGLETRANSLATE(B2483,""en"",""hy"")"),"Augusta Golf Masters-ն անցկացվում է ԱՄՆ-ի Ջորջիա նահանգի Ավգուստա քաղաքում:")</f>
        <v>Augusta Golf Masters-ն անցկացվում է ԱՄՆ-ի Ջորջիա նահանգի Ավգուստա քաղաքում:</v>
      </c>
    </row>
    <row r="2484">
      <c r="A2484" s="1" t="s">
        <v>4909</v>
      </c>
      <c r="B2484" s="2" t="s">
        <v>4910</v>
      </c>
      <c r="C2484" s="3" t="str">
        <f>IFERROR(__xludf.DUMMYFUNCTION("GOOGLETRANSLATE(A2484,""en"",""hy"")"),"ի՞նչ կառավարություն ուներ Ճապոնիան")</f>
        <v>ի՞նչ կառավարություն ուներ Ճապոնիան</v>
      </c>
      <c r="D2484" s="3" t="str">
        <f>IFERROR(__xludf.DUMMYFUNCTION("GOOGLETRANSLATE(B2484,""en"",""hy"")"),"Ճապոնիան ունի սահմանադրական միապետություն՝ խորհրդարանական կառավարմամբ։")</f>
        <v>Ճապոնիան ունի սահմանադրական միապետություն՝ խորհրդարանական կառավարմամբ։</v>
      </c>
    </row>
    <row r="2485">
      <c r="A2485" s="1" t="s">
        <v>4911</v>
      </c>
      <c r="B2485" s="2" t="s">
        <v>4912</v>
      </c>
      <c r="C2485" s="3" t="str">
        <f>IFERROR(__xludf.DUMMYFUNCTION("GOOGLETRANSLATE(A2485,""en"",""hy"")"),"որտեղ է ավարտվում Շանոն գետը:")</f>
        <v>որտեղ է ավարտվում Շանոն գետը:</v>
      </c>
      <c r="D2485" s="3" t="str">
        <f>IFERROR(__xludf.DUMMYFUNCTION("GOOGLETRANSLATE(B2485,""en"",""hy"")"),"Շենոն գետն ավարտվում է Շենոն գետաբերանում, որը գտնվում է Իռլանդիայի արևմտյան ափին։")</f>
        <v>Շենոն գետն ավարտվում է Շենոն գետաբերանում, որը գտնվում է Իռլանդիայի արևմտյան ափին։</v>
      </c>
    </row>
    <row r="2486">
      <c r="A2486" s="1" t="s">
        <v>4913</v>
      </c>
      <c r="B2486" s="2" t="s">
        <v>4914</v>
      </c>
      <c r="C2486" s="3" t="str">
        <f>IFERROR(__xludf.DUMMYFUNCTION("GOOGLETRANSLATE(A2486,""en"",""hy"")"),"ի՞նչ է պատկանում Ստան Քրոնկեն:")</f>
        <v>ի՞նչ է պատկանում Ստան Քրոնկեն:</v>
      </c>
      <c r="D2486" s="3" t="str">
        <f>IFERROR(__xludf.DUMMYFUNCTION("GOOGLETRANSLATE(B2486,""en"",""hy"")"),"Սթեն Կրյոնկեին են պատկանում «Լոս Անջելես Ռեմսը» (NFL թիմ), «Արսենալ» ֆուտբոլային ակումբը (Պրեմիեր լիգայի թիմ), «Դենվեր Նագեթսը» (NBA թիմ), «Կոլորադո Ավալանշը» (NHL թիմ), «Կոլորադո Ռեփիդսը» (MLS թիմ) և մի շարք այլ սպորտային գույք:")</f>
        <v>Սթեն Կրյոնկեին են պատկանում «Լոս Անջելես Ռեմսը» (NFL թիմ), «Արսենալ» ֆուտբոլային ակումբը (Պրեմիեր լիգայի թիմ), «Դենվեր Նագեթսը» (NBA թիմ), «Կոլորադո Ավալանշը» (NHL թիմ), «Կոլորադո Ռեփիդսը» (MLS թիմ) և մի շարք այլ սպորտային գույք:</v>
      </c>
    </row>
    <row r="2487">
      <c r="A2487" s="1" t="s">
        <v>4915</v>
      </c>
      <c r="B2487" s="2" t="s">
        <v>4916</v>
      </c>
      <c r="C2487" s="3" t="str">
        <f>IFERROR(__xludf.DUMMYFUNCTION("GOOGLETRANSLATE(A2487,""en"",""hy"")"),"ո՞ր երկրներին է սահմանակից Չինաստանը")</f>
        <v>ո՞ր երկրներին է սահմանակից Չինաստանը</v>
      </c>
      <c r="D2487" s="3" t="str">
        <f>IFERROR(__xludf.DUMMYFUNCTION("GOOGLETRANSLATE(B2487,""en"",""hy"")"),"Չինաստանը սահմանակից է 14 երկրների, այդ թվում՝ Մոնղոլիային, Ռուսաստանին, Հյուսիսային Կորեային, Վիետնամին, Լաոսին, Մյանմարին, Բութանը, Նեպալին, Հնդկաստանին, Պակիստանին, Աֆղանստանին, Տաջիկստանին, Ղրղզստանին և Ղազախստանին։")</f>
        <v>Չինաստանը սահմանակից է 14 երկրների, այդ թվում՝ Մոնղոլիային, Ռուսաստանին, Հյուսիսային Կորեային, Վիետնամին, Լաոսին, Մյանմարին, Բութանը, Նեպալին, Հնդկաստանին, Պակիստանին, Աֆղանստանին, Տաջիկստանին, Ղրղզստանին և Ղազախստանին։</v>
      </c>
    </row>
    <row r="2488">
      <c r="A2488" s="1" t="s">
        <v>4917</v>
      </c>
      <c r="B2488" s="2" t="s">
        <v>4918</v>
      </c>
      <c r="C2488" s="3" t="str">
        <f>IFERROR(__xludf.DUMMYFUNCTION("GOOGLETRANSLATE(A2488,""en"",""hy"")"),"ո՞ր համալսարանն է ավարտել Դոնալդ Թրամփը.")</f>
        <v>ո՞ր համալսարանն է ավարտել Դոնալդ Թրամփը.</v>
      </c>
      <c r="D2488" s="3" t="str">
        <f>IFERROR(__xludf.DUMMYFUNCTION("GOOGLETRANSLATE(B2488,""en"",""hy"")"),"Դոնալդ Թրամփը ավարտել է Փենսիլվանիայի համալսարանը։")</f>
        <v>Դոնալդ Թրամփը ավարտել է Փենսիլվանիայի համալսարանը։</v>
      </c>
    </row>
    <row r="2489">
      <c r="A2489" s="1" t="s">
        <v>4919</v>
      </c>
      <c r="B2489" s="2" t="s">
        <v>4920</v>
      </c>
      <c r="C2489" s="3" t="str">
        <f>IFERROR(__xludf.DUMMYFUNCTION("GOOGLETRANSLATE(A2489,""en"",""hy"")"),"ինչ դեղամիջոցով է Միտչ Հեդբերգը չափից մեծ դոզավորում.")</f>
        <v>ինչ դեղամիջոցով է Միտչ Հեդբերգը չափից մեծ դոզավորում.</v>
      </c>
      <c r="D2489" s="3" t="str">
        <f>IFERROR(__xludf.DUMMYFUNCTION("GOOGLETRANSLATE(B2489,""en"",""hy"")"),"Միթչ Հեդբերգը հերոինի և կոկաինի չափից մեծ դոզա է ընդունել.")</f>
        <v>Միթչ Հեդբերգը հերոինի և կոկաինի չափից մեծ դոզա է ընդունել.</v>
      </c>
    </row>
    <row r="2490">
      <c r="A2490" s="1" t="s">
        <v>4921</v>
      </c>
      <c r="B2490" s="2" t="s">
        <v>4922</v>
      </c>
      <c r="C2490" s="3" t="str">
        <f>IFERROR(__xludf.DUMMYFUNCTION("GOOGLETRANSLATE(A2490,""en"",""hy"")"),"որո՞նք էին Էրիկ Էրիկսոնի տեսությունները:")</f>
        <v>որո՞նք էին Էրիկ Էրիկսոնի տեսությունները:</v>
      </c>
      <c r="D2490" s="3" t="str">
        <f>IFERROR(__xludf.DUMMYFUNCTION("GOOGLETRANSLATE(B2490,""en"",""hy"")"),"Էրիկ Էրիկսոնի տեսությունները կենտրոնացած էին հոգեսոցիալական զարգացման վրա՝ ընդգծելով սոցիալական փոխազդեցությունների կարևորությունը ողջ կյանքի ընթացքում և ինքնության զարգացումը:")</f>
        <v>Էրիկ Էրիկսոնի տեսությունները կենտրոնացած էին հոգեսոցիալական զարգացման վրա՝ ընդգծելով սոցիալական փոխազդեցությունների կարևորությունը ողջ կյանքի ընթացքում և ինքնության զարգացումը:</v>
      </c>
    </row>
    <row r="2491">
      <c r="A2491" s="1" t="s">
        <v>4923</v>
      </c>
      <c r="B2491" s="2" t="s">
        <v>4924</v>
      </c>
      <c r="C2491" s="3" t="str">
        <f>IFERROR(__xludf.DUMMYFUNCTION("GOOGLETRANSLATE(A2491,""en"",""hy"")"),"ինչի՞ համար է հանդես գալիս ավստրալական լիբերալ կուսակցությունը:")</f>
        <v>ինչի՞ համար է հանդես գալիս ավստրալական լիբերալ կուսակցությունը:</v>
      </c>
      <c r="D2491" s="3" t="str">
        <f>IFERROR(__xludf.DUMMYFUNCTION("GOOGLETRANSLATE(B2491,""en"",""hy"")"),"Ավստրալիայի լիբերալ կուսակցությունը հանդես է գալիս ազատ շուկաների, անհատի ազատության, փոքր կառավարության և անձնական ազատության համար:")</f>
        <v>Ավստրալիայի լիբերալ կուսակցությունը հանդես է գալիս ազատ շուկաների, անհատի ազատության, փոքր կառավարության և անձնական ազատության համար:</v>
      </c>
    </row>
    <row r="2492">
      <c r="A2492" s="1" t="s">
        <v>4925</v>
      </c>
      <c r="B2492" s="2" t="s">
        <v>4926</v>
      </c>
      <c r="C2492" s="3" t="str">
        <f>IFERROR(__xludf.DUMMYFUNCTION("GOOGLETRANSLATE(A2492,""en"",""hy"")"),"ինչ է Բրիտանական Կոլումբիան:")</f>
        <v>ինչ է Բրիտանական Կոլումբիան:</v>
      </c>
      <c r="D2492" s="3" t="str">
        <f>IFERROR(__xludf.DUMMYFUNCTION("GOOGLETRANSLATE(B2492,""en"",""hy"")"),"Բրիտանական Կոլումբիան գավառ է Կանադայում։")</f>
        <v>Բրիտանական Կոլումբիան գավառ է Կանադայում։</v>
      </c>
    </row>
    <row r="2493">
      <c r="A2493" s="1" t="s">
        <v>4927</v>
      </c>
      <c r="B2493" s="2" t="s">
        <v>4928</v>
      </c>
      <c r="C2493" s="3" t="str">
        <f>IFERROR(__xludf.DUMMYFUNCTION("GOOGLETRANSLATE(A2493,""en"",""hy"")"),"ինչ լեզվով եք խոսում Ավստրիայում")</f>
        <v>ինչ լեզվով եք խոսում Ավստրիայում</v>
      </c>
      <c r="D2493" s="3" t="str">
        <f>IFERROR(__xludf.DUMMYFUNCTION("GOOGLETRANSLATE(B2493,""en"",""hy"")"),"գերմաներեն.")</f>
        <v>գերմաներեն.</v>
      </c>
    </row>
    <row r="2494">
      <c r="A2494" s="1" t="s">
        <v>4929</v>
      </c>
      <c r="B2494" s="2" t="s">
        <v>4930</v>
      </c>
      <c r="C2494" s="3" t="str">
        <f>IFERROR(__xludf.DUMMYFUNCTION("GOOGLETRANSLATE(A2494,""en"",""hy"")"),"ինչ է ներկայացնում Ֆիլիպինների դրոշը:")</f>
        <v>ինչ է ներկայացնում Ֆիլիպինների դրոշը:</v>
      </c>
      <c r="D2494" s="3" t="str">
        <f>IFERROR(__xludf.DUMMYFUNCTION("GOOGLETRANSLATE(B2494,""en"",""hy"")"),"Ֆիլիպինների դրոշը ներկայացնում է երկրի հայրենասիրությունը, քաջությունը և սերը ազգի հանդեպ:")</f>
        <v>Ֆիլիպինների դրոշը ներկայացնում է երկրի հայրենասիրությունը, քաջությունը և սերը ազգի հանդեպ:</v>
      </c>
    </row>
    <row r="2495">
      <c r="A2495" s="1" t="s">
        <v>4931</v>
      </c>
      <c r="B2495" s="2" t="s">
        <v>4932</v>
      </c>
      <c r="C2495" s="3" t="str">
        <f>IFERROR(__xludf.DUMMYFUNCTION("GOOGLETRANSLATE(A2495,""en"",""hy"")"),"ու՞մ հետ է ամուսնացել Ռոզմարի Քլունին")</f>
        <v>ու՞մ հետ է ամուսնացել Ռոզմարի Քլունին</v>
      </c>
      <c r="D2495" s="3" t="str">
        <f>IFERROR(__xludf.DUMMYFUNCTION("GOOGLETRANSLATE(B2495,""en"",""hy"")"),"Ռոզմարի Քլունին ամուսնացած էր Խոսե Ֆերերի հետ։")</f>
        <v>Ռոզմարի Քլունին ամուսնացած էր Խոսե Ֆերերի հետ։</v>
      </c>
    </row>
    <row r="2496">
      <c r="A2496" s="1" t="s">
        <v>4933</v>
      </c>
      <c r="B2496" s="2" t="s">
        <v>4934</v>
      </c>
      <c r="C2496" s="3" t="str">
        <f>IFERROR(__xludf.DUMMYFUNCTION("GOOGLETRANSLATE(A2496,""en"",""hy"")"),"որտեղ էր ապրում Ռոջեր Մուրը")</f>
        <v>որտեղ էր ապրում Ռոջեր Մուրը</v>
      </c>
      <c r="D2496" s="3" t="str">
        <f>IFERROR(__xludf.DUMMYFUNCTION("GOOGLETRANSLATE(B2496,""en"",""hy"")"),"Ռոջեր Մուրն ապրում էր Շվեյցարիայում։")</f>
        <v>Ռոջեր Մուրն ապրում էր Շվեյցարիայում։</v>
      </c>
    </row>
    <row r="2497">
      <c r="A2497" s="1" t="s">
        <v>4935</v>
      </c>
      <c r="B2497" s="2" t="s">
        <v>4936</v>
      </c>
      <c r="C2497" s="3" t="str">
        <f>IFERROR(__xludf.DUMMYFUNCTION("GOOGLETRANSLATE(A2497,""en"",""hy"")"),"ո՞վ է Օքլենդ Ռեյդերսի գլխավոր մարզիչը:")</f>
        <v>ո՞վ է Օքլենդ Ռեյդերսի գլխավոր մարզիչը:</v>
      </c>
      <c r="D2497" s="3" t="str">
        <f>IFERROR(__xludf.DUMMYFUNCTION("GOOGLETRANSLATE(B2497,""en"",""hy"")"),"Oakland Raiders-ի գլխավոր մարզիչն է Ջոն Գրուդենը։")</f>
        <v>Oakland Raiders-ի գլխավոր մարզիչն է Ջոն Գրուդենը։</v>
      </c>
    </row>
    <row r="2498">
      <c r="A2498" s="1" t="s">
        <v>4937</v>
      </c>
      <c r="B2498" s="2" t="s">
        <v>4938</v>
      </c>
      <c r="C2498" s="3" t="str">
        <f>IFERROR(__xludf.DUMMYFUNCTION("GOOGLETRANSLATE(A2498,""en"",""hy"")"),"որտեղ է խոսվում պորտուգալերենը")</f>
        <v>որտեղ է խոսվում պորտուգալերենը</v>
      </c>
      <c r="D2498" s="3" t="str">
        <f>IFERROR(__xludf.DUMMYFUNCTION("GOOGLETRANSLATE(B2498,""en"",""hy"")"),"Պորտուգալերենը հիմնականում խոսում են Պորտուգալիայում և Բրազիլիայում: Խոսվում է նաև մի շարք այլ երկրներում, այդ թվում՝ Անգոլայում, Մոզամբիկում, Կաբո Վերդեում, Գվինեա-Բիսաուում, Արևելյան Թիմորում և Մակաոյում։")</f>
        <v>Պորտուգալերենը հիմնականում խոսում են Պորտուգալիայում և Բրազիլիայում: Խոսվում է նաև մի շարք այլ երկրներում, այդ թվում՝ Անգոլայում, Մոզամբիկում, Կաբո Վերդեում, Գվինեա-Բիսաուում, Արևելյան Թիմորում և Մակաոյում։</v>
      </c>
    </row>
    <row r="2499">
      <c r="A2499" s="1" t="s">
        <v>4939</v>
      </c>
      <c r="B2499" s="2" t="s">
        <v>4940</v>
      </c>
      <c r="C2499" s="3" t="str">
        <f>IFERROR(__xludf.DUMMYFUNCTION("GOOGLETRANSLATE(A2499,""en"",""hy"")"),"ով է ամուսնացած Գարթ Բրուքսի հետ:")</f>
        <v>ով է ամուսնացած Գարթ Բրուքսի հետ:</v>
      </c>
      <c r="D2499" s="3" t="str">
        <f>IFERROR(__xludf.DUMMYFUNCTION("GOOGLETRANSLATE(B2499,""en"",""hy"")"),"Տրիսիա Յարվուդ")</f>
        <v>Տրիսիա Յարվուդ</v>
      </c>
    </row>
    <row r="2500">
      <c r="A2500" s="1" t="s">
        <v>4941</v>
      </c>
      <c r="B2500" s="2" t="s">
        <v>4942</v>
      </c>
      <c r="C2500" s="3" t="str">
        <f>IFERROR(__xludf.DUMMYFUNCTION("GOOGLETRANSLATE(A2500,""en"",""hy"")"),"ո՞ր կուսակցության առաջնորդն էր Հիտլերը.")</f>
        <v>ո՞ր կուսակցության առաջնորդն էր Հիտլերը.</v>
      </c>
      <c r="D2500" s="3" t="str">
        <f>IFERROR(__xludf.DUMMYFUNCTION("GOOGLETRANSLATE(B2500,""en"",""hy"")"),"Հիտլերը նացիստական ​​կուսակցության առաջնորդն էր։")</f>
        <v>Հիտլերը նացիստական ​​կուսակցության առաջնորդն էր։</v>
      </c>
    </row>
    <row r="2501">
      <c r="A2501" s="1" t="s">
        <v>4943</v>
      </c>
      <c r="B2501" s="2" t="s">
        <v>4944</v>
      </c>
      <c r="C2501" s="3" t="str">
        <f>IFERROR(__xludf.DUMMYFUNCTION("GOOGLETRANSLATE(A2501,""en"",""hy"")"),"ով է plaxico Burress-ը ստորագրել 2012 թ.")</f>
        <v>ով է plaxico Burress-ը ստորագրել 2012 թ.</v>
      </c>
      <c r="D2501" s="3" t="str">
        <f>IFERROR(__xludf.DUMMYFUNCTION("GOOGLETRANSLATE(B2501,""en"",""hy"")"),"Պլաքսիկո Բերեսը պայմանագիր է կնքել Պիտսբուրգ Սթիլերսի հետ 2012 թվականին:")</f>
        <v>Պլաքսիկո Բերեսը պայմանագիր է կնքել Պիտսբուրգ Սթիլերսի հետ 2012 թվականին:</v>
      </c>
    </row>
    <row r="2502">
      <c r="A2502" s="1" t="s">
        <v>4945</v>
      </c>
      <c r="B2502" s="2" t="s">
        <v>4946</v>
      </c>
      <c r="C2502" s="3" t="str">
        <f>IFERROR(__xludf.DUMMYFUNCTION("GOOGLETRANSLATE(A2502,""en"",""hy"")"),"Ո՞վ է խաղում Զախ Գալիֆիանակիսը կախազարդում:")</f>
        <v>Ո՞վ է խաղում Զախ Գալիֆիանակիսը կախազարդում:</v>
      </c>
      <c r="D2502" s="3" t="str">
        <f>IFERROR(__xludf.DUMMYFUNCTION("GOOGLETRANSLATE(B2502,""en"",""hy"")"),"Զաք Գալիֆիանակիսը մարմնավորում է Ալան Գարների կերպարը The Hangover-ում:")</f>
        <v>Զաք Գալիֆիանակիսը մարմնավորում է Ալան Գարների կերպարը The Hangover-ում:</v>
      </c>
    </row>
    <row r="2503">
      <c r="A2503" s="1" t="s">
        <v>4947</v>
      </c>
      <c r="B2503" s="2" t="s">
        <v>2110</v>
      </c>
      <c r="C2503" s="3" t="str">
        <f>IFERROR(__xludf.DUMMYFUNCTION("GOOGLETRANSLATE(A2503,""en"",""hy"")"),"ով է խաղում Lois ընտանիքի տղայի մեջ:")</f>
        <v>ով է խաղում Lois ընտանիքի տղայի մեջ:</v>
      </c>
      <c r="D2503" s="3" t="str">
        <f>IFERROR(__xludf.DUMMYFUNCTION("GOOGLETRANSLATE(B2503,""en"",""hy"")"),"Ալեքս Բորշտեյն.")</f>
        <v>Ալեքս Բորշտեյն.</v>
      </c>
    </row>
    <row r="2504">
      <c r="A2504" s="1" t="s">
        <v>4948</v>
      </c>
      <c r="B2504" s="2" t="s">
        <v>4949</v>
      </c>
      <c r="C2504" s="3" t="str">
        <f>IFERROR(__xludf.DUMMYFUNCTION("GOOGLETRANSLATE(A2504,""en"",""hy"")"),"ինչ պետություն է dwight դ. Էյզենհաուերը ապրում է?")</f>
        <v>ինչ պետություն է dwight դ. Էյզենհաուերը ապրում է?</v>
      </c>
      <c r="D2504" s="3" t="str">
        <f>IFERROR(__xludf.DUMMYFUNCTION("GOOGLETRANSLATE(B2504,""en"",""hy"")"),"Կանզաս.")</f>
        <v>Կանզաս.</v>
      </c>
    </row>
    <row r="2505">
      <c r="A2505" s="1" t="s">
        <v>4950</v>
      </c>
      <c r="B2505" s="2" t="s">
        <v>4951</v>
      </c>
      <c r="C2505" s="3" t="str">
        <f>IFERROR(__xludf.DUMMYFUNCTION("GOOGLETRANSLATE(A2505,""en"",""hy"")"),"Որո՞նք են 2 գյուտերը, որոնց ստեղծման համար վերագրվում է Բենջամին Ֆրանկլինը:")</f>
        <v>Որո՞նք են 2 գյուտերը, որոնց ստեղծման համար վերագրվում է Բենջամին Ֆրանկլինը:</v>
      </c>
      <c r="D2505" s="3" t="str">
        <f>IFERROR(__xludf.DUMMYFUNCTION("GOOGLETRANSLATE(B2505,""en"",""hy"")"),"Բենջամին Ֆրանկլինը վերագրվում է կայծակաձողի և երկֆոկալների հայտնագործմանը:")</f>
        <v>Բենջամին Ֆրանկլինը վերագրվում է կայծակաձողի և երկֆոկալների հայտնագործմանը:</v>
      </c>
    </row>
    <row r="2506">
      <c r="A2506" s="1" t="s">
        <v>4952</v>
      </c>
      <c r="B2506" s="2" t="s">
        <v>4953</v>
      </c>
      <c r="C2506" s="3" t="str">
        <f>IFERROR(__xludf.DUMMYFUNCTION("GOOGLETRANSLATE(A2506,""en"",""hy"")"),"որտեղ է մեծացել Կարմեն Էլեկտրան:")</f>
        <v>որտեղ է մեծացել Կարմեն Էլեկտրան:</v>
      </c>
      <c r="D2506" s="3" t="str">
        <f>IFERROR(__xludf.DUMMYFUNCTION("GOOGLETRANSLATE(B2506,""en"",""hy"")"),"Կարմեն Էլեկտրան մեծացել է Օհայո նահանգի Շերոնվիլ քաղաքում:")</f>
        <v>Կարմեն Էլեկտրան մեծացել է Օհայո նահանգի Շերոնվիլ քաղաքում:</v>
      </c>
    </row>
    <row r="2507">
      <c r="A2507" s="1" t="s">
        <v>4954</v>
      </c>
      <c r="B2507" s="2" t="s">
        <v>4955</v>
      </c>
      <c r="C2507" s="3" t="str">
        <f>IFERROR(__xludf.DUMMYFUNCTION("GOOGLETRANSLATE(A2507,""en"",""hy"")"),"ինչ է Վանդերբիլտի համալսարանի թալիսմանը:")</f>
        <v>ինչ է Վանդերբիլտի համալսարանի թալիսմանը:</v>
      </c>
      <c r="D2507" s="3" t="str">
        <f>IFERROR(__xludf.DUMMYFUNCTION("GOOGLETRANSLATE(B2507,""en"",""hy"")"),"Վանդերբիլտի համալսարանի թալիսմանը Կոմոդորն է:")</f>
        <v>Վանդերբիլտի համալսարանի թալիսմանը Կոմոդորն է:</v>
      </c>
    </row>
    <row r="2508">
      <c r="A2508" s="1" t="s">
        <v>4956</v>
      </c>
      <c r="B2508" s="2" t="s">
        <v>4957</v>
      </c>
      <c r="C2508" s="3" t="str">
        <f>IFERROR(__xludf.DUMMYFUNCTION("GOOGLETRANSLATE(A2508,""en"",""hy"")"),"ի՞նչ հայտնի գիրք է գրել Բենջամին Ֆրանկլինը:")</f>
        <v>ի՞նչ հայտնի գիրք է գրել Բենջամին Ֆրանկլինը:</v>
      </c>
      <c r="D2508" s="3" t="str">
        <f>IFERROR(__xludf.DUMMYFUNCTION("GOOGLETRANSLATE(B2508,""en"",""hy"")"),"Բենջամին Ֆրանկլինը գրել է «Խեղճ Ռիչարդի Ալմանակը» հայտնի գիրքը։")</f>
        <v>Բենջամին Ֆրանկլինը գրել է «Խեղճ Ռիչարդի Ալմանակը» հայտնի գիրքը։</v>
      </c>
    </row>
    <row r="2509">
      <c r="A2509" s="1" t="s">
        <v>4958</v>
      </c>
      <c r="B2509" s="2" t="s">
        <v>4959</v>
      </c>
      <c r="C2509" s="3" t="str">
        <f>IFERROR(__xludf.DUMMYFUNCTION("GOOGLETRANSLATE(A2509,""en"",""hy"")"),"Ո՞ր խմբի համար է երգում Ադամ Լևինը:")</f>
        <v>Ո՞ր խմբի համար է երգում Ադամ Լևինը:</v>
      </c>
      <c r="D2509" s="3" t="str">
        <f>IFERROR(__xludf.DUMMYFUNCTION("GOOGLETRANSLATE(B2509,""en"",""hy"")"),"Ադամ Լևինը երգում է Maroon 5 խմբի համար։")</f>
        <v>Ադամ Լևինը երգում է Maroon 5 խմբի համար։</v>
      </c>
    </row>
    <row r="2510">
      <c r="A2510" s="1" t="s">
        <v>4960</v>
      </c>
      <c r="B2510" s="2" t="s">
        <v>4961</v>
      </c>
      <c r="C2510" s="3" t="str">
        <f>IFERROR(__xludf.DUMMYFUNCTION("GOOGLETRANSLATE(A2510,""en"",""hy"")"),"որտե՞ղ է Բրայան Ուիլյամսը գնացել քոլեջ:")</f>
        <v>որտե՞ղ է Բրայան Ուիլյամսը գնացել քոլեջ:</v>
      </c>
      <c r="D2510" s="3" t="str">
        <f>IFERROR(__xludf.DUMMYFUNCTION("GOOGLETRANSLATE(B2510,""en"",""hy"")"),"Բրայան Ուիլյամսը սովորել է Վաշինգտոնում գտնվող Ամերիկայի կաթոլիկ համալսարանի քոլեջում:")</f>
        <v>Բրայան Ուիլյամսը սովորել է Վաշինգտոնում գտնվող Ամերիկայի կաթոլիկ համալսարանի քոլեջում:</v>
      </c>
    </row>
    <row r="2511">
      <c r="A2511" s="1" t="s">
        <v>4962</v>
      </c>
      <c r="B2511" s="2" t="s">
        <v>4963</v>
      </c>
      <c r="C2511" s="3" t="str">
        <f>IFERROR(__xludf.DUMMYFUNCTION("GOOGLETRANSLATE(A2511,""en"",""hy"")"),"որտեղ է իր կրթությունը ստացել Ռոբերտ Հուկը:")</f>
        <v>որտեղ է իր կրթությունը ստացել Ռոբերտ Հուկը:</v>
      </c>
      <c r="D2511" s="3" t="str">
        <f>IFERROR(__xludf.DUMMYFUNCTION("GOOGLETRANSLATE(B2511,""en"",""hy"")"),"Ռոբերտ Հուկը կրթություն է ստացել Լոնդոնի Վեսթմինսթերյան դպրոցում։")</f>
        <v>Ռոբերտ Հուկը կրթություն է ստացել Լոնդոնի Վեսթմինսթերյան դպրոցում։</v>
      </c>
    </row>
    <row r="2512">
      <c r="A2512" s="1" t="s">
        <v>4964</v>
      </c>
      <c r="B2512" s="2" t="s">
        <v>4965</v>
      </c>
      <c r="C2512" s="3" t="str">
        <f>IFERROR(__xludf.DUMMYFUNCTION("GOOGLETRANSLATE(A2512,""en"",""hy"")"),"ո՞ր երկիրն է ղեկավարել Թրումենը:")</f>
        <v>ո՞ր երկիրն է ղեկավարել Թրումենը:</v>
      </c>
      <c r="D2512" s="3" t="str">
        <f>IFERROR(__xludf.DUMMYFUNCTION("GOOGLETRANSLATE(B2512,""en"",""hy"")"),"Թրումենը ղեկավարում էր Միացյալ Նահանգները։")</f>
        <v>Թրումենը ղեկավարում էր Միացյալ Նահանգները։</v>
      </c>
    </row>
    <row r="2513">
      <c r="A2513" s="1" t="s">
        <v>4966</v>
      </c>
      <c r="B2513" s="2" t="s">
        <v>4967</v>
      </c>
      <c r="C2513" s="3" t="str">
        <f>IFERROR(__xludf.DUMMYFUNCTION("GOOGLETRANSLATE(A2513,""en"",""hy"")"),"ինչ է լեզուն Արգենտինայում")</f>
        <v>ինչ է լեզուն Արգենտինայում</v>
      </c>
      <c r="D2513" s="3" t="str">
        <f>IFERROR(__xludf.DUMMYFUNCTION("GOOGLETRANSLATE(B2513,""en"",""hy"")"),"Արգենտինայում պաշտոնական լեզուն իսպաներենն է։")</f>
        <v>Արգենտինայում պաշտոնական լեզուն իսպաներենն է։</v>
      </c>
    </row>
    <row r="2514">
      <c r="A2514" s="1" t="s">
        <v>4968</v>
      </c>
      <c r="B2514" s="2" t="s">
        <v>4969</v>
      </c>
      <c r="C2514" s="3" t="str">
        <f>IFERROR(__xludf.DUMMYFUNCTION("GOOGLETRANSLATE(A2514,""en"",""hy"")"),"Հունաստանի ո՞ր կղզին")</f>
        <v>Հունաստանի ո՞ր կղզին</v>
      </c>
      <c r="D2514" s="3" t="str">
        <f>IFERROR(__xludf.DUMMYFUNCTION("GOOGLETRANSLATE(B2514,""en"",""hy"")"),"Կրետե.")</f>
        <v>Կրետե.</v>
      </c>
    </row>
    <row r="2515">
      <c r="A2515" s="1" t="s">
        <v>4970</v>
      </c>
      <c r="B2515" s="2" t="s">
        <v>4971</v>
      </c>
      <c r="C2515" s="3" t="str">
        <f>IFERROR(__xludf.DUMMYFUNCTION("GOOGLETRANSLATE(A2515,""en"",""hy"")"),"ով է հաղթել ամենաշատ ֆա գավաթը:")</f>
        <v>ով է հաղթել ամենաշատ ֆա գավաթը:</v>
      </c>
      <c r="D2515" s="3" t="str">
        <f>IFERROR(__xludf.DUMMYFUNCTION("GOOGLETRANSLATE(B2515,""en"",""hy"")"),"«Արսենալը» ամենաշատը նվաճել է Անգլիայի գավաթը՝ ընդհանուր 14 տիտղոսով:")</f>
        <v>«Արսենալը» ամենաշատը նվաճել է Անգլիայի գավաթը՝ ընդհանուր 14 տիտղոսով:</v>
      </c>
    </row>
    <row r="2516">
      <c r="A2516" s="1" t="s">
        <v>4972</v>
      </c>
      <c r="B2516" s="2" t="s">
        <v>4973</v>
      </c>
      <c r="C2516" s="3" t="str">
        <f>IFERROR(__xludf.DUMMYFUNCTION("GOOGLETRANSLATE(A2516,""en"",""hy"")"),"քանի՞ ժամ է Կանզասը")</f>
        <v>քանի՞ ժամ է Կանզասը</v>
      </c>
      <c r="D2516" s="3" t="str">
        <f>IFERROR(__xludf.DUMMYFUNCTION("GOOGLETRANSLATE(B2516,""en"",""hy"")"),"Կանզասը գտնվում է Կենտրոնական ժամային գոտում:")</f>
        <v>Կանզասը գտնվում է Կենտրոնական ժամային գոտում:</v>
      </c>
    </row>
    <row r="2517">
      <c r="A2517" s="1" t="s">
        <v>4974</v>
      </c>
      <c r="B2517" s="2" t="s">
        <v>4975</v>
      </c>
      <c r="C2517" s="3" t="str">
        <f>IFERROR(__xludf.DUMMYFUNCTION("GOOGLETRANSLATE(A2517,""en"",""hy"")"),"ժամը քանիսն է Սան Դիեգո Կալիֆորնիայում:")</f>
        <v>ժամը քանիսն է Սան Դիեգո Կալիֆորնիայում:</v>
      </c>
      <c r="D2517" s="3" t="str">
        <f>IFERROR(__xludf.DUMMYFUNCTION("GOOGLETRANSLATE(B2517,""en"",""hy"")"),"Սան Դիեգոյում, Կալիֆորնիա, ժամը ներկայումս [տեղադրեք ընթացիկ ժամը]:")</f>
        <v>Սան Դիեգոյում, Կալիֆորնիա, ժամը ներկայումս [տեղադրեք ընթացիկ ժամը]:</v>
      </c>
    </row>
    <row r="2518">
      <c r="A2518" s="1" t="s">
        <v>4976</v>
      </c>
      <c r="B2518" s="2" t="s">
        <v>4977</v>
      </c>
      <c r="C2518" s="3" t="str">
        <f>IFERROR(__xludf.DUMMYFUNCTION("GOOGLETRANSLATE(A2518,""en"",""hy"")"),"ի՞նչ լանդշաֆտներ կան Իտալիայում:")</f>
        <v>ի՞նչ լանդշաֆտներ կան Իտալիայում:</v>
      </c>
      <c r="D2518" s="3" t="str">
        <f>IFERROR(__xludf.DUMMYFUNCTION("GOOGLETRANSLATE(B2518,""en"",""hy"")"),"Իտալիայում հայտնաբերված որոշ հողային ձևեր են լեռները, բլուրները, հարթավայրերը և առափնյա գծերը:")</f>
        <v>Իտալիայում հայտնաբերված որոշ հողային ձևեր են լեռները, բլուրները, հարթավայրերը և առափնյա գծերը:</v>
      </c>
    </row>
    <row r="2519">
      <c r="A2519" s="1" t="s">
        <v>4978</v>
      </c>
      <c r="B2519" s="2" t="s">
        <v>4979</v>
      </c>
      <c r="C2519" s="3" t="str">
        <f>IFERROR(__xludf.DUMMYFUNCTION("GOOGLETRANSLATE(A2519,""en"",""hy"")"),"Ե՞րբ է Այրին փոթորիկը հարվածել ct-ին:")</f>
        <v>Ե՞րբ է Այրին փոթորիկը հարվածել ct-ին:</v>
      </c>
      <c r="D2519" s="3" t="str">
        <f>IFERROR(__xludf.DUMMYFUNCTION("GOOGLETRANSLATE(B2519,""en"",""hy"")"),"Այրին փոթորիկը հարվածել է Կոնեկտիկուտին 2011 թվականի օգոստոսի 28-ին։")</f>
        <v>Այրին փոթորիկը հարվածել է Կոնեկտիկուտին 2011 թվականի օգոստոսի 28-ին։</v>
      </c>
    </row>
    <row r="2520">
      <c r="A2520" s="1" t="s">
        <v>4980</v>
      </c>
      <c r="B2520" s="2" t="s">
        <v>4981</v>
      </c>
      <c r="C2520" s="3" t="str">
        <f>IFERROR(__xludf.DUMMYFUNCTION("GOOGLETRANSLATE(A2520,""en"",""hy"")"),"ով է խաղացել Մայքլ Ջեքսոնը վիզում:")</f>
        <v>ով է խաղացել Մայքլ Ջեքսոնը վիզում:</v>
      </c>
      <c r="D2520" s="3" t="str">
        <f>IFERROR(__xludf.DUMMYFUNCTION("GOOGLETRANSLATE(B2520,""en"",""hy"")"),"Մայքլ Ջեքսոնը «The Wiz» ֆիլմում խաղացել է Խրտվիլակի դերը։")</f>
        <v>Մայքլ Ջեքսոնը «The Wiz» ֆիլմում խաղացել է Խրտվիլակի դերը։</v>
      </c>
    </row>
    <row r="2521">
      <c r="A2521" s="1" t="s">
        <v>4982</v>
      </c>
      <c r="B2521" s="2" t="s">
        <v>4983</v>
      </c>
      <c r="C2521" s="3" t="str">
        <f>IFERROR(__xludf.DUMMYFUNCTION("GOOGLETRANSLATE(A2521,""en"",""hy"")"),"ի՞նչ է Օսամա բեն Լադենի մրցավազքը:")</f>
        <v>ի՞նչ է Օսամա բեն Լադենի մրցավազքը:</v>
      </c>
      <c r="D2521" s="3" t="str">
        <f>IFERROR(__xludf.DUMMYFUNCTION("GOOGLETRANSLATE(B2521,""en"",""hy"")"),"Ուսամա բեն Լադենն արաբական ծագում ուներ:")</f>
        <v>Ուսամա բեն Լադենն արաբական ծագում ուներ:</v>
      </c>
    </row>
    <row r="2522">
      <c r="A2522" s="1" t="s">
        <v>4984</v>
      </c>
      <c r="B2522" s="2" t="s">
        <v>4985</v>
      </c>
      <c r="C2522" s="3" t="str">
        <f>IFERROR(__xludf.DUMMYFUNCTION("GOOGLETRANSLATE(A2522,""en"",""hy"")"),"ինչո՞վ էր հայտնի Գրեգոր Մենդելը.")</f>
        <v>ինչո՞վ էր հայտնի Գրեգոր Մենդելը.</v>
      </c>
      <c r="D2522" s="3" t="str">
        <f>IFERROR(__xludf.DUMMYFUNCTION("GOOGLETRANSLATE(B2522,""en"",""hy"")"),"Գրեգոր Մենդելը հայտնի էր գենետիկայի ոլորտում իր աշխատանքով, մասնավորապես՝ սիսեռի բույսերի հետ իր փորձերով, որոնք հանգեցրին ժառանգականության սկզբունքների բացահայտմանը:")</f>
        <v>Գրեգոր Մենդելը հայտնի էր գենետիկայի ոլորտում իր աշխատանքով, մասնավորապես՝ սիսեռի բույսերի հետ իր փորձերով, որոնք հանգեցրին ժառանգականության սկզբունքների բացահայտմանը:</v>
      </c>
    </row>
    <row r="2523">
      <c r="A2523" s="1" t="s">
        <v>4986</v>
      </c>
      <c r="B2523" s="2" t="s">
        <v>4987</v>
      </c>
      <c r="C2523" s="3" t="str">
        <f>IFERROR(__xludf.DUMMYFUNCTION("GOOGLETRANSLATE(A2523,""en"",""hy"")"),"ի՞նչ դեղեր է օգտագործում Չարլի Շինը:")</f>
        <v>ի՞նչ դեղեր է օգտագործում Չարլի Շինը:</v>
      </c>
      <c r="D2523" s="3" t="str">
        <f>IFERROR(__xludf.DUMMYFUNCTION("GOOGLETRANSLATE(B2523,""en"",""hy"")"),"Չարլի Շինը հրապարակայնորեն խոստովանել է, որ օգտագործել է կոկաին, ալկոհոլ և դեղատոմսով դեղեր։")</f>
        <v>Չարլի Շինը հրապարակայնորեն խոստովանել է, որ օգտագործել է կոկաին, ալկոհոլ և դեղատոմսով դեղեր։</v>
      </c>
    </row>
    <row r="2524">
      <c r="A2524" s="1" t="s">
        <v>4988</v>
      </c>
      <c r="B2524" s="2" t="s">
        <v>4989</v>
      </c>
      <c r="C2524" s="3" t="str">
        <f>IFERROR(__xludf.DUMMYFUNCTION("GOOGLETRANSLATE(A2524,""en"",""hy"")"),"ո՞րն է ասորական կայսրության մայրաքաղաքը:")</f>
        <v>ո՞րն է ասորական կայսրության մայրաքաղաքը:</v>
      </c>
      <c r="D2524" s="3" t="str">
        <f>IFERROR(__xludf.DUMMYFUNCTION("GOOGLETRANSLATE(B2524,""en"",""hy"")"),"Ասորեստանի կայսրության մայրաքաղաքը Նինվեն էր։")</f>
        <v>Ասորեստանի կայսրության մայրաքաղաքը Նինվեն էր։</v>
      </c>
    </row>
    <row r="2525">
      <c r="A2525" s="1" t="s">
        <v>4990</v>
      </c>
      <c r="B2525" s="2" t="s">
        <v>4991</v>
      </c>
      <c r="C2525" s="3" t="str">
        <f>IFERROR(__xludf.DUMMYFUNCTION("GOOGLETRANSLATE(A2525,""en"",""hy"")"),"ո՞ր երկրներն են խոսում անգլերեն:")</f>
        <v>ո՞ր երկրներն են խոսում անգլերեն:</v>
      </c>
      <c r="D2525" s="3" t="str">
        <f>IFERROR(__xludf.DUMMYFUNCTION("GOOGLETRANSLATE(B2525,""en"",""hy"")"),"Անգլերեն խոսող որոշ երկրներ ներառում են Միացյալ Նահանգները, Միացյալ Թագավորությունը, Կանադան, Ավստրալիան, Նոր Զելանդիան և Իռլանդիան:")</f>
        <v>Անգլերեն խոսող որոշ երկրներ ներառում են Միացյալ Նահանգները, Միացյալ Թագավորությունը, Կանադան, Ավստրալիան, Նոր Զելանդիան և Իռլանդիան:</v>
      </c>
    </row>
    <row r="2526">
      <c r="A2526" s="1" t="s">
        <v>4992</v>
      </c>
      <c r="B2526" s="2" t="s">
        <v>4993</v>
      </c>
      <c r="C2526" s="3" t="str">
        <f>IFERROR(__xludf.DUMMYFUNCTION("GOOGLETRANSLATE(A2526,""en"",""hy"")"),"ինչ հիվանդություն է Մայքլ Ջեքսոնը")</f>
        <v>ինչ հիվանդություն է Մայքլ Ջեքսոնը</v>
      </c>
      <c r="D2526" s="3" t="str">
        <f>IFERROR(__xludf.DUMMYFUNCTION("GOOGLETRANSLATE(B2526,""en"",""hy"")"),"Մայքլ Ջեքսոնը տառապում էր մաշկի հազվագյուտ հիվանդությամբ, որը կոչվում էր վիտիլիգո:")</f>
        <v>Մայքլ Ջեքսոնը տառապում էր մաշկի հազվագյուտ հիվանդությամբ, որը կոչվում էր վիտիլիգո:</v>
      </c>
    </row>
    <row r="2527">
      <c r="A2527" s="1" t="s">
        <v>4994</v>
      </c>
      <c r="B2527" s="2" t="s">
        <v>4995</v>
      </c>
      <c r="C2527" s="3" t="str">
        <f>IFERROR(__xludf.DUMMYFUNCTION("GOOGLETRANSLATE(A2527,""en"",""hy"")"),"որտե՞ղ է Ջերի Սփինելին գնացել քոլեջ:")</f>
        <v>որտե՞ղ է Ջերի Սփինելին գնացել քոլեջ:</v>
      </c>
      <c r="D2527" s="3" t="str">
        <f>IFERROR(__xludf.DUMMYFUNCTION("GOOGLETRANSLATE(B2527,""en"",""hy"")"),"Ջերի Սպինելին հաճախել է Գետիսբուրգի քոլեջ։")</f>
        <v>Ջերի Սպինելին հաճախել է Գետիսբուրգի քոլեջ։</v>
      </c>
    </row>
    <row r="2528">
      <c r="A2528" s="1" t="s">
        <v>4996</v>
      </c>
      <c r="B2528" s="2" t="s">
        <v>4997</v>
      </c>
      <c r="C2528" s="3" t="str">
        <f>IFERROR(__xludf.DUMMYFUNCTION("GOOGLETRANSLATE(A2528,""en"",""hy"")"),"ո՞րն է cordova tn փոստային կոդը:")</f>
        <v>ո՞րն է cordova tn փոստային կոդը:</v>
      </c>
      <c r="D2528" s="3" t="str">
        <f>IFERROR(__xludf.DUMMYFUNCTION("GOOGLETRANSLATE(B2528,""en"",""hy"")"),"Cordova, TN փոստային կոդը 38016։")</f>
        <v>Cordova, TN փոստային կոդը 38016։</v>
      </c>
    </row>
    <row r="2529">
      <c r="A2529" s="1" t="s">
        <v>4998</v>
      </c>
      <c r="B2529" s="2" t="s">
        <v>4999</v>
      </c>
      <c r="C2529" s="3" t="str">
        <f>IFERROR(__xludf.DUMMYFUNCTION("GOOGLETRANSLATE(A2529,""en"",""hy"")"),"ինչ է Ջուլիա Գիլարդի երեկույթը:")</f>
        <v>ինչ է Ջուլիա Գիլարդի երեկույթը:</v>
      </c>
      <c r="D2529" s="3" t="str">
        <f>IFERROR(__xludf.DUMMYFUNCTION("GOOGLETRANSLATE(B2529,""en"",""hy"")"),"Ջուլիա Գիլարդը Ավստրալիայի Լեյբորիստական ​​կուսակցության (ALP) անդամ էր։")</f>
        <v>Ջուլիա Գիլարդը Ավստրալիայի Լեյբորիստական ​​կուսակցության (ALP) անդամ էր։</v>
      </c>
    </row>
    <row r="2530">
      <c r="A2530" s="1" t="s">
        <v>5000</v>
      </c>
      <c r="B2530" s="2" t="s">
        <v>5001</v>
      </c>
      <c r="C2530" s="3" t="str">
        <f>IFERROR(__xludf.DUMMYFUNCTION("GOOGLETRANSLATE(A2530,""en"",""hy"")"),"ո՞րն է թուրքերենի ծագումը:")</f>
        <v>ո՞րն է թուրքերենի ծագումը:</v>
      </c>
      <c r="D2530" s="3" t="str">
        <f>IFERROR(__xludf.DUMMYFUNCTION("GOOGLETRANSLATE(B2530,""en"",""hy"")"),"Թուրքերենը ծագել է Կենտրոնական Ասիայում։")</f>
        <v>Թուրքերենը ծագել է Կենտրոնական Ասիայում։</v>
      </c>
    </row>
    <row r="2531">
      <c r="A2531" s="1" t="s">
        <v>5002</v>
      </c>
      <c r="B2531" s="2" t="s">
        <v>5003</v>
      </c>
      <c r="C2531" s="3" t="str">
        <f>IFERROR(__xludf.DUMMYFUNCTION("GOOGLETRANSLATE(A2531,""en"",""hy"")"),"Ե՞րբ է Թոմ Բրեդին միացել հայրենասերներին։")</f>
        <v>Ե՞րբ է Թոմ Բրեդին միացել հայրենասերներին։</v>
      </c>
      <c r="D2531" s="3" t="str">
        <f>IFERROR(__xludf.DUMMYFUNCTION("GOOGLETRANSLATE(B2531,""en"",""hy"")"),"Թոմ Բրեյդին միացել է Patriots-ին 2000 թվականին։")</f>
        <v>Թոմ Բրեյդին միացել է Patriots-ին 2000 թվականին։</v>
      </c>
    </row>
    <row r="2532">
      <c r="A2532" s="1" t="s">
        <v>5004</v>
      </c>
      <c r="B2532" s="2" t="s">
        <v>5005</v>
      </c>
      <c r="C2532" s="3" t="str">
        <f>IFERROR(__xludf.DUMMYFUNCTION("GOOGLETRANSLATE(A2532,""en"",""hy"")"),"ինչով է հայտնի Իսահակ Նյուտոնը.")</f>
        <v>ինչով է հայտնի Իսահակ Նյուտոնը.</v>
      </c>
      <c r="D2532" s="3" t="str">
        <f>IFERROR(__xludf.DUMMYFUNCTION("GOOGLETRANSLATE(B2532,""en"",""hy"")"),"Իսահակ Նյուտոնը հայտնի է ֆիզիկայի և մաթեմատիկայի իր աշխատանքով, մասնավորապես շարժման և համընդհանուր ձգողության օրենքներով:")</f>
        <v>Իսահակ Նյուտոնը հայտնի է ֆիզիկայի և մաթեմատիկայի իր աշխատանքով, մասնավորապես շարժման և համընդհանուր ձգողության օրենքներով:</v>
      </c>
    </row>
    <row r="2533">
      <c r="A2533" s="1" t="s">
        <v>5006</v>
      </c>
      <c r="B2533" s="2" t="s">
        <v>5007</v>
      </c>
      <c r="C2533" s="3" t="str">
        <f>IFERROR(__xludf.DUMMYFUNCTION("GOOGLETRANSLATE(A2533,""en"",""hy"")"),"ով հաղթեց Տեխաս նահանգը 2008 թվականին:")</f>
        <v>ով հաղթեց Տեխաս նահանգը 2008 թվականին:</v>
      </c>
      <c r="D2533" s="3" t="str">
        <f>IFERROR(__xludf.DUMMYFUNCTION("GOOGLETRANSLATE(B2533,""en"",""hy"")"),"Ջոն Մաքքեյնը հաղթել է Տեխաս նահանգում 2008 թվականին։")</f>
        <v>Ջոն Մաքքեյնը հաղթել է Տեխաս նահանգում 2008 թվականին։</v>
      </c>
    </row>
    <row r="2534">
      <c r="A2534" s="1" t="s">
        <v>5008</v>
      </c>
      <c r="B2534" s="2" t="s">
        <v>5009</v>
      </c>
      <c r="C2534" s="3" t="str">
        <f>IFERROR(__xludf.DUMMYFUNCTION("GOOGLETRANSLATE(A2534,""en"",""hy"")"),"ինչ է համարվում արևելյան Կանադան:")</f>
        <v>ինչ է համարվում արևելյան Կանադան:</v>
      </c>
      <c r="D2534" s="3" t="str">
        <f>IFERROR(__xludf.DUMMYFUNCTION("GOOGLETRANSLATE(B2534,""en"",""hy"")"),"Արևելյան Կանադան սովորաբար ներառում է Քվեբեկ, Նյու Բրունսվիք, Արքայազն Էդվարդ կղզի, Նոր Շոտլանդիա և Նյուֆաունդլենդ և Լաբրադոր նահանգները:")</f>
        <v>Արևելյան Կանադան սովորաբար ներառում է Քվեբեկ, Նյու Բրունսվիք, Արքայազն Էդվարդ կղզի, Նոր Շոտլանդիա և Նյուֆաունդլենդ և Լաբրադոր նահանգները:</v>
      </c>
    </row>
    <row r="2535">
      <c r="A2535" s="1" t="s">
        <v>5010</v>
      </c>
      <c r="B2535" s="2" t="s">
        <v>5011</v>
      </c>
      <c r="C2535" s="3" t="str">
        <f>IFERROR(__xludf.DUMMYFUNCTION("GOOGLETRANSLATE(A2535,""en"",""hy"")"),"որտեղ է Բարաք Օբաման դպրոց հաճախել")</f>
        <v>որտեղ է Բարաք Օբաման դպրոց հաճախել</v>
      </c>
      <c r="D2535" s="3" t="str">
        <f>IFERROR(__xludf.DUMMYFUNCTION("GOOGLETRANSLATE(B2535,""en"",""hy"")"),"Բարաք Օբաման սովորել է Կոլումբիայի համալսարանում և Հարվարդի իրավաբանական դպրոցում:")</f>
        <v>Բարաք Օբաման սովորել է Կոլումբիայի համալսարանում և Հարվարդի իրավաբանական դպրոցում:</v>
      </c>
    </row>
    <row r="2536">
      <c r="A2536" s="1" t="s">
        <v>5012</v>
      </c>
      <c r="B2536" s="2" t="s">
        <v>5013</v>
      </c>
      <c r="C2536" s="3" t="str">
        <f>IFERROR(__xludf.DUMMYFUNCTION("GOOGLETRANSLATE(A2536,""en"",""hy"")"),"ի՞նչ մարտերի է մասնակցել Ռոբերտ Լին:")</f>
        <v>ի՞նչ մարտերի է մասնակցել Ռոբերտ Լին:</v>
      </c>
      <c r="D2536" s="3" t="str">
        <f>IFERROR(__xludf.DUMMYFUNCTION("GOOGLETRANSLATE(B2536,""en"",""hy"")"),"Ռոբերտ Ի. Լին մասնակցել է բազմաթիվ մարտերի ամերիկյան քաղաքացիական պատերազմի ժամանակ, այդ թվում՝ Բուլ Ռանի ճակատամարտը, Անտիետամի ճակատամարտը, Ֆրեդերիկսբուրգի ճակատամարտը և Գետիսբուրգի ճակատամարտը և այլն։")</f>
        <v>Ռոբերտ Ի. Լին մասնակցել է բազմաթիվ մարտերի ամերիկյան քաղաքացիական պատերազմի ժամանակ, այդ թվում՝ Բուլ Ռանի ճակատամարտը, Անտիետամի ճակատամարտը, Ֆրեդերիկսբուրգի ճակատամարտը և Գետիսբուրգի ճակատամարտը և այլն։</v>
      </c>
    </row>
    <row r="2537">
      <c r="A2537" s="1" t="s">
        <v>5014</v>
      </c>
      <c r="B2537" s="2" t="s">
        <v>5015</v>
      </c>
      <c r="C2537" s="3" t="str">
        <f>IFERROR(__xludf.DUMMYFUNCTION("GOOGLETRANSLATE(A2537,""en"",""hy"")"),"ով էր Կանադայի վարչապետը 1998թ.")</f>
        <v>ով էր Կանադայի վարչապետը 1998թ.</v>
      </c>
      <c r="D2537" s="3" t="str">
        <f>IFERROR(__xludf.DUMMYFUNCTION("GOOGLETRANSLATE(B2537,""en"",""hy"")"),"1998 թվականին Կանադայի վարչապետը Ժան Կրետյենն էր։")</f>
        <v>1998 թվականին Կանադայի վարչապետը Ժան Կրետյենն էր։</v>
      </c>
    </row>
    <row r="2538">
      <c r="A2538" s="1" t="s">
        <v>5016</v>
      </c>
      <c r="B2538" s="2" t="s">
        <v>5017</v>
      </c>
      <c r="C2538" s="3" t="str">
        <f>IFERROR(__xludf.DUMMYFUNCTION("GOOGLETRANSLATE(A2538,""en"",""hy"")"),"ինչ ուղղորդեց Ռոն Հովարդը")</f>
        <v>ինչ ուղղորդեց Ռոն Հովարդը</v>
      </c>
      <c r="D2538" s="3" t="str">
        <f>IFERROR(__xludf.DUMMYFUNCTION("GOOGLETRANSLATE(B2538,""en"",""hy"")"),"Ռոն Հովարդը նկարահանել է բազմաթիվ ֆիլմեր և հեռուստաշոուներ, այդ թվում՝ «Ապոլոն 13», «Գեղեցիկ միտք» և «Ձերբակալված զարգացում»:")</f>
        <v>Ռոն Հովարդը նկարահանել է բազմաթիվ ֆիլմեր և հեռուստաշոուներ, այդ թվում՝ «Ապոլոն 13», «Գեղեցիկ միտք» և «Ձերբակալված զարգացում»:</v>
      </c>
    </row>
    <row r="2539">
      <c r="A2539" s="1" t="s">
        <v>5018</v>
      </c>
      <c r="B2539" s="2" t="s">
        <v>5019</v>
      </c>
      <c r="C2539" s="3" t="str">
        <f>IFERROR(__xludf.DUMMYFUNCTION("GOOGLETRANSLATE(A2539,""en"",""hy"")"),"Ինչպիսի՞ ալկոհոլ է բակարդի արծաթը:")</f>
        <v>Ինչպիսի՞ ալկոհոլ է բակարդի արծաթը:</v>
      </c>
      <c r="D2539" s="3" t="str">
        <f>IFERROR(__xludf.DUMMYFUNCTION("GOOGLETRANSLATE(B2539,""en"",""hy"")"),"Bacardi Silver-ը ածիկի համով ըմպելիք է:")</f>
        <v>Bacardi Silver-ը ածիկի համով ըմպելիք է:</v>
      </c>
    </row>
    <row r="2540">
      <c r="A2540" s="1" t="s">
        <v>5020</v>
      </c>
      <c r="B2540" s="2" t="s">
        <v>5021</v>
      </c>
      <c r="C2540" s="3" t="str">
        <f>IFERROR(__xludf.DUMMYFUNCTION("GOOGLETRANSLATE(A2540,""en"",""hy"")"),"ովքեր են Շեքսպիրի քույրերն ու եղբայրները")</f>
        <v>ովքեր են Շեքսպիրի քույրերն ու եղբայրները</v>
      </c>
      <c r="D2540" s="3" t="str">
        <f>IFERROR(__xludf.DUMMYFUNCTION("GOOGLETRANSLATE(B2540,""en"",""hy"")"),"Ուիլյամ Շեքսպիրն ուներ հինգ քույր ու եղբայր՝ Ջոան, Մարգարետ, Գիլբերտ, Անն և Ռիչարդ։")</f>
        <v>Ուիլյամ Շեքսպիրն ուներ հինգ քույր ու եղբայր՝ Ջոան, Մարգարետ, Գիլբերտ, Անն և Ռիչարդ։</v>
      </c>
    </row>
    <row r="2541">
      <c r="A2541" s="1" t="s">
        <v>5022</v>
      </c>
      <c r="B2541" s="2" t="s">
        <v>5023</v>
      </c>
      <c r="C2541" s="3" t="str">
        <f>IFERROR(__xludf.DUMMYFUNCTION("GOOGLETRANSLATE(A2541,""en"",""hy"")"),"Ո՞ր թիմում է խաղացել Ալբերտ Պուժոլսը:")</f>
        <v>Ո՞ր թիմում է խաղացել Ալբերտ Պուժոլսը:</v>
      </c>
      <c r="D2541" s="3" t="str">
        <f>IFERROR(__xludf.DUMMYFUNCTION("GOOGLETRANSLATE(B2541,""en"",""hy"")"),"Ալբերտ Պուժոլսը խաղացել է Սենթ Լուիս Կարդինալսում և Լոս Անջելես Անջելեսում։")</f>
        <v>Ալբերտ Պուժոլսը խաղացել է Սենթ Լուիս Կարդինալսում և Լոս Անջելես Անջելեսում։</v>
      </c>
    </row>
    <row r="2542">
      <c r="A2542" s="1" t="s">
        <v>5024</v>
      </c>
      <c r="B2542" s="2" t="s">
        <v>5025</v>
      </c>
      <c r="C2542" s="3" t="str">
        <f>IFERROR(__xludf.DUMMYFUNCTION("GOOGLETRANSLATE(A2542,""en"",""hy"")"),"ինչ ոգեշնչեց մոնետը:")</f>
        <v>ինչ ոգեշնչեց մոնետը:</v>
      </c>
      <c r="D2542" s="3" t="str">
        <f>IFERROR(__xludf.DUMMYFUNCTION("GOOGLETRANSLATE(B2542,""en"",""hy"")"),"Բնությունն ու բացօթյա լանդշաֆտների գեղեցկությունը ոգեշնչել են Մոնեին:")</f>
        <v>Բնությունն ու բացօթյա լանդշաֆտների գեղեցկությունը ոգեշնչել են Մոնեին:</v>
      </c>
    </row>
    <row r="2543">
      <c r="A2543" s="1" t="s">
        <v>5026</v>
      </c>
      <c r="B2543" s="2" t="s">
        <v>5027</v>
      </c>
      <c r="C2543" s="3" t="str">
        <f>IFERROR(__xludf.DUMMYFUNCTION("GOOGLETRANSLATE(A2543,""en"",""hy"")"),"ո՞ւր պետք է թռչել Լոնդոնի քաղաքային օդանավակայանից:")</f>
        <v>ո՞ւր պետք է թռչել Լոնդոնի քաղաքային օդանավակայանից:</v>
      </c>
      <c r="D2543" s="3" t="str">
        <f>IFERROR(__xludf.DUMMYFUNCTION("GOOGLETRANSLATE(B2543,""en"",""hy"")"),"BA (British Airways) թռչում է տարբեր ուղղություններով Լոնդոնի Սիթի օդանավակայանից, ներառյալ եվրոպական խոշոր քաղաքները, ինչպիսիք են Ամստերդամը, Բեռլինը, Դուբլինը, Էդինբուրգը, Ֆրանկֆուրտը և Ցյուրիխը:")</f>
        <v>BA (British Airways) թռչում է տարբեր ուղղություններով Լոնդոնի Սիթի օդանավակայանից, ներառյալ եվրոպական խոշոր քաղաքները, ինչպիսիք են Ամստերդամը, Բեռլինը, Դուբլինը, Էդինբուրգը, Ֆրանկֆուրտը և Ցյուրիխը:</v>
      </c>
    </row>
    <row r="2544">
      <c r="A2544" s="1" t="s">
        <v>5028</v>
      </c>
      <c r="B2544" s="2" t="s">
        <v>5029</v>
      </c>
      <c r="C2544" s="3" t="str">
        <f>IFERROR(__xludf.DUMMYFUNCTION("GOOGLETRANSLATE(A2544,""en"",""hy"")"),"որտեղ է ապրում Կական")</f>
        <v>որտեղ է ապրում Կական</v>
      </c>
      <c r="D2544" s="3" t="str">
        <f>IFERROR(__xludf.DUMMYFUNCTION("GOOGLETRANSLATE(B2544,""en"",""hy"")"),"Ցավում եմ, բայց ես արհեստական ​​ինտելեկտի լեզվի մոդել եմ և հասանելի չեմ իրական ժամանակի տեղեկատվությանը: Իմ վերջին տեղեկություններով, բրազիլացի պաշտոնաթող ֆուտբոլիստ Կական հրապարակավ չի հայտնել իր ներկայիս բնակության վայրը:")</f>
        <v>Ցավում եմ, բայց ես արհեստական ​​ինտելեկտի լեզվի մոդել եմ և հասանելի չեմ իրական ժամանակի տեղեկատվությանը: Իմ վերջին տեղեկություններով, բրազիլացի պաշտոնաթող ֆուտբոլիստ Կական հրապարակավ չի հայտնել իր ներկայիս բնակության վայրը:</v>
      </c>
    </row>
    <row r="2545">
      <c r="A2545" s="1" t="s">
        <v>5030</v>
      </c>
      <c r="B2545" s="2" t="s">
        <v>5031</v>
      </c>
      <c r="C2545" s="3" t="str">
        <f>IFERROR(__xludf.DUMMYFUNCTION("GOOGLETRANSLATE(A2545,""en"",""hy"")"),"ո՞րն է Հարավային Աֆրիկայում գերակշռող լեզուն:")</f>
        <v>ո՞րն է Հարավային Աֆրիկայում գերակշռող լեզուն:</v>
      </c>
      <c r="D2545" s="3" t="str">
        <f>IFERROR(__xludf.DUMMYFUNCTION("GOOGLETRANSLATE(B2545,""en"",""hy"")"),"Հարավային Աֆրիկայում գերակշռող լեզուն isiZulu-ն է:")</f>
        <v>Հարավային Աֆրիկայում գերակշռող լեզուն isiZulu-ն է:</v>
      </c>
    </row>
    <row r="2546">
      <c r="A2546" s="1" t="s">
        <v>5032</v>
      </c>
      <c r="B2546" s="2" t="s">
        <v>5033</v>
      </c>
      <c r="C2546" s="3" t="str">
        <f>IFERROR(__xludf.DUMMYFUNCTION("GOOGLETRANSLATE(A2546,""en"",""hy"")"),"ի՞նչ զվարճալի բաներ կան Սիեթլ Վայում:")</f>
        <v>ի՞նչ զվարճալի բաներ կան Սիեթլ Վայում:</v>
      </c>
      <c r="D2546" s="3" t="str">
        <f>IFERROR(__xludf.DUMMYFUNCTION("GOOGLETRANSLATE(B2546,""en"",""hy"")"),"Որոշ զվարճալի բաներ, որոնք կարելի է անել Սիեթլում, Վաշինգտոնում, ներառում են այցելել Space Needle, ուսումնասիրել Pike Place շուկան, լաստանավով զբոսնել Բեյնբրիջ կղզի և շրջել Փոփ մշակույթի թանգարանում:")</f>
        <v>Որոշ զվարճալի բաներ, որոնք կարելի է անել Սիեթլում, Վաշինգտոնում, ներառում են այցելել Space Needle, ուսումնասիրել Pike Place շուկան, լաստանավով զբոսնել Բեյնբրիջ կղզի և շրջել Փոփ մշակույթի թանգարանում:</v>
      </c>
    </row>
    <row r="2547">
      <c r="A2547" s="1" t="s">
        <v>5034</v>
      </c>
      <c r="B2547" s="2" t="s">
        <v>5035</v>
      </c>
      <c r="C2547" s="3" t="str">
        <f>IFERROR(__xludf.DUMMYFUNCTION("GOOGLETRANSLATE(A2547,""en"",""hy"")"),"որտե՞ղ է մարզվում Օկլահոմա քաղաքի ամպրոպը:")</f>
        <v>որտե՞ղ է մարզվում Օկլահոմա քաղաքի ամպրոպը:</v>
      </c>
      <c r="D2547" s="3" t="str">
        <f>IFERROR(__xludf.DUMMYFUNCTION("GOOGLETRANSLATE(B2547,""en"",""hy"")"),"Օկլահոմա Սիթի Թանդերի պրակտիկան Օկլահոմա Սիթիի Chesapeake Energy Arena-ում:")</f>
        <v>Օկլահոմա Սիթի Թանդերի պրակտիկան Օկլահոմա Սիթիի Chesapeake Energy Arena-ում:</v>
      </c>
    </row>
    <row r="2548">
      <c r="A2548" s="1" t="s">
        <v>5036</v>
      </c>
      <c r="B2548" s="2" t="s">
        <v>5037</v>
      </c>
      <c r="C2548" s="3" t="str">
        <f>IFERROR(__xludf.DUMMYFUNCTION("GOOGLETRANSLATE(A2548,""en"",""hy"")"),"թուրքիայում ինչ են անվանում:")</f>
        <v>թուրքիայում ինչ են անվանում:</v>
      </c>
      <c r="D2548" s="3" t="str">
        <f>IFERROR(__xludf.DUMMYFUNCTION("GOOGLETRANSLATE(B2548,""en"",""hy"")"),"Թուրքիայում խոսվող լեզուն կոչվում է թուրքերեն։")</f>
        <v>Թուրքիայում խոսվող լեզուն կոչվում է թուրքերեն։</v>
      </c>
    </row>
    <row r="2549">
      <c r="A2549" s="1" t="s">
        <v>5038</v>
      </c>
      <c r="B2549" s="2" t="s">
        <v>5039</v>
      </c>
      <c r="C2549" s="3" t="str">
        <f>IFERROR(__xludf.DUMMYFUNCTION("GOOGLETRANSLATE(A2549,""en"",""hy"")"),"ով էր Թեոդոր Ռուզվելտի փոխնախագահը")</f>
        <v>ով էր Թեոդոր Ռուզվելտի փոխնախագահը</v>
      </c>
      <c r="D2549" s="3" t="str">
        <f>IFERROR(__xludf.DUMMYFUNCTION("GOOGLETRANSLATE(B2549,""en"",""hy"")"),"Թեոդոր Ռուզվելտի փոխնախագահը Չարլզ Վ. Ֆերբենքսն էր։")</f>
        <v>Թեոդոր Ռուզվելտի փոխնախագահը Չարլզ Վ. Ֆերբենքսն էր։</v>
      </c>
    </row>
    <row r="2550">
      <c r="A2550" s="1" t="s">
        <v>5040</v>
      </c>
      <c r="B2550" s="2" t="s">
        <v>5041</v>
      </c>
      <c r="C2550" s="3" t="str">
        <f>IFERROR(__xludf.DUMMYFUNCTION("GOOGLETRANSLATE(A2550,""en"",""hy"")"),"ո՞ր քոլեջն է սովորել Չարլզ Ռիչարդը:")</f>
        <v>ո՞ր քոլեջն է սովորել Չարլզ Ռիչարդը:</v>
      </c>
      <c r="D2550" s="3" t="str">
        <f>IFERROR(__xludf.DUMMYFUNCTION("GOOGLETRANSLATE(B2550,""en"",""hy"")"),"Չարլզ Ռիչարդ Դրյուն սովորել է Մասաչուսեթսի Ամհերսթ քոլեջում:")</f>
        <v>Չարլզ Ռիչարդ Դրյուն սովորել է Մասաչուսեթսի Ամհերսթ քոլեջում:</v>
      </c>
    </row>
    <row r="2551">
      <c r="A2551" s="1" t="s">
        <v>5042</v>
      </c>
      <c r="B2551" s="2" t="s">
        <v>5043</v>
      </c>
      <c r="C2551" s="3" t="str">
        <f>IFERROR(__xludf.DUMMYFUNCTION("GOOGLETRANSLATE(A2551,""en"",""hy"")"),"որտեղից է գալիս հռոմեական լեզուն")</f>
        <v>որտեղից է գալիս հռոմեական լեզուն</v>
      </c>
      <c r="D2551" s="3" t="str">
        <f>IFERROR(__xludf.DUMMYFUNCTION("GOOGLETRANSLATE(B2551,""en"",""hy"")"),"Հռոմեական լեզուն՝ լատիներենը, առաջացել է Հին Հռոմից։")</f>
        <v>Հռոմեական լեզուն՝ լատիներենը, առաջացել է Հին Հռոմից։</v>
      </c>
    </row>
    <row r="2552">
      <c r="A2552" s="1" t="s">
        <v>5044</v>
      </c>
      <c r="B2552" s="2" t="s">
        <v>5045</v>
      </c>
      <c r="C2552" s="3" t="str">
        <f>IFERROR(__xludf.DUMMYFUNCTION("GOOGLETRANSLATE(A2552,""en"",""hy"")"),"ինչ ազգություն է Ջերմեյն Փոլը:")</f>
        <v>ինչ ազգություն է Ջերմեյն Փոլը:</v>
      </c>
      <c r="D2552" s="3" t="str">
        <f>IFERROR(__xludf.DUMMYFUNCTION("GOOGLETRANSLATE(B2552,""en"",""hy"")"),"Ջերմեյն Փոլը ամերիկացի է։")</f>
        <v>Ջերմեյն Փոլը ամերիկացի է։</v>
      </c>
    </row>
    <row r="2553">
      <c r="A2553" s="1" t="s">
        <v>5046</v>
      </c>
      <c r="B2553" s="2" t="s">
        <v>5047</v>
      </c>
      <c r="C2553" s="3" t="str">
        <f>IFERROR(__xludf.DUMMYFUNCTION("GOOGLETRANSLATE(A2553,""en"",""hy"")"),"որտեղի՞ց տեղափոխվեցին Օքլենդի ռեյդերները:")</f>
        <v>որտեղի՞ց տեղափոխվեցին Օքլենդի ռեյդերները:</v>
      </c>
      <c r="D2553" s="3" t="str">
        <f>IFERROR(__xludf.DUMMYFUNCTION("GOOGLETRANSLATE(B2553,""en"",""hy"")"),"Oakland Raiders-ը տեղափոխվել է Օքլենդից, Կալիֆորնիա:")</f>
        <v>Oakland Raiders-ը տեղափոխվել է Օքլենդից, Կալիֆորնիա:</v>
      </c>
    </row>
    <row r="2554">
      <c r="A2554" s="1" t="s">
        <v>5048</v>
      </c>
      <c r="B2554" s="2" t="s">
        <v>5049</v>
      </c>
      <c r="C2554" s="3" t="str">
        <f>IFERROR(__xludf.DUMMYFUNCTION("GOOGLETRANSLATE(A2554,""en"",""hy"")"),"ով խաղաց nba երեկ երեկոյան")</f>
        <v>ով խաղաց nba երեկ երեկոյան</v>
      </c>
      <c r="D2554" s="3" t="str">
        <f>IFERROR(__xludf.DUMMYFUNCTION("GOOGLETRANSLATE(B2554,""en"",""hy"")"),"Ցավում եմ, բայց ինձ հասանելի չեն ընթացիկ իրադարձությունները կամ սպորտային միավորները:")</f>
        <v>Ցավում եմ, բայց ինձ հասանելի չեն ընթացիկ իրադարձությունները կամ սպորտային միավորները:</v>
      </c>
    </row>
    <row r="2555">
      <c r="A2555" s="1" t="s">
        <v>5050</v>
      </c>
      <c r="B2555" s="2" t="s">
        <v>5051</v>
      </c>
      <c r="C2555" s="3" t="str">
        <f>IFERROR(__xludf.DUMMYFUNCTION("GOOGLETRANSLATE(A2555,""en"",""hy"")"),"ովքեր էին Մերի Շելլիի ծնողները")</f>
        <v>ովքեր էին Մերի Շելլիի ծնողները</v>
      </c>
      <c r="D2555" s="3" t="str">
        <f>IFERROR(__xludf.DUMMYFUNCTION("GOOGLETRANSLATE(B2555,""en"",""hy"")"),"Մերի Շելլիի ծնողներն էին Մերի Ուոլսթոունկրաֆտը և Ուիլյամ Գոդվինը։")</f>
        <v>Մերի Շելլիի ծնողներն էին Մերի Ուոլսթոունկրաֆտը և Ուիլյամ Գոդվինը։</v>
      </c>
    </row>
    <row r="2556">
      <c r="A2556" s="1" t="s">
        <v>5052</v>
      </c>
      <c r="B2556" s="2" t="s">
        <v>5053</v>
      </c>
      <c r="C2556" s="3" t="str">
        <f>IFERROR(__xludf.DUMMYFUNCTION("GOOGLETRANSLATE(A2556,""en"",""hy"")"),"ով խաղացել է Հաննա Մոնտանայի լավագույն ընկերուհին:")</f>
        <v>ով խաղացել է Հաննա Մոնտանայի լավագույն ընկերուհին:</v>
      </c>
      <c r="D2556" s="3" t="str">
        <f>IFERROR(__xludf.DUMMYFUNCTION("GOOGLETRANSLATE(B2556,""en"",""hy"")"),"Էմիլի Օսմենթ.")</f>
        <v>Էմիլի Օսմենթ.</v>
      </c>
    </row>
    <row r="2557">
      <c r="A2557" s="1" t="s">
        <v>5054</v>
      </c>
      <c r="B2557" s="2" t="s">
        <v>5055</v>
      </c>
      <c r="C2557" s="3" t="str">
        <f>IFERROR(__xludf.DUMMYFUNCTION("GOOGLETRANSLATE(A2557,""en"",""hy"")"),"ինչ անել Նյու Յորքում")</f>
        <v>ինչ անել Նյու Յորքում</v>
      </c>
      <c r="D2557" s="3" t="str">
        <f>IFERROR(__xludf.DUMMYFUNCTION("GOOGLETRANSLATE(B2557,""en"",""hy"")"),"Նյու Յորքում շատ անելիքներ կան, օրինակ՝ այցելել Թայմս Սքվեր, ուսումնասիրել Կենտրոնական այգին և տեսնել Ազատության արձանը:")</f>
        <v>Նյու Յորքում շատ անելիքներ կան, օրինակ՝ այցելել Թայմս Սքվեր, ուսումնասիրել Կենտրոնական այգին և տեսնել Ազատության արձանը:</v>
      </c>
    </row>
    <row r="2558">
      <c r="A2558" s="1" t="s">
        <v>5056</v>
      </c>
      <c r="B2558" s="2" t="s">
        <v>5057</v>
      </c>
      <c r="C2558" s="3" t="str">
        <f>IFERROR(__xludf.DUMMYFUNCTION("GOOGLETRANSLATE(A2558,""en"",""hy"")"),"որո՞նք են Ավստրալիայի կրոններից մի քանիսը:")</f>
        <v>որո՞նք են Ավստրալիայի կրոններից մի քանիսը:</v>
      </c>
      <c r="D2558" s="3" t="str">
        <f>IFERROR(__xludf.DUMMYFUNCTION("GOOGLETRANSLATE(B2558,""en"",""hy"")"),"Ավստրալիայի որոշ կրոններ ներառում են քրիստոնեությունը, իսլամը, բուդդիզմը, հինդուիզմը, սիկհիզմը և հուդայականությունը:")</f>
        <v>Ավստրալիայի որոշ կրոններ ներառում են քրիստոնեությունը, իսլամը, բուդդիզմը, հինդուիզմը, սիկհիզմը և հուդայականությունը:</v>
      </c>
    </row>
    <row r="2559">
      <c r="A2559" s="1" t="s">
        <v>5058</v>
      </c>
      <c r="B2559" s="2" t="s">
        <v>5059</v>
      </c>
      <c r="C2559" s="3" t="str">
        <f>IFERROR(__xludf.DUMMYFUNCTION("GOOGLETRANSLATE(A2559,""en"",""hy"")"),"ո՞րն է Հարավային Կարոլինայի մայրաքաղաքը:")</f>
        <v>ո՞րն է Հարավային Կարոլինայի մայրաքաղաքը:</v>
      </c>
      <c r="D2559" s="3" t="str">
        <f>IFERROR(__xludf.DUMMYFUNCTION("GOOGLETRANSLATE(B2559,""en"",""hy"")"),"Կոլումբիա.")</f>
        <v>Կոլումբիա.</v>
      </c>
    </row>
    <row r="2560">
      <c r="A2560" s="1" t="s">
        <v>5060</v>
      </c>
      <c r="B2560" s="2" t="s">
        <v>5061</v>
      </c>
      <c r="C2560" s="3" t="str">
        <f>IFERROR(__xludf.DUMMYFUNCTION("GOOGLETRANSLATE(A2560,""en"",""hy"")"),"ինչ լեզվով են խոսում Ինդոնեզիայում:")</f>
        <v>ինչ լեզվով են խոսում Ինդոնեզիայում:</v>
      </c>
      <c r="D2560" s="3" t="str">
        <f>IFERROR(__xludf.DUMMYFUNCTION("GOOGLETRANSLATE(B2560,""en"",""hy"")"),"Ինդոնեզիայում խոսվող պաշտոնական լեզուն ինդոնեզերենն է։")</f>
        <v>Ինդոնեզիայում խոսվող պաշտոնական լեզուն ինդոնեզերենն է։</v>
      </c>
    </row>
    <row r="2561">
      <c r="A2561" s="1" t="s">
        <v>5062</v>
      </c>
      <c r="B2561" s="2" t="s">
        <v>5063</v>
      </c>
      <c r="C2561" s="3" t="str">
        <f>IFERROR(__xludf.DUMMYFUNCTION("GOOGLETRANSLATE(A2561,""en"",""hy"")"),"ինչպիսի՞ քաղաքական համակարգ է ղեկավարում թագուհի Եղիսաբեթ II-ը:")</f>
        <v>ինչպիսի՞ քաղաքական համակարգ է ղեկավարում թագուհի Եղիսաբեթ II-ը:</v>
      </c>
      <c r="D2561" s="3" t="str">
        <f>IFERROR(__xludf.DUMMYFUNCTION("GOOGLETRANSLATE(B2561,""en"",""hy"")"),"Եղիսաբեթ II թագուհու գլխավորած քաղաքական համակարգը սահմանադրական միապետություն է։")</f>
        <v>Եղիսաբեթ II թագուհու գլխավորած քաղաքական համակարգը սահմանադրական միապետություն է։</v>
      </c>
    </row>
    <row r="2562">
      <c r="A2562" s="1" t="s">
        <v>5064</v>
      </c>
      <c r="B2562" s="2" t="s">
        <v>5065</v>
      </c>
      <c r="C2562" s="3" t="str">
        <f>IFERROR(__xludf.DUMMYFUNCTION("GOOGLETRANSLATE(A2562,""en"",""hy"")"),"Որքա՞ն է այժմ Մեծ Բրիտանիայում իրական տեղական ժամանակը:")</f>
        <v>Որքա՞ն է այժմ Մեծ Բրիտանիայում իրական տեղական ժամանակը:</v>
      </c>
      <c r="D2562" s="3" t="str">
        <f>IFERROR(__xludf.DUMMYFUNCTION("GOOGLETRANSLATE(B2562,""en"",""hy"")"),"Ցավում եմ, ես ի վիճակի չեմ իրական ժամանակում տեղեկատվություն տրամադրել, քանի որ ինտերնետ հասանելիություն չունեմ:")</f>
        <v>Ցավում եմ, ես ի վիճակի չեմ իրական ժամանակում տեղեկատվություն տրամադրել, քանի որ ինտերնետ հասանելիություն չունեմ:</v>
      </c>
    </row>
    <row r="2563">
      <c r="A2563" s="1" t="s">
        <v>5066</v>
      </c>
      <c r="B2563" s="2" t="s">
        <v>5067</v>
      </c>
      <c r="C2563" s="3" t="str">
        <f>IFERROR(__xludf.DUMMYFUNCTION("GOOGLETRANSLATE(A2563,""en"",""hy"")"),"որո՞նք են Թեյլոր Սվիֆթի արժանացած մրցանակներից մի քանիսը:")</f>
        <v>որո՞նք են Թեյլոր Սվիֆթի արժանացած մրցանակներից մի քանիսը:</v>
      </c>
      <c r="D2563" s="3" t="str">
        <f>IFERROR(__xludf.DUMMYFUNCTION("GOOGLETRANSLATE(B2563,""en"",""hy"")"),"Թեյլոր Սվիֆթը արժանացել է բազմաթիվ մրցանակների, այդ թվում՝ Grammy Awards, American Music Awards, Billboard Music Awards և Country Music Association Awards։")</f>
        <v>Թեյլոր Սվիֆթը արժանացել է բազմաթիվ մրցանակների, այդ թվում՝ Grammy Awards, American Music Awards, Billboard Music Awards և Country Music Association Awards։</v>
      </c>
    </row>
    <row r="2564">
      <c r="A2564" s="1" t="s">
        <v>5068</v>
      </c>
      <c r="B2564" s="2" t="s">
        <v>5069</v>
      </c>
      <c r="C2564" s="3" t="str">
        <f>IFERROR(__xludf.DUMMYFUNCTION("GOOGLETRANSLATE(A2564,""en"",""hy"")"),"Ո՞ր քաղաքում է մեծացել Օբաման")</f>
        <v>Ո՞ր քաղաքում է մեծացել Օբաման</v>
      </c>
      <c r="D2564" s="3" t="str">
        <f>IFERROR(__xludf.DUMMYFUNCTION("GOOGLETRANSLATE(B2564,""en"",""hy"")"),"Օբաման մեծացել է Հոնոլուլուում, Հավայան կղզիներ:")</f>
        <v>Օբաման մեծացել է Հոնոլուլուում, Հավայան կղզիներ:</v>
      </c>
    </row>
    <row r="2565">
      <c r="A2565" s="1" t="s">
        <v>5070</v>
      </c>
      <c r="B2565" s="2" t="s">
        <v>5071</v>
      </c>
      <c r="C2565" s="3" t="str">
        <f>IFERROR(__xludf.DUMMYFUNCTION("GOOGLETRANSLATE(A2565,""en"",""hy"")"),"ուր գնաց Քրիս Կուոմոն")</f>
        <v>ուր գնաց Քրիս Կուոմոն</v>
      </c>
      <c r="D2565" s="3" t="str">
        <f>IFERROR(__xludf.DUMMYFUNCTION("GOOGLETRANSLATE(B2565,""en"",""hy"")"),"Քրիս Կուոմոն լրագրող և CNN-ի հաղորդավար է: Նա վերջերս ոչ մի նշանակալից տեղ չի գնացել այս պահի դրությամբ:")</f>
        <v>Քրիս Կուոմոն լրագրող և CNN-ի հաղորդավար է: Նա վերջերս ոչ մի նշանակալից տեղ չի գնացել այս պահի դրությամբ:</v>
      </c>
    </row>
    <row r="2566">
      <c r="A2566" s="1" t="s">
        <v>5072</v>
      </c>
      <c r="B2566" s="2" t="s">
        <v>5073</v>
      </c>
      <c r="C2566" s="3" t="str">
        <f>IFERROR(__xludf.DUMMYFUNCTION("GOOGLETRANSLATE(A2566,""en"",""hy"")"),"որտեղ էր ապրում Գարի Քոլմենը, երբ մահացավ:")</f>
        <v>որտեղ էր ապրում Գարի Քոլմենը, երբ մահացավ:</v>
      </c>
      <c r="D2566" s="3" t="str">
        <f>IFERROR(__xludf.DUMMYFUNCTION("GOOGLETRANSLATE(B2566,""en"",""hy"")"),"Գարի Քոլմենն ապրում էր Յուտա նահանգի Սանտաքին քաղաքում, երբ մահացավ:")</f>
        <v>Գարի Քոլմենն ապրում էր Յուտա նահանգի Սանտաքին քաղաքում, երբ մահացավ:</v>
      </c>
    </row>
    <row r="2567">
      <c r="A2567" s="1" t="s">
        <v>5074</v>
      </c>
      <c r="B2567" s="2" t="s">
        <v>5075</v>
      </c>
      <c r="C2567" s="3" t="str">
        <f>IFERROR(__xludf.DUMMYFUNCTION("GOOGLETRANSLATE(A2567,""en"",""hy"")"),"ինչ կարելի է անել արմավենու աղբյուրներում:")</f>
        <v>ինչ կարելի է անել արմավենու աղբյուրներում:</v>
      </c>
      <c r="D2567" s="3" t="str">
        <f>IFERROR(__xludf.DUMMYFUNCTION("GOOGLETRANSLATE(B2567,""en"",""hy"")"),"Պալմ Սփրինգսում կան տարբեր զբաղմունքներ, ինչպիսիք են գոլֆը, արվեստի պատկերասրահներ այցելելը, արշավային արահետների ուսումնասիրությունը և տաք աղբյուրներում հանգստանալը:")</f>
        <v>Պալմ Սփրինգսում կան տարբեր զբաղմունքներ, ինչպիսիք են գոլֆը, արվեստի պատկերասրահներ այցելելը, արշավային արահետների ուսումնասիրությունը և տաք աղբյուրներում հանգստանալը:</v>
      </c>
    </row>
    <row r="2568">
      <c r="A2568" s="1" t="s">
        <v>5076</v>
      </c>
      <c r="B2568" s="2" t="s">
        <v>5077</v>
      </c>
      <c r="C2568" s="3" t="str">
        <f>IFERROR(__xludf.DUMMYFUNCTION("GOOGLETRANSLATE(A2568,""en"",""hy"")"),"որտեղ է Օբերն համալսարանը")</f>
        <v>որտեղ է Օբերն համալսարանը</v>
      </c>
      <c r="D2568" s="3" t="str">
        <f>IFERROR(__xludf.DUMMYFUNCTION("GOOGLETRANSLATE(B2568,""en"",""hy"")"),"Օբուրնի համալսարանը գտնվում է Ալաբամա նահանգի Օբերն քաղաքում:")</f>
        <v>Օբուրնի համալսարանը գտնվում է Ալաբամա նահանգի Օբերն քաղաքում:</v>
      </c>
    </row>
    <row r="2569">
      <c r="A2569" s="1" t="s">
        <v>5078</v>
      </c>
      <c r="B2569" s="2" t="s">
        <v>5079</v>
      </c>
      <c r="C2569" s="3" t="str">
        <f>IFERROR(__xludf.DUMMYFUNCTION("GOOGLETRANSLATE(A2569,""en"",""hy"")"),"որտեղ է ծնվել և մեծացել Ռոնալդ Ռեյգանը:")</f>
        <v>որտեղ է ծնվել և մեծացել Ռոնալդ Ռեյգանը:</v>
      </c>
      <c r="D2569" s="3" t="str">
        <f>IFERROR(__xludf.DUMMYFUNCTION("GOOGLETRANSLATE(B2569,""en"",""hy"")"),"Ռոնալդ Ռեյգանը ծնվել է Իլինոյս նահանգի Տամպիկո քաղաքում և մեծացել Իլինոյս նահանգի Դիքսոն քաղաքում:")</f>
        <v>Ռոնալդ Ռեյգանը ծնվել է Իլինոյս նահանգի Տամպիկո քաղաքում և մեծացել Իլինոյս նահանգի Դիքսոն քաղաքում:</v>
      </c>
    </row>
    <row r="2570">
      <c r="A2570" s="1" t="s">
        <v>5080</v>
      </c>
      <c r="B2570" s="2" t="s">
        <v>5081</v>
      </c>
      <c r="C2570" s="3" t="str">
        <f>IFERROR(__xludf.DUMMYFUNCTION("GOOGLETRANSLATE(A2570,""en"",""hy"")"),"ո՞ր շրջանում է գտնվում Մորիսթաունը:")</f>
        <v>ո՞ր շրջանում է գտնվում Մորիսթաունը:</v>
      </c>
      <c r="D2570" s="3" t="str">
        <f>IFERROR(__xludf.DUMMYFUNCTION("GOOGLETRANSLATE(B2570,""en"",""hy"")"),"Համբլեն շրջան")</f>
        <v>Համբլեն շրջան</v>
      </c>
    </row>
    <row r="2571">
      <c r="A2571" s="1" t="s">
        <v>5082</v>
      </c>
      <c r="B2571" s="2" t="s">
        <v>5083</v>
      </c>
      <c r="C2571" s="3" t="str">
        <f>IFERROR(__xludf.DUMMYFUNCTION("GOOGLETRANSLATE(A2571,""en"",""hy"")"),"որտեղ են Հյուսթոնի հրթիռները բասկետբոլ խաղում:")</f>
        <v>որտեղ են Հյուսթոնի հրթիռները բասկետբոլ խաղում:</v>
      </c>
      <c r="D2571" s="3" t="str">
        <f>IFERROR(__xludf.DUMMYFUNCTION("GOOGLETRANSLATE(B2571,""en"",""hy"")"),"Houston Rockets-ը բասկետբոլ է խաղում Toyota Center-ում:")</f>
        <v>Houston Rockets-ը բասկետբոլ է խաղում Toyota Center-ում:</v>
      </c>
    </row>
    <row r="2572">
      <c r="A2572" s="1" t="s">
        <v>5084</v>
      </c>
      <c r="B2572" s="2" t="s">
        <v>5085</v>
      </c>
      <c r="C2572" s="3" t="str">
        <f>IFERROR(__xludf.DUMMYFUNCTION("GOOGLETRANSLATE(A2572,""en"",""hy"")"),"ով էր Միացյալ Նահանգների նախագահը WW2-ի ժամանակ:")</f>
        <v>ով էր Միացյալ Նահանգների նախագահը WW2-ի ժամանակ:</v>
      </c>
      <c r="D2572" s="3" t="str">
        <f>IFERROR(__xludf.DUMMYFUNCTION("GOOGLETRANSLATE(B2572,""en"",""hy"")"),"Ֆրանկլին Դ. Ռուզվելտ.")</f>
        <v>Ֆրանկլին Դ. Ռուզվելտ.</v>
      </c>
    </row>
    <row r="2573">
      <c r="A2573" s="1" t="s">
        <v>5086</v>
      </c>
      <c r="B2573" s="2" t="s">
        <v>5087</v>
      </c>
      <c r="C2573" s="3" t="str">
        <f>IFERROR(__xludf.DUMMYFUNCTION("GOOGLETRANSLATE(A2573,""en"",""hy"")"),"ո՞ւմ էր իրականում սիրում Էլվիս Փրեսլին:")</f>
        <v>ո՞ւմ էր իրականում սիրում Էլվիս Փրեսլին:</v>
      </c>
      <c r="D2573" s="3" t="str">
        <f>IFERROR(__xludf.DUMMYFUNCTION("GOOGLETRANSLATE(B2573,""en"",""hy"")"),"Էլվիս Փրեսլին իսկապես սիրում էր Պրիսցիլա Փրեսլիին:")</f>
        <v>Էլվիս Փրեսլին իսկապես սիրում էր Պրիսցիլա Փրեսլիին:</v>
      </c>
    </row>
    <row r="2574">
      <c r="A2574" s="1" t="s">
        <v>5088</v>
      </c>
      <c r="B2574" s="2" t="s">
        <v>2082</v>
      </c>
      <c r="C2574" s="3" t="str">
        <f>IFERROR(__xludf.DUMMYFUNCTION("GOOGLETRANSLATE(A2574,""en"",""hy"")"),"Ո՞ր նահանգներով է հոսում Կոնեկտիկուտ գետը:")</f>
        <v>Ո՞ր նահանգներով է հոսում Կոնեկտիկուտ գետը:</v>
      </c>
      <c r="D2574" s="3" t="str">
        <f>IFERROR(__xludf.DUMMYFUNCTION("GOOGLETRANSLATE(B2574,""en"",""hy"")"),"Կոնեկտիկուտ գետը հոսում է չորս նահանգներով՝ Կոնեկտիկուտ, Մասաչուսեթս, Վերմոնտ և Նյու Հեմփշիր։")</f>
        <v>Կոնեկտիկուտ գետը հոսում է չորս նահանգներով՝ Կոնեկտիկուտ, Մասաչուսեթս, Վերմոնտ և Նյու Հեմփշիր։</v>
      </c>
    </row>
    <row r="2575">
      <c r="A2575" s="1" t="s">
        <v>5089</v>
      </c>
      <c r="B2575" s="2" t="s">
        <v>5090</v>
      </c>
      <c r="C2575" s="3" t="str">
        <f>IFERROR(__xludf.DUMMYFUNCTION("GOOGLETRANSLATE(A2575,""en"",""hy"")"),"Որո՞նք են Իլինոյսի ամենամեծ քաղաքները:")</f>
        <v>Որո՞նք են Իլինոյսի ամենամեծ քաղաքները:</v>
      </c>
      <c r="D2575" s="3" t="str">
        <f>IFERROR(__xludf.DUMMYFUNCTION("GOOGLETRANSLATE(B2575,""en"",""hy"")"),"Իլինոյսի ամենամեծ քաղաքներն են Չիկագոն, Ավրորան և Ռոքֆորդը։")</f>
        <v>Իլինոյսի ամենամեծ քաղաքներն են Չիկագոն, Ավրորան և Ռոքֆորդը։</v>
      </c>
    </row>
    <row r="2576">
      <c r="A2576" s="1" t="s">
        <v>5091</v>
      </c>
      <c r="B2576" s="2" t="s">
        <v>5092</v>
      </c>
      <c r="C2576" s="3" t="str">
        <f>IFERROR(__xludf.DUMMYFUNCTION("GOOGLETRANSLATE(A2576,""en"",""hy"")"),"Ո՞ր անգլիական թիմն է առաջինը հաղթել Չեմպիոնների լիգայում:")</f>
        <v>Ո՞ր անգլիական թիմն է առաջինը հաղթել Չեմպիոնների լիգայում:</v>
      </c>
      <c r="D2576" s="3" t="str">
        <f>IFERROR(__xludf.DUMMYFUNCTION("GOOGLETRANSLATE(B2576,""en"",""hy"")"),"«Լիվերպուլ» ֆուտբոլային ակումբն առաջինը նվաճեց Չեմպիոնների լիգան։")</f>
        <v>«Լիվերպուլ» ֆուտբոլային ակումբն առաջինը նվաճեց Չեմպիոնների լիգան։</v>
      </c>
    </row>
    <row r="2577">
      <c r="A2577" s="1" t="s">
        <v>5093</v>
      </c>
      <c r="B2577" s="2" t="s">
        <v>1625</v>
      </c>
      <c r="C2577" s="3" t="str">
        <f>IFERROR(__xludf.DUMMYFUNCTION("GOOGLETRANSLATE(A2577,""en"",""hy"")"),"Կանադայի ո՞ր նահանգն է ամենաշատ բնակեցված:")</f>
        <v>Կանադայի ո՞ր նահանգն է ամենաշատ բնակեցված:</v>
      </c>
      <c r="D2577" s="3" t="str">
        <f>IFERROR(__xludf.DUMMYFUNCTION("GOOGLETRANSLATE(B2577,""en"",""hy"")"),"Օնտարիո.")</f>
        <v>Օնտարիո.</v>
      </c>
    </row>
    <row r="2578">
      <c r="A2578" s="1" t="s">
        <v>5094</v>
      </c>
      <c r="B2578" s="2" t="s">
        <v>5095</v>
      </c>
      <c r="C2578" s="3" t="str">
        <f>IFERROR(__xludf.DUMMYFUNCTION("GOOGLETRANSLATE(A2578,""en"",""hy"")"),"Ո՞ր մայրցամաքին են պատկանում Ֆոլկլենդյան կղզիները:")</f>
        <v>Ո՞ր մայրցամաքին են պատկանում Ֆոլկլենդյան կղզիները:</v>
      </c>
      <c r="D2578" s="3" t="str">
        <f>IFERROR(__xludf.DUMMYFUNCTION("GOOGLETRANSLATE(B2578,""en"",""hy"")"),"Հարավային Ամերիկա")</f>
        <v>Հարավային Ամերիկա</v>
      </c>
    </row>
    <row r="2579">
      <c r="A2579" s="1" t="s">
        <v>5096</v>
      </c>
      <c r="B2579" s="2" t="s">
        <v>2930</v>
      </c>
      <c r="C2579" s="3" t="str">
        <f>IFERROR(__xludf.DUMMYFUNCTION("GOOGLETRANSLATE(A2579,""en"",""hy"")"),"ինչ լեզվով են խոսում ռուսները")</f>
        <v>ինչ լեզվով են խոսում ռուսները</v>
      </c>
      <c r="D2579" s="3" t="str">
        <f>IFERROR(__xludf.DUMMYFUNCTION("GOOGLETRANSLATE(B2579,""en"",""hy"")"),"ռուսերեն.")</f>
        <v>ռուսերեն.</v>
      </c>
    </row>
    <row r="2580">
      <c r="A2580" s="1" t="s">
        <v>5097</v>
      </c>
      <c r="B2580" s="2" t="s">
        <v>5098</v>
      </c>
      <c r="C2580" s="3" t="str">
        <f>IFERROR(__xludf.DUMMYFUNCTION("GOOGLETRANSLATE(A2580,""en"",""hy"")"),"Ո՞ր նահանգներն են դիպչում կանադական հողին:")</f>
        <v>Ո՞ր նահանգներն են դիպչում կանադական հողին:</v>
      </c>
      <c r="D2580" s="3" t="str">
        <f>IFERROR(__xludf.DUMMYFUNCTION("GOOGLETRANSLATE(B2580,""en"",""hy"")"),"Կանադական հողին կպնում է միայն մեկ նահանգ, դա Ալյասկան է։")</f>
        <v>Կանադական հողին կպնում է միայն մեկ նահանգ, դա Ալյասկան է։</v>
      </c>
    </row>
    <row r="2581">
      <c r="A2581" s="1" t="s">
        <v>5099</v>
      </c>
      <c r="B2581" s="2" t="s">
        <v>5100</v>
      </c>
      <c r="C2581" s="3" t="str">
        <f>IFERROR(__xludf.DUMMYFUNCTION("GOOGLETRANSLATE(A2581,""en"",""hy"")"),"ինչի՞ց է մահացել Էլվին Սմիթը")</f>
        <v>ինչի՞ց է մահացել Էլվին Սմիթը</v>
      </c>
      <c r="D2581" s="3" t="str">
        <f>IFERROR(__xludf.DUMMYFUNCTION("GOOGLETRANSLATE(B2581,""en"",""hy"")"),"Էլվին Սմիթը մահացել է սնդիկի թունավորումից։")</f>
        <v>Էլվին Սմիթը մահացել է սնդիկի թունավորումից։</v>
      </c>
    </row>
    <row r="2582">
      <c r="A2582" s="1" t="s">
        <v>5101</v>
      </c>
      <c r="B2582" s="2" t="s">
        <v>5102</v>
      </c>
      <c r="C2582" s="3" t="str">
        <f>IFERROR(__xludf.DUMMYFUNCTION("GOOGLETRANSLATE(A2582,""en"",""hy"")"),"որո՞նք են Հարրի Փոթերի տան չորս անունները:")</f>
        <v>որո՞նք են Հարրի Փոթերի տան չորս անունները:</v>
      </c>
      <c r="D2582" s="3" t="str">
        <f>IFERROR(__xludf.DUMMYFUNCTION("GOOGLETRANSLATE(B2582,""en"",""hy"")"),"Հարի Փոթերի տան չորս անուններն են՝ Գրիֆինդոր, Հաֆլփաֆ, Ռեյվենքլո և Սլիզերին:")</f>
        <v>Հարի Փոթերի տան չորս անուններն են՝ Գրիֆինդոր, Հաֆլփաֆ, Ռեյվենքլո և Սլիզերին:</v>
      </c>
    </row>
    <row r="2583">
      <c r="A2583" s="1" t="s">
        <v>5103</v>
      </c>
      <c r="B2583" s="2" t="s">
        <v>5104</v>
      </c>
      <c r="C2583" s="3" t="str">
        <f>IFERROR(__xludf.DUMMYFUNCTION("GOOGLETRANSLATE(A2583,""en"",""hy"")"),"ո՞ւմ համար է խաղացել Թիմ Հովարդը")</f>
        <v>ո՞ւմ համար է խաղացել Թիմ Հովարդը</v>
      </c>
      <c r="D2583" s="3" t="str">
        <f>IFERROR(__xludf.DUMMYFUNCTION("GOOGLETRANSLATE(B2583,""en"",""hy"")"),"Թիմ Հովարդը խաղացել է «Էվերթոնում», «Մանչեսթեր Յունայթեդում» և Միացյալ Նահանգների ազգային հավաքականում։")</f>
        <v>Թիմ Հովարդը խաղացել է «Էվերթոնում», «Մանչեսթեր Յունայթեդում» և Միացյալ Նահանգների ազգային հավաքականում։</v>
      </c>
    </row>
    <row r="2584">
      <c r="A2584" s="1" t="s">
        <v>5105</v>
      </c>
      <c r="B2584" s="2" t="s">
        <v>5106</v>
      </c>
      <c r="C2584" s="3" t="str">
        <f>IFERROR(__xludf.DUMMYFUNCTION("GOOGLETRANSLATE(A2584,""en"",""hy"")"),"երբ է ոսկե գավաթը Չելթենհեմը:")</f>
        <v>երբ է ոսկե գավաթը Չելթենհեմը:</v>
      </c>
      <c r="D2584" s="3" t="str">
        <f>IFERROR(__xludf.DUMMYFUNCTION("GOOGLETRANSLATE(B2584,""en"",""hy"")"),"Ոսկե գավաթը Չելթենհեմում սովորաբար անցկացվում է մարտին:")</f>
        <v>Ոսկե գավաթը Չելթենհեմում սովորաբար անցկացվում է մարտին:</v>
      </c>
    </row>
    <row r="2585">
      <c r="A2585" s="1" t="s">
        <v>5107</v>
      </c>
      <c r="B2585" s="2" t="s">
        <v>5108</v>
      </c>
      <c r="C2585" s="3" t="str">
        <f>IFERROR(__xludf.DUMMYFUNCTION("GOOGLETRANSLATE(A2585,""en"",""hy"")"),"որտեղից է ծագում պորտուգալերենը:")</f>
        <v>որտեղից է ծագում պորտուգալերենը:</v>
      </c>
      <c r="D2585" s="3" t="str">
        <f>IFERROR(__xludf.DUMMYFUNCTION("GOOGLETRANSLATE(B2585,""en"",""hy"")"),"Պորտուգալերենը ծագում է Պորտուգալիայից։")</f>
        <v>Պորտուգալերենը ծագում է Պորտուգալիայից։</v>
      </c>
    </row>
    <row r="2586">
      <c r="A2586" s="1" t="s">
        <v>5109</v>
      </c>
      <c r="B2586" s="2" t="s">
        <v>2100</v>
      </c>
      <c r="C2586" s="3" t="str">
        <f>IFERROR(__xludf.DUMMYFUNCTION("GOOGLETRANSLATE(A2586,""en"",""hy"")"),"ինչ արժույթ պետք է բերեմ Դոմինիկյան Հանրապետությունում:")</f>
        <v>ինչ արժույթ պետք է բերեմ Դոմինիկյան Հանրապետությունում:</v>
      </c>
      <c r="D2586" s="3" t="str">
        <f>IFERROR(__xludf.DUMMYFUNCTION("GOOGLETRANSLATE(B2586,""en"",""hy"")"),"Դոմինիկյան Հանրապետությունում արժույթը Դոմինիկյան պեսոն է (DOP):")</f>
        <v>Դոմինիկյան Հանրապետությունում արժույթը Դոմինիկյան պեսոն է (DOP):</v>
      </c>
    </row>
    <row r="2587">
      <c r="A2587" s="1" t="s">
        <v>5110</v>
      </c>
      <c r="B2587" s="2" t="s">
        <v>5111</v>
      </c>
      <c r="C2587" s="3" t="str">
        <f>IFERROR(__xludf.DUMMYFUNCTION("GOOGLETRANSLATE(A2587,""en"",""hy"")"),"ով է երկար ժամանակ ամուսնացել")</f>
        <v>ով է երկար ժամանակ ամուսնացել</v>
      </c>
      <c r="D2587" s="3" t="str">
        <f>IFERROR(__xludf.DUMMYFUNCTION("GOOGLETRANSLATE(B2587,""en"",""hy"")"),"Հոուի Լոնգը ամուսնացած է Դայան Ադդոնիզիոյի հետ։")</f>
        <v>Հոուի Լոնգը ամուսնացած է Դայան Ադդոնիզիոյի հետ։</v>
      </c>
    </row>
    <row r="2588">
      <c r="A2588" s="1" t="s">
        <v>5112</v>
      </c>
      <c r="B2588" s="2" t="s">
        <v>5113</v>
      </c>
      <c r="C2588" s="3" t="str">
        <f>IFERROR(__xludf.DUMMYFUNCTION("GOOGLETRANSLATE(A2588,""en"",""hy"")"),"աշխարհի ո՞ր տարածաշրջանում է գտնվում Հյուսիսային Ամերիկան:")</f>
        <v>աշխարհի ո՞ր տարածաշրջանում է գտնվում Հյուսիսային Ամերիկան:</v>
      </c>
      <c r="D2588" s="3" t="str">
        <f>IFERROR(__xludf.DUMMYFUNCTION("GOOGLETRANSLATE(B2588,""en"",""hy"")"),"Հյուսիսային Ամերիկան ​​գտնվում է արևմտյան կիսագնդում։")</f>
        <v>Հյուսիսային Ամերիկան ​​գտնվում է արևմտյան կիսագնդում։</v>
      </c>
    </row>
    <row r="2589">
      <c r="A2589" s="1" t="s">
        <v>5114</v>
      </c>
      <c r="B2589" s="2" t="s">
        <v>5115</v>
      </c>
      <c r="C2589" s="3" t="str">
        <f>IFERROR(__xludf.DUMMYFUNCTION("GOOGLETRANSLATE(A2589,""en"",""hy"")"),"ով է Վրաստանի ներկայիս նահանգապետը 2011թ.")</f>
        <v>ով է Վրաստանի ներկայիս նահանգապետը 2011թ.</v>
      </c>
      <c r="D2589" s="3" t="str">
        <f>IFERROR(__xludf.DUMMYFUNCTION("GOOGLETRANSLATE(B2589,""en"",""hy"")"),"2011 թվականին Վրաստանի ներկայիս նահանգապետը Նաթան Դիլն էր։")</f>
        <v>2011 թվականին Վրաստանի ներկայիս նահանգապետը Նաթան Դիլն էր։</v>
      </c>
    </row>
    <row r="2590">
      <c r="A2590" s="1" t="s">
        <v>5116</v>
      </c>
      <c r="B2590" s="2" t="s">
        <v>5117</v>
      </c>
      <c r="C2590" s="3" t="str">
        <f>IFERROR(__xludf.DUMMYFUNCTION("GOOGLETRANSLATE(A2590,""en"",""hy"")"),"որտեղ են ապրում նավաջո հնդիկները:")</f>
        <v>որտեղ են ապրում նավաջո հնդիկները:</v>
      </c>
      <c r="D2590" s="3" t="str">
        <f>IFERROR(__xludf.DUMMYFUNCTION("GOOGLETRANSLATE(B2590,""en"",""hy"")"),"Նավախո հնդկացիները հիմնականում ապրում են Միացյալ Նահանգների հարավ-արևմուտքում, մասնավորապես Արիզոնայում, Նյու Մեքսիկոյում և Յուտայում:")</f>
        <v>Նավախո հնդկացիները հիմնականում ապրում են Միացյալ Նահանգների հարավ-արևմուտքում, մասնավորապես Արիզոնայում, Նյու Մեքսիկոյում և Յուտայում:</v>
      </c>
    </row>
    <row r="2591">
      <c r="A2591" s="1" t="s">
        <v>5118</v>
      </c>
      <c r="B2591" s="2" t="s">
        <v>5119</v>
      </c>
      <c r="C2591" s="3" t="str">
        <f>IFERROR(__xludf.DUMMYFUNCTION("GOOGLETRANSLATE(A2591,""en"",""hy"")"),"ինչ անել Պանամայի քաղաքային լողափում գարնանային արձակուրդների համար:")</f>
        <v>ինչ անել Պանամայի քաղաքային լողափում գարնանային արձակուրդների համար:</v>
      </c>
      <c r="D2591" s="3" t="str">
        <f>IFERROR(__xludf.DUMMYFUNCTION("GOOGLETRANSLATE(B2591,""en"",""hy"")"),"Գարնանային արձակուրդների համար Պանամա Սիթի լողափում կատարվող որոշ հայտնի զբաղմունքներ ներառում են լողափում հանգստանալը, լողափի բարերում և ակումբներում խնջույքները, ջրային սպորտաձևերի մասնակցությունը, ինչպիսիք են ռեակտիվ դահուկները կամ պարաշեյլը, ինչպես նա"&amp;"և տեսարժան վայրերի ուսումնասիրությունը, ինչպիսիք են Gulf World Marine Park-ը կամ St. Andrews State Park-ը:")</f>
        <v>Գարնանային արձակուրդների համար Պանամա Սիթի լողափում կատարվող որոշ հայտնի զբաղմունքներ ներառում են լողափում հանգստանալը, լողափի բարերում և ակումբներում խնջույքները, ջրային սպորտաձևերի մասնակցությունը, ինչպիսիք են ռեակտիվ դահուկները կամ պարաշեյլը, ինչպես նաև տեսարժան վայրերի ուսումնասիրությունը, ինչպիսիք են Gulf World Marine Park-ը կամ St. Andrews State Park-ը:</v>
      </c>
    </row>
    <row r="2592">
      <c r="A2592" s="1" t="s">
        <v>5120</v>
      </c>
      <c r="B2592" s="2" t="s">
        <v>5121</v>
      </c>
      <c r="C2592" s="3" t="str">
        <f>IFERROR(__xludf.DUMMYFUNCTION("GOOGLETRANSLATE(A2592,""en"",""hy"")"),"ինչ գործիք է նվագում ռինգո աստղը")</f>
        <v>ինչ գործիք է նվագում ռինգո աստղը</v>
      </c>
      <c r="D2592" s="3" t="str">
        <f>IFERROR(__xludf.DUMMYFUNCTION("GOOGLETRANSLATE(B2592,""en"",""hy"")"),"հարվածային գործիքներ")</f>
        <v>հարվածային գործիքներ</v>
      </c>
    </row>
    <row r="2593">
      <c r="A2593" s="1" t="s">
        <v>5122</v>
      </c>
      <c r="B2593" s="2" t="s">
        <v>5123</v>
      </c>
      <c r="C2593" s="3" t="str">
        <f>IFERROR(__xludf.DUMMYFUNCTION("GOOGLETRANSLATE(A2593,""en"",""hy"")"),"ովքեր են Չինաստանի առևտրային գործընկերները.")</f>
        <v>ովքեր են Չինաստանի առևտրային գործընկերները.</v>
      </c>
      <c r="D2593" s="3" t="str">
        <f>IFERROR(__xludf.DUMMYFUNCTION("GOOGLETRANSLATE(B2593,""en"",""hy"")"),"Չինաստանի առևտրային գործընկերների թվում են Միացյալ Նահանգները, Ճապոնիան, Հարավային Կորեան, Գերմանիան և Ավստրալիան, ի թիվս այլոց:")</f>
        <v>Չինաստանի առևտրային գործընկերների թվում են Միացյալ Նահանգները, Ճապոնիան, Հարավային Կորեան, Գերմանիան և Ավստրալիան, ի թիվս այլոց:</v>
      </c>
    </row>
    <row r="2594">
      <c r="A2594" s="1" t="s">
        <v>5124</v>
      </c>
      <c r="B2594" s="2" t="s">
        <v>5125</v>
      </c>
      <c r="C2594" s="3" t="str">
        <f>IFERROR(__xludf.DUMMYFUNCTION("GOOGLETRANSLATE(A2594,""en"",""hy"")"),"ի՞նչ կերպար է ստեղծել Ստեն Լին:")</f>
        <v>ի՞նչ կերպար է ստեղծել Ստեն Լին:</v>
      </c>
      <c r="D2594" s="3" t="str">
        <f>IFERROR(__xludf.DUMMYFUNCTION("GOOGLETRANSLATE(B2594,""en"",""hy"")"),"Spider-Man, Iron Man, Thor, Hulk, Black Widow, Doctor Strange, Ant-Man, Black Panther և շատ ավելին:")</f>
        <v>Spider-Man, Iron Man, Thor, Hulk, Black Widow, Doctor Strange, Ant-Man, Black Panther և շատ ավելին:</v>
      </c>
    </row>
    <row r="2595">
      <c r="A2595" s="1" t="s">
        <v>5126</v>
      </c>
      <c r="B2595" s="2" t="s">
        <v>5127</v>
      </c>
      <c r="C2595" s="3" t="str">
        <f>IFERROR(__xludf.DUMMYFUNCTION("GOOGLETRANSLATE(A2595,""en"",""hy"")"),"ի՞նչ հիվանդություն է ստացել Անն Ֆրանկը:")</f>
        <v>ի՞նչ հիվանդություն է ստացել Անն Ֆրանկը:</v>
      </c>
      <c r="D2595" s="3" t="str">
        <f>IFERROR(__xludf.DUMMYFUNCTION("GOOGLETRANSLATE(B2595,""en"",""hy"")"),"Աննա Ֆրանկի մոտ տիֆ ախտորոշեցին։")</f>
        <v>Աննա Ֆրանկի մոտ տիֆ ախտորոշեցին։</v>
      </c>
    </row>
    <row r="2596">
      <c r="A2596" s="1" t="s">
        <v>5128</v>
      </c>
      <c r="B2596" s="2" t="s">
        <v>5129</v>
      </c>
      <c r="C2596" s="3" t="str">
        <f>IFERROR(__xludf.DUMMYFUNCTION("GOOGLETRANSLATE(A2596,""en"",""hy"")"),"որտեղի՞ց ազատվեց հարուստ Ռոդրիգեսը.")</f>
        <v>որտեղի՞ց ազատվեց հարուստ Ռոդրիգեսը.</v>
      </c>
      <c r="D2596" s="3" t="str">
        <f>IFERROR(__xludf.DUMMYFUNCTION("GOOGLETRANSLATE(B2596,""en"",""hy"")"),"Ռիչ Ռոդրիգեսը հեռացվել է Արիզոնայի համալսարանից.")</f>
        <v>Ռիչ Ռոդրիգեսը հեռացվել է Արիզոնայի համալսարանից.</v>
      </c>
    </row>
    <row r="2597">
      <c r="A2597" s="1" t="s">
        <v>5130</v>
      </c>
      <c r="B2597" s="2" t="s">
        <v>5131</v>
      </c>
      <c r="C2597" s="3" t="str">
        <f>IFERROR(__xludf.DUMMYFUNCTION("GOOGLETRANSLATE(A2597,""en"",""hy"")"),"ում հետ հենց նոր ամուսնացավ Մարիո Լոպեսը:")</f>
        <v>ում հետ հենց նոր ամուսնացավ Մարիո Լոպեսը:</v>
      </c>
      <c r="D2597" s="3" t="str">
        <f>IFERROR(__xludf.DUMMYFUNCTION("GOOGLETRANSLATE(B2597,""en"",""hy"")"),"Մարիո Լոպեսը նոր է ամուսնացել Քորթնի Մացայի հետ։")</f>
        <v>Մարիո Լոպեսը նոր է ամուսնացել Քորթնի Մացայի հետ։</v>
      </c>
    </row>
    <row r="2598">
      <c r="A2598" s="1" t="s">
        <v>5132</v>
      </c>
      <c r="B2598" s="2" t="s">
        <v>5133</v>
      </c>
      <c r="C2598" s="3" t="str">
        <f>IFERROR(__xludf.DUMMYFUNCTION("GOOGLETRANSLATE(A2598,""en"",""hy"")"),"ի՞նչ պատահեց նախագահ Ջեյմս Գարֆիլդի հետ.")</f>
        <v>ի՞նչ պատահեց նախագահ Ջեյմս Գարֆիլդի հետ.</v>
      </c>
      <c r="D2598" s="3" t="str">
        <f>IFERROR(__xludf.DUMMYFUNCTION("GOOGLETRANSLATE(B2598,""en"",""hy"")"),"Նախագահ Ջեյմս Գարֆիլդը սպանվեց։")</f>
        <v>Նախագահ Ջեյմս Գարֆիլդը սպանվեց։</v>
      </c>
    </row>
    <row r="2599">
      <c r="A2599" s="1" t="s">
        <v>5134</v>
      </c>
      <c r="B2599" s="2" t="s">
        <v>5135</v>
      </c>
      <c r="C2599" s="3" t="str">
        <f>IFERROR(__xludf.DUMMYFUNCTION("GOOGLETRANSLATE(A2599,""en"",""hy"")"),"ո՞ր ժամային գոտում եմ ես Միսուրիում:")</f>
        <v>ո՞ր ժամային գոտում եմ ես Միսուրիում:</v>
      </c>
      <c r="D2599" s="3" t="str">
        <f>IFERROR(__xludf.DUMMYFUNCTION("GOOGLETRANSLATE(B2599,""en"",""hy"")"),"Միսսուրին գտնվում է Կենտրոնական ժամային գոտում:")</f>
        <v>Միսսուրին գտնվում է Կենտրոնական ժամային գոտում:</v>
      </c>
    </row>
    <row r="2600">
      <c r="A2600" s="1" t="s">
        <v>5136</v>
      </c>
      <c r="B2600" s="2" t="s">
        <v>5137</v>
      </c>
      <c r="C2600" s="3" t="str">
        <f>IFERROR(__xludf.DUMMYFUNCTION("GOOGLETRANSLATE(A2600,""en"",""hy"")"),"ով է Փոլ Մաքքարթնիի ներկայիս կինը:")</f>
        <v>ով է Փոլ Մաքքարթնիի ներկայիս կինը:</v>
      </c>
      <c r="D2600" s="3" t="str">
        <f>IFERROR(__xludf.DUMMYFUNCTION("GOOGLETRANSLATE(B2600,""en"",""hy"")"),"Փոլ Մաքքարթնիի ներկայիս կինը Նենսի Շևելն է։")</f>
        <v>Փոլ Մաքքարթնիի ներկայիս կինը Նենսի Շևելն է։</v>
      </c>
    </row>
    <row r="2601">
      <c r="A2601" s="1" t="s">
        <v>5138</v>
      </c>
      <c r="B2601" s="2" t="s">
        <v>5139</v>
      </c>
      <c r="C2601" s="3" t="str">
        <f>IFERROR(__xludf.DUMMYFUNCTION("GOOGLETRANSLATE(A2601,""en"",""hy"")"),"ո՞ր ալիքով է Անդերսոն Կուպեր թոք շոուն։")</f>
        <v>ո՞ր ալիքով է Անդերսոն Կուպեր թոք շոուն։</v>
      </c>
      <c r="D2601" s="3" t="str">
        <f>IFERROR(__xludf.DUMMYFUNCTION("GOOGLETRANSLATE(B2601,""en"",""hy"")"),"Անդերսոն Կուպերի թոք շոուն հեռարձակվում է CNN-ով։")</f>
        <v>Անդերսոն Կուպերի թոք շոուն հեռարձակվում է CNN-ով։</v>
      </c>
    </row>
    <row r="2602">
      <c r="A2602" s="1" t="s">
        <v>5140</v>
      </c>
      <c r="B2602" s="2" t="s">
        <v>5141</v>
      </c>
      <c r="C2602" s="3" t="str">
        <f>IFERROR(__xludf.DUMMYFUNCTION("GOOGLETRANSLATE(A2602,""en"",""hy"")"),"ինչ դեղեր են եղել Ուիթնի Հյուսթոնում, երբ նա մահացել է:")</f>
        <v>ինչ դեղեր են եղել Ուիթնի Հյուսթոնում, երբ նա մահացել է:</v>
      </c>
      <c r="D2602" s="3" t="str">
        <f>IFERROR(__xludf.DUMMYFUNCTION("GOOGLETRANSLATE(B2602,""en"",""hy"")"),"Ուիթնի Հյուսթոնի մահվան պահին հայտնաբերված հատուկ թմրանյութերն էին կոկաինը, մարիխուանան, Xanax, Flexeril և Benadryl:")</f>
        <v>Ուիթնի Հյուսթոնի մահվան պահին հայտնաբերված հատուկ թմրանյութերն էին կոկաինը, մարիխուանան, Xanax, Flexeril և Benadryl:</v>
      </c>
    </row>
    <row r="2603">
      <c r="A2603" s="1" t="s">
        <v>5142</v>
      </c>
      <c r="B2603" s="2" t="s">
        <v>5143</v>
      </c>
      <c r="C2603" s="3" t="str">
        <f>IFERROR(__xludf.DUMMYFUNCTION("GOOGLETRANSLATE(A2603,""en"",""hy"")"),"Ուորեն Մունը ո՞ւմ համար էր խաղում")</f>
        <v>Ուորեն Մունը ո՞ւմ համար էր խաղում</v>
      </c>
      <c r="D2603" s="3" t="str">
        <f>IFERROR(__xludf.DUMMYFUNCTION("GOOGLETRANSLATE(B2603,""en"",""hy"")"),"Ուորեն Մունը խաղացել է մի քանի թիմերում, այդ թվում՝ Էդմոնտոն Էսկիմոսների (CFL), Houston Oilers (NFL), Minnesota Vikings (NFL), Seattle Seahawks (NFL) և Kansas City Chiefs (NFL):")</f>
        <v>Ուորեն Մունը խաղացել է մի քանի թիմերում, այդ թվում՝ Էդմոնտոն Էսկիմոսների (CFL), Houston Oilers (NFL), Minnesota Vikings (NFL), Seattle Seahawks (NFL) և Kansas City Chiefs (NFL):</v>
      </c>
    </row>
    <row r="2604">
      <c r="A2604" s="1" t="s">
        <v>5144</v>
      </c>
      <c r="B2604" s="2" t="s">
        <v>5145</v>
      </c>
      <c r="C2604" s="3" t="str">
        <f>IFERROR(__xludf.DUMMYFUNCTION("GOOGLETRANSLATE(A2604,""en"",""hy"")"),"Ինչ ապրանքանիշի կիթառ է նվագում Սթիվ Վայը:")</f>
        <v>Ինչ ապրանքանիշի կիթառ է նվագում Սթիվ Վայը:</v>
      </c>
      <c r="D2604" s="3" t="str">
        <f>IFERROR(__xludf.DUMMYFUNCTION("GOOGLETRANSLATE(B2604,""en"",""hy"")"),"Սթիվ Վայը նվագում է Ibanez կիթառներով:")</f>
        <v>Սթիվ Վայը նվագում է Ibanez կիթառներով:</v>
      </c>
    </row>
    <row r="2605">
      <c r="A2605" s="1" t="s">
        <v>5146</v>
      </c>
      <c r="B2605" s="2" t="s">
        <v>5147</v>
      </c>
      <c r="C2605" s="3" t="str">
        <f>IFERROR(__xludf.DUMMYFUNCTION("GOOGLETRANSLATE(A2605,""en"",""hy"")"),"ինչ են խոսում հունգարացիները")</f>
        <v>ինչ են խոսում հունգարացիները</v>
      </c>
      <c r="D2605" s="3" t="str">
        <f>IFERROR(__xludf.DUMMYFUNCTION("GOOGLETRANSLATE(B2605,""en"",""hy"")"),"հունգարերեն.")</f>
        <v>հունգարերեն.</v>
      </c>
    </row>
    <row r="2606">
      <c r="A2606" s="1" t="s">
        <v>5148</v>
      </c>
      <c r="B2606" s="2" t="s">
        <v>5149</v>
      </c>
      <c r="C2606" s="3" t="str">
        <f>IFERROR(__xludf.DUMMYFUNCTION("GOOGLETRANSLATE(A2606,""en"",""hy"")"),"ի՞նչ նախապատրաստական ​​դպրոց է հաճախել Ռոմնին:")</f>
        <v>ի՞նչ նախապատրաստական ​​դպրոց է հաճախել Ռոմնին:</v>
      </c>
      <c r="D2606" s="3" t="str">
        <f>IFERROR(__xludf.DUMMYFUNCTION("GOOGLETRANSLATE(B2606,""en"",""hy"")"),"Ռոմնին սովորել է Միչիգան ​​նահանգի Բլումֆիլդ Հիլզ քաղաքի Քրենբրուկ դպրոցում:")</f>
        <v>Ռոմնին սովորել է Միչիգան ​​նահանգի Բլումֆիլդ Հիլզ քաղաքի Քրենբրուկ դպրոցում:</v>
      </c>
    </row>
    <row r="2607">
      <c r="A2607" s="1" t="s">
        <v>5150</v>
      </c>
      <c r="B2607" s="2" t="s">
        <v>5151</v>
      </c>
      <c r="C2607" s="3" t="str">
        <f>IFERROR(__xludf.DUMMYFUNCTION("GOOGLETRANSLATE(A2607,""en"",""hy"")"),"Ո՞ր քաղաքում են մեծացել Նեդ Քելլին և նրա ընտանիքը:")</f>
        <v>Ո՞ր քաղաքում են մեծացել Նեդ Քելլին և նրա ընտանիքը:</v>
      </c>
      <c r="D2607" s="3" t="str">
        <f>IFERROR(__xludf.DUMMYFUNCTION("GOOGLETRANSLATE(B2607,""en"",""hy"")"),"Նեդ Քելլին և նրա ընտանիքը մեծացել են Բևերիջում, Վիկտորիա, Ավստրալիա:")</f>
        <v>Նեդ Քելլին և նրա ընտանիքը մեծացել են Բևերիջում, Վիկտորիա, Ավստրալիա:</v>
      </c>
    </row>
    <row r="2608">
      <c r="A2608" s="1" t="s">
        <v>5152</v>
      </c>
      <c r="B2608" s="2" t="s">
        <v>5153</v>
      </c>
      <c r="C2608" s="3" t="str">
        <f>IFERROR(__xludf.DUMMYFUNCTION("GOOGLETRANSLATE(A2608,""en"",""hy"")"),"ինչ է Բեթենի Ֆրանկելի ամուսնու անունը:")</f>
        <v>ինչ է Բեթենի Ֆրանկելի ամուսնու անունը:</v>
      </c>
      <c r="D2608" s="3" t="str">
        <f>IFERROR(__xludf.DUMMYFUNCTION("GOOGLETRANSLATE(B2608,""en"",""hy"")"),"Բեթենի Ֆրանկելի նախկին ամուսնու անունը Ջեյսոն Հոպի է։")</f>
        <v>Բեթենի Ֆրանկելի նախկին ամուսնու անունը Ջեյսոն Հոպի է։</v>
      </c>
    </row>
    <row r="2609">
      <c r="A2609" s="1" t="s">
        <v>5154</v>
      </c>
      <c r="B2609" s="2" t="s">
        <v>5155</v>
      </c>
      <c r="C2609" s="3" t="str">
        <f>IFERROR(__xludf.DUMMYFUNCTION("GOOGLETRANSLATE(A2609,""en"",""hy"")"),"Ավստրալիայի ո՞ր քաղաքում պետք է ապրեմ վիկտորինայում:")</f>
        <v>Ավստրալիայի ո՞ր քաղաքում պետք է ապրեմ վիկտորինայում:</v>
      </c>
      <c r="D2609" s="3" t="str">
        <f>IFERROR(__xludf.DUMMYFUNCTION("GOOGLETRANSLATE(B2609,""en"",""hy"")"),"Ավստրալիայում կան մի քանի քաղաքներ, որտեղ դուք կարող եք ապրել: Օգտակար կլիներ հաշվի առնել այնպիսի գործոններ, ինչպիսիք են աշխատանքի հնարավորությունները, կլիման և անձնական նախասիրությունները՝ որոշելու համար, թե որ քաղաքն է լավագույնը ձեզ համար:")</f>
        <v>Ավստրալիայում կան մի քանի քաղաքներ, որտեղ դուք կարող եք ապրել: Օգտակար կլիներ հաշվի առնել այնպիսի գործոններ, ինչպիսիք են աշխատանքի հնարավորությունները, կլիման և անձնական նախասիրությունները՝ որոշելու համար, թե որ քաղաքն է լավագույնը ձեզ համար:</v>
      </c>
    </row>
    <row r="2610">
      <c r="A2610" s="1" t="s">
        <v>5156</v>
      </c>
      <c r="B2610" s="2" t="s">
        <v>5157</v>
      </c>
      <c r="C2610" s="3" t="str">
        <f>IFERROR(__xludf.DUMMYFUNCTION("GOOGLETRANSLATE(A2610,""en"",""hy"")"),"ով է Չինաստանի ներկայիս նախագահը.")</f>
        <v>ով է Չինաստանի ներկայիս նախագահը.</v>
      </c>
      <c r="D2610" s="3" t="str">
        <f>IFERROR(__xludf.DUMMYFUNCTION("GOOGLETRANSLATE(B2610,""en"",""hy"")"),"Սի Ցզինպինը Չինաստանի ներկայիս նախագահն է։")</f>
        <v>Սի Ցզինպինը Չինաստանի ներկայիս նախագահն է։</v>
      </c>
    </row>
    <row r="2611">
      <c r="A2611" s="1" t="s">
        <v>5158</v>
      </c>
      <c r="B2611" s="2" t="s">
        <v>673</v>
      </c>
      <c r="C2611" s="3" t="str">
        <f>IFERROR(__xludf.DUMMYFUNCTION("GOOGLETRANSLATE(A2611,""en"",""hy"")"),"ով է խոսում շոգեխաշած ընտանիքի տղայի մասին:")</f>
        <v>ով է խոսում շոգեխաշած ընտանիքի տղայի մասին:</v>
      </c>
      <c r="D2611" s="3" t="str">
        <f>IFERROR(__xludf.DUMMYFUNCTION("GOOGLETRANSLATE(B2611,""en"",""hy"")"),"Սեթ ՄակՖարլեյն.")</f>
        <v>Սեթ ՄակՖարլեյն.</v>
      </c>
    </row>
    <row r="2612">
      <c r="A2612" s="1" t="s">
        <v>5159</v>
      </c>
      <c r="B2612" s="2" t="s">
        <v>5160</v>
      </c>
      <c r="C2612" s="3" t="str">
        <f>IFERROR(__xludf.DUMMYFUNCTION("GOOGLETRANSLATE(A2612,""en"",""hy"")"),"ո՞վ է ազդել Արթուր Կոնան Դոյլի վրա:")</f>
        <v>ո՞վ է ազդել Արթուր Կոնան Դոյլի վրա:</v>
      </c>
      <c r="D2612" s="3" t="str">
        <f>IFERROR(__xludf.DUMMYFUNCTION("GOOGLETRANSLATE(B2612,""en"",""hy"")"),"Արթուր Կոնան Դոյլի վրա հիմնական ազդեցություններից մեկը Էդգար Ալան Պոն էր։")</f>
        <v>Արթուր Կոնան Դոյլի վրա հիմնական ազդեցություններից մեկը Էդգար Ալան Պոն էր։</v>
      </c>
    </row>
    <row r="2613">
      <c r="A2613" s="1" t="s">
        <v>5161</v>
      </c>
      <c r="B2613" s="2" t="s">
        <v>5162</v>
      </c>
      <c r="C2613" s="3" t="str">
        <f>IFERROR(__xludf.DUMMYFUNCTION("GOOGLETRANSLATE(A2613,""en"",""hy"")"),"երբ էր Սամուել Պեպիսը")</f>
        <v>երբ էր Սամուել Պեպիսը</v>
      </c>
      <c r="D2613" s="3" t="str">
        <f>IFERROR(__xludf.DUMMYFUNCTION("GOOGLETRANSLATE(B2613,""en"",""hy"")"),"Սամուել Պեպիսը ողջ է եղել 1633-1703 թվականներին։")</f>
        <v>Սամուել Պեպիսը ողջ է եղել 1633-1703 թվականներին։</v>
      </c>
    </row>
    <row r="2614">
      <c r="A2614" s="1" t="s">
        <v>5163</v>
      </c>
      <c r="B2614" s="2" t="s">
        <v>5164</v>
      </c>
      <c r="C2614" s="3" t="str">
        <f>IFERROR(__xludf.DUMMYFUNCTION("GOOGLETRANSLATE(A2614,""en"",""hy"")"),"որո՞նք են նյույորքյան հսկաների տան գույները:")</f>
        <v>որո՞նք են նյույորքյան հսկաների տան գույները:</v>
      </c>
      <c r="D2614" s="3" t="str">
        <f>IFERROR(__xludf.DUMMYFUNCTION("GOOGLETRANSLATE(B2614,""en"",""hy"")"),"New York Giants-ի տան գույներն են կապույտն ու սպիտակը:")</f>
        <v>New York Giants-ի տան գույներն են կապույտն ու սպիտակը:</v>
      </c>
    </row>
    <row r="2615">
      <c r="A2615" s="1" t="s">
        <v>5165</v>
      </c>
      <c r="B2615" s="2" t="s">
        <v>5166</v>
      </c>
      <c r="C2615" s="3" t="str">
        <f>IFERROR(__xludf.DUMMYFUNCTION("GOOGLETRANSLATE(A2615,""en"",""hy"")"),"ո՞վ խաղաց բոբ էվել ծաղրող թռչուն սպանելու համար:")</f>
        <v>ո՞վ խաղաց բոբ էվել ծաղրող թռչուն սպանելու համար:</v>
      </c>
      <c r="D2615" s="3" t="str">
        <f>IFERROR(__xludf.DUMMYFUNCTION("GOOGLETRANSLATE(B2615,""en"",""hy"")"),"Ռոբերտ Դյուվալ.")</f>
        <v>Ռոբերտ Դյուվալ.</v>
      </c>
    </row>
    <row r="2616">
      <c r="A2616" s="1" t="s">
        <v>5167</v>
      </c>
      <c r="B2616" s="2" t="s">
        <v>5168</v>
      </c>
      <c r="C2616" s="3" t="str">
        <f>IFERROR(__xludf.DUMMYFUNCTION("GOOGLETRANSLATE(A2616,""en"",""hy"")"),"ինչ տեսակի փող է օգտագործում Ջամայկան:")</f>
        <v>ինչ տեսակի փող է օգտագործում Ջամայկան:</v>
      </c>
      <c r="D2616" s="3" t="str">
        <f>IFERROR(__xludf.DUMMYFUNCTION("GOOGLETRANSLATE(B2616,""en"",""hy"")"),"Ճամայկան որպես արժույթ օգտագործում է Ջամայկայի դոլարը։")</f>
        <v>Ճամայկան որպես արժույթ օգտագործում է Ջամայկայի դոլարը։</v>
      </c>
    </row>
    <row r="2617">
      <c r="A2617" s="1" t="s">
        <v>5169</v>
      </c>
      <c r="B2617" s="2" t="s">
        <v>5170</v>
      </c>
      <c r="C2617" s="3" t="str">
        <f>IFERROR(__xludf.DUMMYFUNCTION("GOOGLETRANSLATE(A2617,""en"",""hy"")"),"ինչ գործիք է նվագում ֆելա կուտին:")</f>
        <v>ինչ գործիք է նվագում ֆելա կուտին:</v>
      </c>
      <c r="D2617" s="3" t="str">
        <f>IFERROR(__xludf.DUMMYFUNCTION("GOOGLETRANSLATE(B2617,""en"",""hy"")"),"Ֆելա Կուտին սաքսոֆոն է նվագում։")</f>
        <v>Ֆելա Կուտին սաքսոֆոն է նվագում։</v>
      </c>
    </row>
    <row r="2618">
      <c r="A2618" s="1" t="s">
        <v>5171</v>
      </c>
      <c r="B2618" s="2" t="s">
        <v>5172</v>
      </c>
      <c r="C2618" s="3" t="str">
        <f>IFERROR(__xludf.DUMMYFUNCTION("GOOGLETRANSLATE(A2618,""en"",""hy"")"),"ով է հիմա քշում kurt busch?")</f>
        <v>ով է հիմա քշում kurt busch?</v>
      </c>
      <c r="D2618" s="3" t="str">
        <f>IFERROR(__xludf.DUMMYFUNCTION("GOOGLETRANSLATE(B2618,""en"",""hy"")"),"Կուրտ Բուշը ներկայումս վարում է Chip Ganassi Racing թիմի համար NASCAR Cup Series-ում:")</f>
        <v>Կուրտ Բուշը ներկայումս վարում է Chip Ganassi Racing թիմի համար NASCAR Cup Series-ում:</v>
      </c>
    </row>
    <row r="2619">
      <c r="A2619" s="1" t="s">
        <v>5173</v>
      </c>
      <c r="B2619" s="2" t="s">
        <v>5174</v>
      </c>
      <c r="C2619" s="3" t="str">
        <f>IFERROR(__xludf.DUMMYFUNCTION("GOOGLETRANSLATE(A2619,""en"",""hy"")"),"ով էր Կառլոս Մեծի կինը")</f>
        <v>ով էր Կառլոս Մեծի կինը</v>
      </c>
      <c r="D2619" s="3" t="str">
        <f>IFERROR(__xludf.DUMMYFUNCTION("GOOGLETRANSLATE(B2619,""en"",""hy"")"),"Կարլոս Մեծի կինը Հիլդեգարդն էր։")</f>
        <v>Կարլոս Մեծի կինը Հիլդեգարդն էր։</v>
      </c>
    </row>
    <row r="2620">
      <c r="A2620" s="1" t="s">
        <v>5175</v>
      </c>
      <c r="B2620" s="2" t="s">
        <v>5176</v>
      </c>
      <c r="C2620" s="3" t="str">
        <f>IFERROR(__xludf.DUMMYFUNCTION("GOOGLETRANSLATE(A2620,""en"",""hy"")"),"որտեղ է Վուդրո Վիլսոնը դպրոց հաճախել:")</f>
        <v>որտեղ է Վուդրո Վիլսոնը դպրոց հաճախել:</v>
      </c>
      <c r="D2620" s="3" t="str">
        <f>IFERROR(__xludf.DUMMYFUNCTION("GOOGLETRANSLATE(B2620,""en"",""hy"")"),"Վուդրո Վիլսոնը սովորել է Փրինսթոնի համալսարանում:")</f>
        <v>Վուդրո Վիլսոնը սովորել է Փրինսթոնի համալսարանում:</v>
      </c>
    </row>
    <row r="2621">
      <c r="A2621" s="1" t="s">
        <v>5177</v>
      </c>
      <c r="B2621" s="2" t="s">
        <v>5178</v>
      </c>
      <c r="C2621" s="3" t="str">
        <f>IFERROR(__xludf.DUMMYFUNCTION("GOOGLETRANSLATE(A2621,""en"",""hy"")"),"ով է նաև Լամար Օդոմը ամուսնացած")</f>
        <v>ով է նաև Լամար Օդոմը ամուսնացած</v>
      </c>
      <c r="D2621" s="3" t="str">
        <f>IFERROR(__xludf.DUMMYFUNCTION("GOOGLETRANSLATE(B2621,""en"",""hy"")"),"Լամար Օդոմը նախկինում ամուսնացած է եղել Քլոե Քարդաշյանի հետ։")</f>
        <v>Լամար Օդոմը նախկինում ամուսնացած է եղել Քլոե Քարդաշյանի հետ։</v>
      </c>
    </row>
    <row r="2622">
      <c r="A2622" s="1" t="s">
        <v>5179</v>
      </c>
      <c r="B2622" s="2" t="s">
        <v>5180</v>
      </c>
      <c r="C2622" s="3" t="str">
        <f>IFERROR(__xludf.DUMMYFUNCTION("GOOGLETRANSLATE(A2622,""en"",""hy"")"),"որտեղից կարելի է գնել amazon kindle?")</f>
        <v>որտեղից կարելի է գնել amazon kindle?</v>
      </c>
      <c r="D2622" s="3" t="str">
        <f>IFERROR(__xludf.DUMMYFUNCTION("GOOGLETRANSLATE(B2622,""en"",""hy"")"),"Դուք կարող եք գնել Amazon Kindle-ը Amazon կայքում կամ ընտրված մանրածախ խանութներից:")</f>
        <v>Դուք կարող եք գնել Amazon Kindle-ը Amazon կայքում կամ ընտրված մանրածախ խանութներից:</v>
      </c>
    </row>
    <row r="2623">
      <c r="A2623" s="1" t="s">
        <v>5181</v>
      </c>
      <c r="B2623" s="2" t="s">
        <v>5182</v>
      </c>
      <c r="C2623" s="3" t="str">
        <f>IFERROR(__xludf.DUMMYFUNCTION("GOOGLETRANSLATE(A2623,""en"",""hy"")"),"ով է Անջելինա Ջոլիի ամուսինը")</f>
        <v>ով է Անջելինա Ջոլիի ամուսինը</v>
      </c>
      <c r="D2623" s="3" t="str">
        <f>IFERROR(__xludf.DUMMYFUNCTION("GOOGLETRANSLATE(B2623,""en"",""hy"")"),"Անջելինա Ջոլին այս պահի դրությամբ ամուսին չունի։")</f>
        <v>Անջելինա Ջոլին այս պահի դրությամբ ամուսին չունի։</v>
      </c>
    </row>
    <row r="2624">
      <c r="A2624" s="1" t="s">
        <v>5183</v>
      </c>
      <c r="B2624" s="2" t="s">
        <v>5184</v>
      </c>
      <c r="C2624" s="3" t="str">
        <f>IFERROR(__xludf.DUMMYFUNCTION("GOOGLETRANSLATE(A2624,""en"",""hy"")"),"ի՞նչ փողեր են օգտագործում Արուբայում։")</f>
        <v>ի՞նչ փողեր են օգտագործում Արուբայում։</v>
      </c>
      <c r="D2624" s="3" t="str">
        <f>IFERROR(__xludf.DUMMYFUNCTION("GOOGLETRANSLATE(B2624,""en"",""hy"")"),"Արուբայում օգտագործվող արժույթը արուբան ֆլորինն է։")</f>
        <v>Արուբայում օգտագործվող արժույթը արուբան ֆլորինն է։</v>
      </c>
    </row>
    <row r="2625">
      <c r="A2625" s="1" t="s">
        <v>5185</v>
      </c>
      <c r="B2625" s="2" t="s">
        <v>5186</v>
      </c>
      <c r="C2625" s="3" t="str">
        <f>IFERROR(__xludf.DUMMYFUNCTION("GOOGLETRANSLATE(A2625,""en"",""hy"")"),"ի՞նչ սպորտով են զբաղվում Ֆրանսիայում:")</f>
        <v>ի՞նչ սպորտով են զբաղվում Ֆրանսիայում:</v>
      </c>
      <c r="D2625" s="3" t="str">
        <f>IFERROR(__xludf.DUMMYFUNCTION("GOOGLETRANSLATE(B2625,""en"",""hy"")"),"Որոշ սպորտաձևեր, որոնք զբաղվում են Ֆրանսիայում, ներառում են ֆուտբոլ, ռեգբի, թենիս, հեծանվավազք և բասկետբոլ:")</f>
        <v>Որոշ սպորտաձևեր, որոնք զբաղվում են Ֆրանսիայում, ներառում են ֆուտբոլ, ռեգբի, թենիս, հեծանվավազք և բասկետբոլ:</v>
      </c>
    </row>
    <row r="2626">
      <c r="A2626" s="1" t="s">
        <v>5187</v>
      </c>
      <c r="B2626" s="2" t="s">
        <v>5188</v>
      </c>
      <c r="C2626" s="3" t="str">
        <f>IFERROR(__xludf.DUMMYFUNCTION("GOOGLETRANSLATE(A2626,""en"",""hy"")"),"ի՞նչ պատերազմներ է ղեկավարել Ռոբերտ Լին:")</f>
        <v>ի՞նչ պատերազմներ է ղեկավարել Ռոբերտ Լին:</v>
      </c>
      <c r="D2626" s="3" t="str">
        <f>IFERROR(__xludf.DUMMYFUNCTION("GOOGLETRANSLATE(B2626,""en"",""hy"")"),"Ռոբերտ Է. Լին գլխավորել է Համադաշնության բանակը Ամերիկայի քաղաքացիական պատերազմի ժամանակ։")</f>
        <v>Ռոբերտ Է. Լին գլխավորել է Համադաշնության բանակը Ամերիկայի քաղաքացիական պատերազմի ժամանակ։</v>
      </c>
    </row>
    <row r="2627">
      <c r="A2627" s="1" t="s">
        <v>5189</v>
      </c>
      <c r="B2627" s="2" t="s">
        <v>5190</v>
      </c>
      <c r="C2627" s="3" t="str">
        <f>IFERROR(__xludf.DUMMYFUNCTION("GOOGLETRANSLATE(A2627,""en"",""hy"")"),"ի՞նչ լեզվով են խոսում բնիկ ամերիկացի հնդիկները:")</f>
        <v>ի՞նչ լեզվով են խոսում բնիկ ամերիկացի հնդիկները:</v>
      </c>
      <c r="D2627" s="3" t="str">
        <f>IFERROR(__xludf.DUMMYFUNCTION("GOOGLETRANSLATE(B2627,""en"",""hy"")"),"Կան հարյուրավոր տարբեր մայրենի լեզուներ, որոնցով խոսում են բնիկ ամերիկացի հնդկացիները:")</f>
        <v>Կան հարյուրավոր տարբեր մայրենի լեզուներ, որոնցով խոսում են բնիկ ամերիկացի հնդկացիները:</v>
      </c>
    </row>
    <row r="2628">
      <c r="A2628" s="1" t="s">
        <v>5191</v>
      </c>
      <c r="B2628" s="2" t="s">
        <v>5192</v>
      </c>
      <c r="C2628" s="3" t="str">
        <f>IFERROR(__xludf.DUMMYFUNCTION("GOOGLETRANSLATE(A2628,""en"",""hy"")"),"որտեղ էին ապրում Թենեսի Ուիլիամսը")</f>
        <v>որտեղ էին ապրում Թենեսի Ուիլիամսը</v>
      </c>
      <c r="D2628" s="3" t="str">
        <f>IFERROR(__xludf.DUMMYFUNCTION("GOOGLETRANSLATE(B2628,""en"",""hy"")"),"Թենեսի Ուիլյամսն ապրում էր Լուիզիանայի Նյու Օռլեանում:")</f>
        <v>Թենեսի Ուիլյամսն ապրում էր Լուիզիանայի Նյու Օռլեանում:</v>
      </c>
    </row>
    <row r="2629">
      <c r="A2629" s="1" t="s">
        <v>5193</v>
      </c>
      <c r="B2629" s="2" t="s">
        <v>5194</v>
      </c>
      <c r="C2629" s="3" t="str">
        <f>IFERROR(__xludf.DUMMYFUNCTION("GOOGLETRANSLATE(A2629,""en"",""hy"")"),"Ո՞րն էր թագավոր Լուիս Xiv-ի կրոնը:")</f>
        <v>Ո՞րն էր թագավոր Լուիս Xiv-ի կրոնը:</v>
      </c>
      <c r="D2629" s="3" t="str">
        <f>IFERROR(__xludf.DUMMYFUNCTION("GOOGLETRANSLATE(B2629,""en"",""hy"")"),"Թագավոր Լուի XIV-ը կաթոլիկ էր։")</f>
        <v>Թագավոր Լուի XIV-ը կաթոլիկ էր։</v>
      </c>
    </row>
    <row r="2630">
      <c r="A2630" s="1" t="s">
        <v>5195</v>
      </c>
      <c r="B2630" s="2" t="s">
        <v>5196</v>
      </c>
      <c r="C2630" s="3" t="str">
        <f>IFERROR(__xludf.DUMMYFUNCTION("GOOGLETRANSLATE(A2630,""en"",""hy"")"),"ինչ լեզվով են նրանք խոսում Բելգիայում:")</f>
        <v>ինչ լեզվով են նրանք խոսում Բելգիայում:</v>
      </c>
      <c r="D2630" s="3" t="str">
        <f>IFERROR(__xludf.DUMMYFUNCTION("GOOGLETRANSLATE(B2630,""en"",""hy"")"),"Բելգիայում խոսվող հիմնական լեզուն հոլանդերենն է (ֆլամանդերեն), սակայն որոշ շրջաններում խոսում են նաև ֆրանսերեն և գերմաներեն։")</f>
        <v>Բելգիայում խոսվող հիմնական լեզուն հոլանդերենն է (ֆլամանդերեն), սակայն որոշ շրջաններում խոսում են նաև ֆրանսերեն և գերմաներեն։</v>
      </c>
    </row>
    <row r="2631">
      <c r="A2631" s="1" t="s">
        <v>5197</v>
      </c>
      <c r="B2631" s="2" t="s">
        <v>5198</v>
      </c>
      <c r="C2631" s="3" t="str">
        <f>IFERROR(__xludf.DUMMYFUNCTION("GOOGLETRANSLATE(A2631,""en"",""hy"")"),"ով է խաղում Ուոլթերը ֆրինջում")</f>
        <v>ով է խաղում Ուոլթերը ֆրինջում</v>
      </c>
      <c r="D2631" s="3" t="str">
        <f>IFERROR(__xludf.DUMMYFUNCTION("GOOGLETRANSLATE(B2631,""en"",""hy"")"),"Ջոն Նոբլ.")</f>
        <v>Ջոն Նոբլ.</v>
      </c>
    </row>
    <row r="2632">
      <c r="A2632" s="1" t="s">
        <v>5199</v>
      </c>
      <c r="B2632" s="2" t="s">
        <v>5200</v>
      </c>
      <c r="C2632" s="3" t="str">
        <f>IFERROR(__xludf.DUMMYFUNCTION("GOOGLETRANSLATE(A2632,""en"",""hy"")"),"որտեղ է Պորտ Սենտ Լյուսի Ֆլորիդան քարտեզի վրա:")</f>
        <v>որտեղ է Պորտ Սենտ Լյուսի Ֆլորիդան քարտեզի վրա:</v>
      </c>
      <c r="D2632" s="3" t="str">
        <f>IFERROR(__xludf.DUMMYFUNCTION("GOOGLETRANSLATE(B2632,""en"",""hy"")"),"Պորտ Սենտ Լյուսի, Ֆլորիդա գտնվում է նահանգի արևելյան ափին, Վեսթ Փալմ Բիչից մոտ 50 մղոն հյուսիս։")</f>
        <v>Պորտ Սենտ Լյուսի, Ֆլորիդա գտնվում է նահանգի արևելյան ափին, Վեսթ Փալմ Բիչից մոտ 50 մղոն հյուսիս։</v>
      </c>
    </row>
    <row r="2633">
      <c r="A2633" s="1" t="s">
        <v>5201</v>
      </c>
      <c r="B2633" s="2" t="s">
        <v>5202</v>
      </c>
      <c r="C2633" s="3" t="str">
        <f>IFERROR(__xludf.DUMMYFUNCTION("GOOGLETRANSLATE(A2633,""en"",""hy"")"),"ո՞ր երկրներն են միջերկրածովյան:")</f>
        <v>ո՞ր երկրներն են միջերկրածովյան:</v>
      </c>
      <c r="D2633" s="3" t="str">
        <f>IFERROR(__xludf.DUMMYFUNCTION("GOOGLETRANSLATE(B2633,""en"",""hy"")"),"Միջերկրական ծովին սահմանակից երկրներն են՝ Ալժիրը, Կիպրոսը, Եգիպտոսը, Ֆրանսիան, Հունաստանը, Իսրայելը, Իտալիան, Լիբանանը, Լիբիան, Մալթան, Մոնակոն, Մարոկկոն, Սլովենիան, Իսպանիան, Սիրիան, Թունիսը և Թուրքիան։")</f>
        <v>Միջերկրական ծովին սահմանակից երկրներն են՝ Ալժիրը, Կիպրոսը, Եգիպտոսը, Ֆրանսիան, Հունաստանը, Իսրայելը, Իտալիան, Լիբանանը, Լիբիան, Մալթան, Մոնակոն, Մարոկկոն, Սլովենիան, Իսպանիան, Սիրիան, Թունիսը և Թուրքիան։</v>
      </c>
    </row>
    <row r="2634">
      <c r="A2634" s="1" t="s">
        <v>5203</v>
      </c>
      <c r="B2634" s="2" t="s">
        <v>5204</v>
      </c>
      <c r="C2634" s="3" t="str">
        <f>IFERROR(__xludf.DUMMYFUNCTION("GOOGLETRANSLATE(A2634,""en"",""hy"")"),"Ո՞ր քաղաքն է Մեքսիկայի ամենամեծ բնակչությունը:")</f>
        <v>Ո՞ր քաղաքն է Մեքսիկայի ամենամեծ բնակչությունը:</v>
      </c>
      <c r="D2634" s="3" t="str">
        <f>IFERROR(__xludf.DUMMYFUNCTION("GOOGLETRANSLATE(B2634,""en"",""hy"")"),"Մեխիկո Սիթի")</f>
        <v>Մեխիկո Սիթի</v>
      </c>
    </row>
    <row r="2635">
      <c r="A2635" s="1" t="s">
        <v>5205</v>
      </c>
      <c r="B2635" s="2" t="s">
        <v>5206</v>
      </c>
      <c r="C2635" s="3" t="str">
        <f>IFERROR(__xludf.DUMMYFUNCTION("GOOGLETRANSLATE(A2635,""en"",""hy"")"),"ով Խուան Պոնսե դե Լեոն.")</f>
        <v>ով Խուան Պոնսե դե Լեոն.</v>
      </c>
      <c r="D2635" s="3" t="str">
        <f>IFERROR(__xludf.DUMMYFUNCTION("GOOGLETRANSLATE(B2635,""en"",""hy"")"),"Խուան Պոնսե դե Լեոնը իսպանացի հետախույզ և կոնկիստադոր էր, ով առավել հայտնի է 1513 թվականին Ֆլորիդայում առաջին գրանցված եվրոպական արշավախմբի ղեկավարությամբ:")</f>
        <v>Խուան Պոնսե դե Լեոնը իսպանացի հետախույզ և կոնկիստադոր էր, ով առավել հայտնի է 1513 թվականին Ֆլորիդայում առաջին գրանցված եվրոպական արշավախմբի ղեկավարությամբ:</v>
      </c>
    </row>
    <row r="2636">
      <c r="A2636" s="1" t="s">
        <v>5207</v>
      </c>
      <c r="B2636" s="2" t="s">
        <v>5208</v>
      </c>
      <c r="C2636" s="3" t="str">
        <f>IFERROR(__xludf.DUMMYFUNCTION("GOOGLETRANSLATE(A2636,""en"",""hy"")"),"Ո՞ր տարիներին նյույորքյան յանկիները հաղթեցին համաշխարհային շարքում:")</f>
        <v>Ո՞ր տարիներին նյույորքյան յանկիները հաղթեցին համաշխարհային շարքում:</v>
      </c>
      <c r="D2636" s="3" t="str">
        <f>IFERROR(__xludf.DUMMYFUNCTION("GOOGLETRANSLATE(B2636,""en"",""hy"")"),"The New York Yankees-ը հաղթել է World Series-ը հետևյալ տարիներին՝ 1923, 1927, 1928, 1932, 1936, 1937, 1938, 1939, 1941, 1943, 1947, 1949, 1925, 1919, 1919, 1919 8, 1961, 1962, 1977, 1978, 1996, 1998, 1999, 2000, 2009 թթ.")</f>
        <v>The New York Yankees-ը հաղթել է World Series-ը հետևյալ տարիներին՝ 1923, 1927, 1928, 1932, 1936, 1937, 1938, 1939, 1941, 1943, 1947, 1949, 1925, 1919, 1919, 1919 8, 1961, 1962, 1977, 1978, 1996, 1998, 1999, 2000, 2009 թթ.</v>
      </c>
    </row>
    <row r="2637">
      <c r="A2637" s="1" t="s">
        <v>5209</v>
      </c>
      <c r="B2637" s="2" t="s">
        <v>5210</v>
      </c>
      <c r="C2637" s="3" t="str">
        <f>IFERROR(__xludf.DUMMYFUNCTION("GOOGLETRANSLATE(A2637,""en"",""hy"")"),"ո՞ր նահանգում է գտնվում Տորոնտոն")</f>
        <v>ո՞ր նահանգում է գտնվում Տորոնտոն</v>
      </c>
      <c r="D2637" s="3" t="str">
        <f>IFERROR(__xludf.DUMMYFUNCTION("GOOGLETRANSLATE(B2637,""en"",""hy"")"),"Տորոնտոն նահանգում չէ. Այն գտնվում է Կանադայի Օնտարիո նահանգում։")</f>
        <v>Տորոնտոն նահանգում չէ. Այն գտնվում է Կանադայի Օնտարիո նահանգում։</v>
      </c>
    </row>
    <row r="2638">
      <c r="A2638" s="1" t="s">
        <v>5211</v>
      </c>
      <c r="B2638" s="2" t="s">
        <v>5212</v>
      </c>
      <c r="C2638" s="3" t="str">
        <f>IFERROR(__xludf.DUMMYFUNCTION("GOOGLETRANSLATE(A2638,""en"",""hy"")"),"որտեղ դիտել հեռուստացույց առցանց անվճար Կանադայում:")</f>
        <v>որտեղ դիտել հեռուստացույց առցանց անվճար Կանադայում:</v>
      </c>
      <c r="D2638" s="3" t="str">
        <f>IFERROR(__xludf.DUMMYFUNCTION("GOOGLETRANSLATE(B2638,""en"",""hy"")"),"Կան տարբեր կայքեր և հարթակներ, որտեղ դուք կարող եք անվճար առցանց հեռուստացույց դիտել Կանադայում, ինչպիսիք են CBC Gem, CTV, Global TV և Tubi:")</f>
        <v>Կան տարբեր կայքեր և հարթակներ, որտեղ դուք կարող եք անվճար առցանց հեռուստացույց դիտել Կանադայում, ինչպիսիք են CBC Gem, CTV, Global TV և Tubi:</v>
      </c>
    </row>
    <row r="2639">
      <c r="A2639" s="1" t="s">
        <v>5213</v>
      </c>
      <c r="B2639" s="2" t="s">
        <v>5214</v>
      </c>
      <c r="C2639" s="3" t="str">
        <f>IFERROR(__xludf.DUMMYFUNCTION("GOOGLETRANSLATE(A2639,""en"",""hy"")"),"որտեղ է տեղի ունեցել լոմա պրիետա երկրաշարժը:")</f>
        <v>որտեղ է տեղի ունեցել լոմա պրիետա երկրաշարժը:</v>
      </c>
      <c r="D2639" s="3" t="str">
        <f>IFERROR(__xludf.DUMMYFUNCTION("GOOGLETRANSLATE(B2639,""en"",""hy"")"),"Լոմա Պրիետա երկրաշարժը տեղի է ունեցել Հյուսիսային Կալիֆորնիայում, մասնավորապես Սանտա Կրուս լեռներում՝ Լոմա Պրիետա Պիկի մոտ:")</f>
        <v>Լոմա Պրիետա երկրաշարժը տեղի է ունեցել Հյուսիսային Կալիֆորնիայում, մասնավորապես Սանտա Կրուս լեռներում՝ Լոմա Պրիետա Պիկի մոտ:</v>
      </c>
    </row>
    <row r="2640">
      <c r="A2640" s="1" t="s">
        <v>5215</v>
      </c>
      <c r="B2640" s="2" t="s">
        <v>5216</v>
      </c>
      <c r="C2640" s="3" t="str">
        <f>IFERROR(__xludf.DUMMYFUNCTION("GOOGLETRANSLATE(A2640,""en"",""hy"")"),"ո՞րն է Մասաչուսեթսի պետական ​​կարգախոսը:")</f>
        <v>ո՞րն է Մասաչուսեթսի պետական ​​կարգախոսը:</v>
      </c>
      <c r="D2640" s="3" t="str">
        <f>IFERROR(__xludf.DUMMYFUNCTION("GOOGLETRANSLATE(B2640,""en"",""hy"")"),"Մասաչուսեթսի նահանգի կարգախոսն է «Ense petit placidam sub libertate quietem», որը նշանակում է «Սրի միջոցով մենք խաղաղություն ենք փնտրում, բայց խաղաղություն միայն ազատության ներքո»:")</f>
        <v>Մասաչուսեթսի նահանգի կարգախոսն է «Ense petit placidam sub libertate quietem», որը նշանակում է «Սրի միջոցով մենք խաղաղություն ենք փնտրում, բայց խաղաղություն միայն ազատության ներքո»:</v>
      </c>
    </row>
    <row r="2641">
      <c r="A2641" s="1" t="s">
        <v>5217</v>
      </c>
      <c r="B2641" s="2" t="s">
        <v>5218</v>
      </c>
      <c r="C2641" s="3" t="str">
        <f>IFERROR(__xludf.DUMMYFUNCTION("GOOGLETRANSLATE(A2641,""en"",""hy"")"),"ինչ է ժամային գոտին Նոր Օռլեանում:")</f>
        <v>ինչ է ժամային գոտին Նոր Օռլեանում:</v>
      </c>
      <c r="D2641" s="3" t="str">
        <f>IFERROR(__xludf.DUMMYFUNCTION("GOOGLETRANSLATE(B2641,""en"",""hy"")"),"Կենտրոնական ժամային գոտի.")</f>
        <v>Կենտրոնական ժամային գոտի.</v>
      </c>
    </row>
    <row r="2642">
      <c r="A2642" s="1" t="s">
        <v>5219</v>
      </c>
      <c r="B2642" s="2" t="s">
        <v>5220</v>
      </c>
      <c r="C2642" s="3" t="str">
        <f>IFERROR(__xludf.DUMMYFUNCTION("GOOGLETRANSLATE(A2642,""en"",""hy"")"),"Ինչպիսի՞ պոեզիա է գրում Ջոն Դոնը:")</f>
        <v>Ինչպիսի՞ պոեզիա է գրում Ջոն Դոնը:</v>
      </c>
      <c r="D2642" s="3" t="str">
        <f>IFERROR(__xludf.DUMMYFUNCTION("GOOGLETRANSLATE(B2642,""en"",""hy"")"),"Ջոն Դոննը գրել է մետաֆիզիկական պոեզիա։")</f>
        <v>Ջոն Դոննը գրել է մետաֆիզիկական պոեզիա։</v>
      </c>
    </row>
    <row r="2643">
      <c r="A2643" s="1" t="s">
        <v>5221</v>
      </c>
      <c r="B2643" s="2" t="s">
        <v>5222</v>
      </c>
      <c r="C2643" s="3" t="str">
        <f>IFERROR(__xludf.DUMMYFUNCTION("GOOGLETRANSLATE(A2643,""en"",""hy"")"),"որտեղ է մահացել Հելեն Քելլերը")</f>
        <v>որտեղ է մահացել Հելեն Քելլերը</v>
      </c>
      <c r="D2643" s="3" t="str">
        <f>IFERROR(__xludf.DUMMYFUNCTION("GOOGLETRANSLATE(B2643,""en"",""hy"")"),"Հելեն Քելլերը մահացել է ԱՄՆ Կոնեկտիկուտ նահանգի Վեսթպորտ քաղաքում։")</f>
        <v>Հելեն Քելլերը մահացել է ԱՄՆ Կոնեկտիկուտ նահանգի Վեսթպորտ քաղաքում։</v>
      </c>
    </row>
    <row r="2644">
      <c r="A2644" s="1" t="s">
        <v>5223</v>
      </c>
      <c r="B2644" s="2" t="s">
        <v>5224</v>
      </c>
      <c r="C2644" s="3" t="str">
        <f>IFERROR(__xludf.DUMMYFUNCTION("GOOGLETRANSLATE(A2644,""en"",""hy"")"),"ով է Չիլիի ներկայիս նախագահը 2011 թ.")</f>
        <v>ով է Չիլիի ներկայիս նախագահը 2011 թ.</v>
      </c>
      <c r="D2644" s="3" t="str">
        <f>IFERROR(__xludf.DUMMYFUNCTION("GOOGLETRANSLATE(B2644,""en"",""hy"")"),"2011 թվականին Չիլիի ներկայիս նախագահը Սեբաստիան Պինյերան է։")</f>
        <v>2011 թվականին Չիլիի ներկայիս նախագահը Սեբաստիան Պինյերան է։</v>
      </c>
    </row>
    <row r="2645">
      <c r="A2645" s="1" t="s">
        <v>5225</v>
      </c>
      <c r="B2645" s="2" t="s">
        <v>5226</v>
      </c>
      <c r="C2645" s="3" t="str">
        <f>IFERROR(__xludf.DUMMYFUNCTION("GOOGLETRANSLATE(A2645,""en"",""hy"")"),"ի՞նչ կլիներ, եթե նոր Մադրիդի խզվածքը երկրաշարժ լիներ։")</f>
        <v>ի՞նչ կլիներ, եթե նոր Մադրիդի խզվածքը երկրաշարժ լիներ։</v>
      </c>
      <c r="D2645" s="3" t="str">
        <f>IFERROR(__xludf.DUMMYFUNCTION("GOOGLETRANSLATE(B2645,""en"",""hy"")"),"Եթե ​​Նոր Մադրիդի խզվածքը երկրաշարժ ունենար, դա կարող է հանգեցնել ենթակառուցվածքների, շենքերի զգալի վնասների և, հնարավոր է, մարդկային կորուստների:")</f>
        <v>Եթե ​​Նոր Մադրիդի խզվածքը երկրաշարժ ունենար, դա կարող է հանգեցնել ենթակառուցվածքների, շենքերի զգալի վնասների և, հնարավոր է, մարդկային կորուստների:</v>
      </c>
    </row>
    <row r="2646">
      <c r="A2646" s="1" t="s">
        <v>5227</v>
      </c>
      <c r="B2646" s="2" t="s">
        <v>5228</v>
      </c>
      <c r="C2646" s="3" t="str">
        <f>IFERROR(__xludf.DUMMYFUNCTION("GOOGLETRANSLATE(A2646,""en"",""hy"")"),"որտեղ էին ապրում հոպի հնդկացիները:")</f>
        <v>որտեղ էին ապրում հոպի հնդկացիները:</v>
      </c>
      <c r="D2646" s="3" t="str">
        <f>IFERROR(__xludf.DUMMYFUNCTION("GOOGLETRANSLATE(B2646,""en"",""hy"")"),"Հոպի հնդկացիներն ապրում էին Միացյալ Նահանգների հարավ-արևմուտքում, հիմնականում ներկայիս Արիզոնայի տարածքում:")</f>
        <v>Հոպի հնդկացիներն ապրում էին Միացյալ Նահանգների հարավ-արևմուտքում, հիմնականում ներկայիս Արիզոնայի տարածքում:</v>
      </c>
    </row>
    <row r="2647">
      <c r="A2647" s="1" t="s">
        <v>5229</v>
      </c>
      <c r="B2647" s="2" t="s">
        <v>5230</v>
      </c>
      <c r="C2647" s="3" t="str">
        <f>IFERROR(__xludf.DUMMYFUNCTION("GOOGLETRANSLATE(A2647,""en"",""hy"")"),"ինչով է զբաղվել Ջեֆ Քորվինը:")</f>
        <v>ինչով է զբաղվել Ջեֆ Քորվինը:</v>
      </c>
      <c r="D2647" s="3" t="str">
        <f>IFERROR(__xludf.DUMMYFUNCTION("GOOGLETRANSLATE(B2647,""en"",""hy"")"),"Ջեֆ Քորվինը մասնագիտացել է կենսաբանության մեջ:")</f>
        <v>Ջեֆ Քորվինը մասնագիտացել է կենսաբանության մեջ:</v>
      </c>
    </row>
    <row r="2648">
      <c r="A2648" s="1" t="s">
        <v>5231</v>
      </c>
      <c r="B2648" s="2" t="s">
        <v>5232</v>
      </c>
      <c r="C2648" s="3" t="str">
        <f>IFERROR(__xludf.DUMMYFUNCTION("GOOGLETRANSLATE(A2648,""en"",""hy"")"),"որտեղ է ապրել Յոհան Սեբաստիան Բախը")</f>
        <v>որտեղ է ապրել Յոհան Սեբաստիան Բախը</v>
      </c>
      <c r="D2648" s="3" t="str">
        <f>IFERROR(__xludf.DUMMYFUNCTION("GOOGLETRANSLATE(B2648,""en"",""hy"")"),"Յոհան Սեբաստիան Բախն ապրում էր Գերմանիայում։")</f>
        <v>Յոհան Սեբաստիան Բախն ապրում էր Գերմանիայում։</v>
      </c>
    </row>
    <row r="2649">
      <c r="A2649" s="1" t="s">
        <v>5233</v>
      </c>
      <c r="B2649" s="2" t="s">
        <v>5234</v>
      </c>
      <c r="C2649" s="3" t="str">
        <f>IFERROR(__xludf.DUMMYFUNCTION("GOOGLETRANSLATE(A2649,""en"",""hy"")"),"ո՞ւմ հետ են առևտուր արել bynum-ը:")</f>
        <v>ո՞ւմ հետ են առևտուր արել bynum-ը:</v>
      </c>
      <c r="D2649" s="3" t="str">
        <f>IFERROR(__xludf.DUMMYFUNCTION("GOOGLETRANSLATE(B2649,""en"",""hy"")"),"Բայնումը փոխանակվեց Ֆիլադելֆիա 76երսի հետ:")</f>
        <v>Բայնումը փոխանակվեց Ֆիլադելֆիա 76երսի հետ:</v>
      </c>
    </row>
    <row r="2650">
      <c r="A2650" s="1" t="s">
        <v>5235</v>
      </c>
      <c r="B2650" s="2" t="s">
        <v>5236</v>
      </c>
      <c r="C2650" s="3" t="str">
        <f>IFERROR(__xludf.DUMMYFUNCTION("GOOGLETRANSLATE(A2650,""en"",""hy"")"),"Ո՞ր ժամային գոտին է Մալայզիան:")</f>
        <v>Ո՞ր ժամային գոտին է Մալայզիան:</v>
      </c>
      <c r="D2650" s="3" t="str">
        <f>IFERROR(__xludf.DUMMYFUNCTION("GOOGLETRANSLATE(B2650,""en"",""hy"")"),"Մալայզիան գտնվում է Մալայզիայի ստանդարտ ժամանակի (MST) ժամային գոտում, որը UTC+8 է:")</f>
        <v>Մալայզիան գտնվում է Մալայզիայի ստանդարտ ժամանակի (MST) ժամային գոտում, որը UTC+8 է:</v>
      </c>
    </row>
    <row r="2651">
      <c r="A2651" s="1" t="s">
        <v>5237</v>
      </c>
      <c r="B2651" s="2" t="s">
        <v>5238</v>
      </c>
      <c r="C2651" s="3" t="str">
        <f>IFERROR(__xludf.DUMMYFUNCTION("GOOGLETRANSLATE(A2651,""en"",""hy"")"),"որտեղից է Ալեքս Սմիթը")</f>
        <v>որտեղից է Ալեքս Սմիթը</v>
      </c>
      <c r="D2651" s="3" t="str">
        <f>IFERROR(__xludf.DUMMYFUNCTION("GOOGLETRANSLATE(B2651,""en"",""hy"")"),"Ալեքս Սմիթը Վաշինգտոն նահանգի Բրեմերտոն քաղաքից է:")</f>
        <v>Ալեքս Սմիթը Վաշինգտոն նահանգի Բրեմերտոն քաղաքից է:</v>
      </c>
    </row>
    <row r="2652">
      <c r="A2652" s="1" t="s">
        <v>5239</v>
      </c>
      <c r="B2652" s="2" t="s">
        <v>5240</v>
      </c>
      <c r="C2652" s="3" t="str">
        <f>IFERROR(__xludf.DUMMYFUNCTION("GOOGLETRANSLATE(A2652,""en"",""hy"")"),"որտեղ է ծնվել Ալիս Ուոքերը")</f>
        <v>որտեղ է ծնվել Ալիս Ուոքերը</v>
      </c>
      <c r="D2652" s="3" t="str">
        <f>IFERROR(__xludf.DUMMYFUNCTION("GOOGLETRANSLATE(B2652,""en"",""hy"")"),"Էլիս Ուոքերը ծնվել է Ջորջիա նահանգի Իտոնտոն քաղաքում։")</f>
        <v>Էլիս Ուոքերը ծնվել է Ջորջիա նահանգի Իտոնտոն քաղաքում։</v>
      </c>
    </row>
    <row r="2653">
      <c r="A2653" s="1" t="s">
        <v>5241</v>
      </c>
      <c r="B2653" s="2" t="s">
        <v>5242</v>
      </c>
      <c r="C2653" s="3" t="str">
        <f>IFERROR(__xludf.DUMMYFUNCTION("GOOGLETRANSLATE(A2653,""en"",""hy"")"),"ինչ են խոսում Իսլանդիա")</f>
        <v>ինչ են խոսում Իսլանդիա</v>
      </c>
      <c r="D2653" s="3" t="str">
        <f>IFERROR(__xludf.DUMMYFUNCTION("GOOGLETRANSLATE(B2653,""en"",""hy"")"),"իսլանդերեն.")</f>
        <v>իսլանդերեն.</v>
      </c>
    </row>
    <row r="2654">
      <c r="A2654" s="1" t="s">
        <v>5243</v>
      </c>
      <c r="B2654" s="2" t="s">
        <v>5244</v>
      </c>
      <c r="C2654" s="3" t="str">
        <f>IFERROR(__xludf.DUMMYFUNCTION("GOOGLETRANSLATE(A2654,""en"",""hy"")"),"ո՞վ է սովորեցրել Միքելանջելոյին քանդակել")</f>
        <v>ո՞վ է սովորեցրել Միքելանջելոյին քանդակել</v>
      </c>
      <c r="D2654" s="3" t="str">
        <f>IFERROR(__xludf.DUMMYFUNCTION("GOOGLETRANSLATE(B2654,""en"",""hy"")"),"Բերտոլդո դի Ջովաննին Միքելանջելոյին սովորեցրել է քանդակագործություն։")</f>
        <v>Բերտոլդո դի Ջովաննին Միքելանջելոյին սովորեցրել է քանդակագործություն։</v>
      </c>
    </row>
    <row r="2655">
      <c r="A2655" s="1" t="s">
        <v>5245</v>
      </c>
      <c r="B2655" s="2" t="s">
        <v>5246</v>
      </c>
      <c r="C2655" s="3" t="str">
        <f>IFERROR(__xludf.DUMMYFUNCTION("GOOGLETRANSLATE(A2655,""en"",""hy"")"),"ի՞նչ պատերազմների է մասնակցել Ֆրանսիան։")</f>
        <v>ի՞նչ պատերազմների է մասնակցել Ֆրանսիան։</v>
      </c>
      <c r="D2655" s="3" t="str">
        <f>IFERROR(__xludf.DUMMYFUNCTION("GOOGLETRANSLATE(B2655,""en"",""hy"")"),"Ֆրանսիան մասնակցել է բազմաթիվ պատերազմների, այդ թվում՝ Նապոլեոնյան, Առաջին համաշխարհային և Երկրորդ համաշխարհային պատերազմների։")</f>
        <v>Ֆրանսիան մասնակցել է բազմաթիվ պատերազմների, այդ թվում՝ Նապոլեոնյան, Առաջին համաշխարհային և Երկրորդ համաշխարհային պատերազմների։</v>
      </c>
    </row>
    <row r="2656">
      <c r="A2656" s="1" t="s">
        <v>5247</v>
      </c>
      <c r="B2656" s="2" t="s">
        <v>5248</v>
      </c>
      <c r="C2656" s="3" t="str">
        <f>IFERROR(__xludf.DUMMYFUNCTION("GOOGLETRANSLATE(A2656,""en"",""hy"")"),"ով է խաղում moira l բառի վրա:")</f>
        <v>ով է խաղում moira l բառի վրա:</v>
      </c>
      <c r="D2656" s="3" t="str">
        <f>IFERROR(__xludf.DUMMYFUNCTION("GOOGLETRANSLATE(B2656,""en"",""hy"")"),"Քեթրին Մոենիգ")</f>
        <v>Քեթրին Մոենիգ</v>
      </c>
    </row>
    <row r="2657">
      <c r="A2657" s="1" t="s">
        <v>5249</v>
      </c>
      <c r="B2657" s="2" t="s">
        <v>5250</v>
      </c>
      <c r="C2657" s="3" t="str">
        <f>IFERROR(__xludf.DUMMYFUNCTION("GOOGLETRANSLATE(A2657,""en"",""hy"")"),"Ե՞րբ է Ջո Մսելդերին հաղթել x factor-ը:")</f>
        <v>Ե՞րբ է Ջո Մսելդերին հաղթել x factor-ը:</v>
      </c>
      <c r="D2657" s="3" t="str">
        <f>IFERROR(__xludf.DUMMYFUNCTION("GOOGLETRANSLATE(B2657,""en"",""hy"")"),"Ջո Մաքելդերին 2009 թվականին հաղթել է X Factor-ում։")</f>
        <v>Ջո Մաքելդերին 2009 թվականին հաղթել է X Factor-ում։</v>
      </c>
    </row>
    <row r="2658">
      <c r="A2658" s="1" t="s">
        <v>5251</v>
      </c>
      <c r="B2658" s="2" t="s">
        <v>5252</v>
      </c>
      <c r="C2658" s="3" t="str">
        <f>IFERROR(__xludf.DUMMYFUNCTION("GOOGLETRANSLATE(A2658,""en"",""hy"")"),"ո՞րն է Ջամայկայի հիմնական լեզուն:")</f>
        <v>ո՞րն է Ջամայկայի հիմնական լեզուն:</v>
      </c>
      <c r="D2658" s="3" t="str">
        <f>IFERROR(__xludf.DUMMYFUNCTION("GOOGLETRANSLATE(B2658,""en"",""hy"")"),"Ճամայկայի հիմնական լեզուն անգլերենն է։")</f>
        <v>Ճամայկայի հիմնական լեզուն անգլերենն է։</v>
      </c>
    </row>
    <row r="2659">
      <c r="A2659" s="1" t="s">
        <v>5253</v>
      </c>
      <c r="B2659" s="2" t="s">
        <v>5254</v>
      </c>
      <c r="C2659" s="3" t="str">
        <f>IFERROR(__xludf.DUMMYFUNCTION("GOOGLETRANSLATE(A2659,""en"",""hy"")"),"ովքեր էին blackstreet-ի անդամները")</f>
        <v>ովքեր էին blackstreet-ի անդամները</v>
      </c>
      <c r="D2659" s="3" t="str">
        <f>IFERROR(__xludf.DUMMYFUNCTION("GOOGLETRANSLATE(B2659,""en"",""hy"")"),"Blackstreet-ի անդամներն էին Թեդի Ռայլին, Չոնսի Հանիբալը, Լևի Լիթլը և Ջոզեֆ Սթոունսթրիթը։")</f>
        <v>Blackstreet-ի անդամներն էին Թեդի Ռայլին, Չոնսի Հանիբալը, Լևի Լիթլը և Ջոզեֆ Սթոունսթրիթը։</v>
      </c>
    </row>
    <row r="2660">
      <c r="A2660" s="1" t="s">
        <v>5255</v>
      </c>
      <c r="B2660" s="2" t="s">
        <v>5256</v>
      </c>
      <c r="C2660" s="3" t="str">
        <f>IFERROR(__xludf.DUMMYFUNCTION("GOOGLETRANSLATE(A2660,""en"",""hy"")"),"ո՞ւմ հետ է վաճառվել tebow-ը:")</f>
        <v>ո՞ւմ հետ է վաճառվել tebow-ը:</v>
      </c>
      <c r="D2660" s="3" t="str">
        <f>IFERROR(__xludf.DUMMYFUNCTION("GOOGLETRANSLATE(B2660,""en"",""hy"")"),"Թիմ Թեբոուն փոխանակվել է New York Jets-ի հետ:")</f>
        <v>Թիմ Թեբոուն փոխանակվել է New York Jets-ի հետ:</v>
      </c>
    </row>
    <row r="2661">
      <c r="A2661" s="1" t="s">
        <v>5257</v>
      </c>
      <c r="B2661" s="2" t="s">
        <v>5258</v>
      </c>
      <c r="C2661" s="3" t="str">
        <f>IFERROR(__xludf.DUMMYFUNCTION("GOOGLETRANSLATE(A2661,""en"",""hy"")"),"ուր գնացին հռոմեացիները")</f>
        <v>ուր գնացին հռոմեացիները</v>
      </c>
      <c r="D2661" s="3" t="str">
        <f>IFERROR(__xludf.DUMMYFUNCTION("GOOGLETRANSLATE(B2661,""en"",""hy"")"),"Հռոմեացիները ճանապարհորդում էին տարբեր վայրեր, ներառյալ Եվրոպայի, Աֆրիկայի և Ասիայի մասերը:")</f>
        <v>Հռոմեացիները ճանապարհորդում էին տարբեր վայրեր, ներառյալ Եվրոպայի, Աֆրիկայի և Ասիայի մասերը:</v>
      </c>
    </row>
    <row r="2662">
      <c r="A2662" s="1" t="s">
        <v>5259</v>
      </c>
      <c r="B2662" s="2" t="s">
        <v>5260</v>
      </c>
      <c r="C2662" s="3" t="str">
        <f>IFERROR(__xludf.DUMMYFUNCTION("GOOGLETRANSLATE(A2662,""en"",""hy"")"),"ինչ տեսք ունի ամերիկյան ռոտվեյլերը:")</f>
        <v>ինչ տեսք ունի ամերիկյան ռոտվեյլերը:</v>
      </c>
      <c r="D2662" s="3" t="str">
        <f>IFERROR(__xludf.DUMMYFUNCTION("GOOGLETRANSLATE(B2662,""en"",""hy"")"),"Ամերիկյան ռոտվեյլերը նման է մկանուտ և մեծ շան՝ սև վերարկուով, դեմքի, կրծքավանդակի և ոտքերի վրա արևի հետքերով և ամուր կազմվածքով:")</f>
        <v>Ամերիկյան ռոտվեյլերը նման է մկանուտ և մեծ շան՝ սև վերարկուով, դեմքի, կրծքավանդակի և ոտքերի վրա արևի հետքերով և ամուր կազմվածքով:</v>
      </c>
    </row>
    <row r="2663">
      <c r="A2663" s="1" t="s">
        <v>5261</v>
      </c>
      <c r="B2663" s="2" t="s">
        <v>5262</v>
      </c>
      <c r="C2663" s="3" t="str">
        <f>IFERROR(__xludf.DUMMYFUNCTION("GOOGLETRANSLATE(A2663,""en"",""hy"")"),"ո՞վ է ստեղծել Շերլոկ Հոլմսի կերպարը:")</f>
        <v>ո՞վ է ստեղծել Շերլոկ Հոլմսի կերպարը:</v>
      </c>
      <c r="D2663" s="3" t="str">
        <f>IFERROR(__xludf.DUMMYFUNCTION("GOOGLETRANSLATE(B2663,""en"",""hy"")"),"Սըր Արթուր Կոնան Դոյլ.")</f>
        <v>Սըր Արթուր Կոնան Դոյլ.</v>
      </c>
    </row>
    <row r="2664">
      <c r="A2664" s="1" t="s">
        <v>5263</v>
      </c>
      <c r="B2664" s="2" t="s">
        <v>5264</v>
      </c>
      <c r="C2664" s="3" t="str">
        <f>IFERROR(__xludf.DUMMYFUNCTION("GOOGLETRANSLATE(A2664,""en"",""hy"")"),"ինչ են խոսում շոտլանդացիները.")</f>
        <v>ինչ են խոսում շոտլանդացիները.</v>
      </c>
      <c r="D2664" s="3" t="str">
        <f>IFERROR(__xludf.DUMMYFUNCTION("GOOGLETRANSLATE(B2664,""en"",""hy"")"),"Շոտլանդացիները խոսում են շոտլանդական գելերեն և շոտլանդական անգլերեն:")</f>
        <v>Շոտլանդացիները խոսում են շոտլանդական գելերեն և շոտլանդական անգլերեն:</v>
      </c>
    </row>
    <row r="2665">
      <c r="A2665" s="1" t="s">
        <v>5265</v>
      </c>
      <c r="B2665" s="2" t="s">
        <v>5266</v>
      </c>
      <c r="C2665" s="3" t="str">
        <f>IFERROR(__xludf.DUMMYFUNCTION("GOOGLETRANSLATE(A2665,""en"",""hy"")"),"Ո՞ւմ հետ է հանդիպել Քիմ Քարդաշյանը")</f>
        <v>Ո՞ւմ հետ է հանդիպել Քիմ Քարդաշյանը</v>
      </c>
      <c r="D2665" s="3" t="str">
        <f>IFERROR(__xludf.DUMMYFUNCTION("GOOGLETRANSLATE(B2665,""en"",""hy"")"),"Քիմ Քարդաշյանը հանդիպել է մի քանի հայտնի մարդկանց հետ, այդ թվում՝ Ռեյ Ջեյին, Ռեջի Բուշին, Մայլս Օսթինին, Քրիս Համֆրիսին, Քանյե Ուեսթին և մի քանի ուրիշների։")</f>
        <v>Քիմ Քարդաշյանը հանդիպել է մի քանի հայտնի մարդկանց հետ, այդ թվում՝ Ռեյ Ջեյին, Ռեջի Բուշին, Մայլս Օսթինին, Քրիս Համֆրիսին, Քանյե Ուեսթին և մի քանի ուրիշների։</v>
      </c>
    </row>
    <row r="2666">
      <c r="A2666" s="1" t="s">
        <v>5267</v>
      </c>
      <c r="B2666" s="2" t="s">
        <v>5268</v>
      </c>
      <c r="C2666" s="3" t="str">
        <f>IFERROR(__xludf.DUMMYFUNCTION("GOOGLETRANSLATE(A2666,""en"",""hy"")"),"ովքեր են Չինաստանի հիմնական առևտրային գործընկերները.")</f>
        <v>ովքեր են Չինաստանի հիմնական առևտրային գործընկերները.</v>
      </c>
      <c r="D2666" s="3" t="str">
        <f>IFERROR(__xludf.DUMMYFUNCTION("GOOGLETRANSLATE(B2666,""en"",""hy"")"),"Չինաստանի հիմնական առևտրային գործընկերներն են ԱՄՆ-ը, Եվրամիությունը և ասիական այլ երկրներ, ինչպիսիք են Ճապոնիան և Հարավային Կորեան:")</f>
        <v>Չինաստանի հիմնական առևտրային գործընկերներն են ԱՄՆ-ը, Եվրամիությունը և ասիական այլ երկրներ, ինչպիսիք են Ճապոնիան և Հարավային Կորեան:</v>
      </c>
    </row>
    <row r="2667">
      <c r="A2667" s="1" t="s">
        <v>5269</v>
      </c>
      <c r="B2667" s="2" t="s">
        <v>5270</v>
      </c>
      <c r="C2667" s="3" t="str">
        <f>IFERROR(__xludf.DUMMYFUNCTION("GOOGLETRANSLATE(A2667,""en"",""hy"")"),"ի՞նչ գործիքների համար է Վիվալդին գրել կոնցերտներ:")</f>
        <v>ի՞նչ գործիքների համար է Վիվալդին գրել կոնցերտներ:</v>
      </c>
      <c r="D2667" s="3" t="str">
        <f>IFERROR(__xludf.DUMMYFUNCTION("GOOGLETRANSLATE(B2667,""en"",""hy"")"),"Վիվալդին գրել է կոնցերտներ տարբեր գործիքների համար՝ ներառյալ ջութակը, հոբոյը, ֆլեյտան, ֆագոտը, շեփորը և այլն։")</f>
        <v>Վիվալդին գրել է կոնցերտներ տարբեր գործիքների համար՝ ներառյալ ջութակը, հոբոյը, ֆլեյտան, ֆագոտը, շեփորը և այլն։</v>
      </c>
    </row>
    <row r="2668">
      <c r="A2668" s="1" t="s">
        <v>5271</v>
      </c>
      <c r="B2668" s="2" t="s">
        <v>5272</v>
      </c>
      <c r="C2668" s="3" t="str">
        <f>IFERROR(__xludf.DUMMYFUNCTION("GOOGLETRANSLATE(A2668,""en"",""hy"")"),"ի՞նչ գիրք է գրել Ջոն Սթայնբեքը փոշու ամանի մեջ գտնվող մարդկանց մասին:")</f>
        <v>ի՞նչ գիրք է գրել Ջոն Սթայնբեքը փոշու ամանի մեջ գտնվող մարդկանց մասին:</v>
      </c>
      <c r="D2668" s="3" t="str">
        <f>IFERROR(__xludf.DUMMYFUNCTION("GOOGLETRANSLATE(B2668,""en"",""hy"")"),"Ջոն Սթայնբեքը գրել է «Ցասման խաղողը» գիրքը փոշու ամանի մարդկանց մասին։")</f>
        <v>Ջոն Սթայնբեքը գրել է «Ցասման խաղողը» գիրքը փոշու ամանի մարդկանց մասին։</v>
      </c>
    </row>
    <row r="2669">
      <c r="A2669" s="1" t="s">
        <v>5273</v>
      </c>
      <c r="B2669" s="2" t="s">
        <v>5274</v>
      </c>
      <c r="C2669" s="3" t="str">
        <f>IFERROR(__xludf.DUMMYFUNCTION("GOOGLETRANSLATE(A2669,""en"",""hy"")"),"ի՞նչ երկիր է Աստված խոստացել Հեսուին:")</f>
        <v>ի՞նչ երկիր է Աստված խոստացել Հեսուին:</v>
      </c>
      <c r="D2669" s="3" t="str">
        <f>IFERROR(__xludf.DUMMYFUNCTION("GOOGLETRANSLATE(B2669,""en"",""hy"")"),"Աստված Հեսուին խոստացավ Քանանի երկիրը։")</f>
        <v>Աստված Հեսուին խոստացավ Քանանի երկիրը։</v>
      </c>
    </row>
    <row r="2670">
      <c r="A2670" s="1" t="s">
        <v>5275</v>
      </c>
      <c r="B2670" s="2" t="s">
        <v>5276</v>
      </c>
      <c r="C2670" s="3" t="str">
        <f>IFERROR(__xludf.DUMMYFUNCTION("GOOGLETRANSLATE(A2670,""en"",""hy"")"),"ով է ընտանիքի տղաների ձայնը Մեգ Գրիֆինի?")</f>
        <v>ով է ընտանիքի տղաների ձայնը Մեգ Գրիֆինի?</v>
      </c>
      <c r="D2670" s="3" t="str">
        <f>IFERROR(__xludf.DUMMYFUNCTION("GOOGLETRANSLATE(B2670,""en"",""hy"")"),"Family Guy-ում Մեգ Գրիֆինի ձայնը Միլա Կունիսն է։")</f>
        <v>Family Guy-ում Մեգ Գրիֆինի ձայնը Միլա Կունիսն է։</v>
      </c>
    </row>
    <row r="2671">
      <c r="A2671" s="1" t="s">
        <v>5277</v>
      </c>
      <c r="B2671" s="2" t="s">
        <v>5278</v>
      </c>
      <c r="C2671" s="3" t="str">
        <f>IFERROR(__xludf.DUMMYFUNCTION("GOOGLETRANSLATE(A2671,""en"",""hy"")"),"ինչ անել Նոր Օռլեանում երեխաների հետ.")</f>
        <v>ինչ անել Նոր Օռլեանում երեխաների հետ.</v>
      </c>
      <c r="D2671" s="3" t="str">
        <f>IFERROR(__xludf.DUMMYFUNCTION("GOOGLETRANSLATE(B2671,""en"",""hy"")"),"Նոր Օռլեանում կան բազմաթիվ գործողություններ և տեսարժան վայրեր, որոնք հարմար են երեխաների համար, օրինակ՝ այցելել Օդուբոն կենդանաբանական այգի, ուսումնասիրել Լուիզիանայի մանկական թանգարանը, զբոսնել Սուրբ Չարլզ պողոտայի տրամվայով, վայելել Ամերիկայի Օդուբոն ակ"&amp;"վարիումը և զգալ Mardi Gras World.")</f>
        <v>Նոր Օռլեանում կան բազմաթիվ գործողություններ և տեսարժան վայրեր, որոնք հարմար են երեխաների համար, օրինակ՝ այցելել Օդուբոն կենդանաբանական այգի, ուսումնասիրել Լուիզիանայի մանկական թանգարանը, զբոսնել Սուրբ Չարլզ պողոտայի տրամվայով, վայելել Ամերիկայի Օդուբոն ակվարիումը և զգալ Mardi Gras World.</v>
      </c>
    </row>
    <row r="2672">
      <c r="A2672" s="1" t="s">
        <v>5279</v>
      </c>
      <c r="B2672" s="2" t="s">
        <v>5280</v>
      </c>
      <c r="C2672" s="3" t="str">
        <f>IFERROR(__xludf.DUMMYFUNCTION("GOOGLETRANSLATE(A2672,""en"",""hy"")"),"Ո՞ր երկրներն է ղեկավարել Եղիսաբեթ I թագուհին:")</f>
        <v>Ո՞ր երկրներն է ղեկավարել Եղիսաբեթ I թագուհին:</v>
      </c>
      <c r="D2672" s="3" t="str">
        <f>IFERROR(__xludf.DUMMYFUNCTION("GOOGLETRANSLATE(B2672,""en"",""hy"")"),"Եղիսաբեթ I թագուհին իշխում էր Անգլիայի և Իռլանդիայի վրա:")</f>
        <v>Եղիսաբեթ I թագուհին իշխում էր Անգլիայի և Իռլանդիայի վրա:</v>
      </c>
    </row>
    <row r="2673">
      <c r="A2673" s="1" t="s">
        <v>5281</v>
      </c>
      <c r="B2673" s="2" t="s">
        <v>5282</v>
      </c>
      <c r="C2673" s="3" t="str">
        <f>IFERROR(__xludf.DUMMYFUNCTION("GOOGLETRANSLATE(A2673,""en"",""hy"")"),"ո՞ր ալիքում է mtv vma մրցանակաբաշխությունը:")</f>
        <v>ո՞ր ալիքում է mtv vma մրցանակաբաշխությունը:</v>
      </c>
      <c r="D2673" s="3" t="str">
        <f>IFERROR(__xludf.DUMMYFUNCTION("GOOGLETRANSLATE(B2673,""en"",""hy"")"),"MTV VMA մրցանակաբաշխությունը սովորաբար հեռարձակվում է MTV ալիքով:")</f>
        <v>MTV VMA մրցանակաբաշխությունը սովորաբար հեռարձակվում է MTV ալիքով:</v>
      </c>
    </row>
    <row r="2674">
      <c r="A2674" s="1" t="s">
        <v>5283</v>
      </c>
      <c r="B2674" s="2" t="s">
        <v>1757</v>
      </c>
      <c r="C2674" s="3" t="str">
        <f>IFERROR(__xludf.DUMMYFUNCTION("GOOGLETRANSLATE(A2674,""en"",""hy"")"),"ինչ արժույթ է օգտագործում Ջամայկան:")</f>
        <v>ինչ արժույթ է օգտագործում Ջամայկան:</v>
      </c>
      <c r="D2674" s="3" t="str">
        <f>IFERROR(__xludf.DUMMYFUNCTION("GOOGLETRANSLATE(B2674,""en"",""hy"")"),"Ջամայկայում օգտագործվող արժույթը Ջամայկայի դոլարն է։")</f>
        <v>Ջամայկայում օգտագործվող արժույթը Ջամայկայի դոլարն է։</v>
      </c>
    </row>
    <row r="2675">
      <c r="A2675" s="1" t="s">
        <v>5284</v>
      </c>
      <c r="B2675" s="2" t="s">
        <v>3120</v>
      </c>
      <c r="C2675" s="3" t="str">
        <f>IFERROR(__xludf.DUMMYFUNCTION("GOOGLETRANSLATE(A2675,""en"",""hy"")"),"ինչպիսի՞ կառավարություն ունի Նիգերիան:")</f>
        <v>ինչպիսի՞ կառավարություն ունի Նիգերիան:</v>
      </c>
      <c r="D2675" s="3" t="str">
        <f>IFERROR(__xludf.DUMMYFUNCTION("GOOGLETRANSLATE(B2675,""en"",""hy"")"),"Նիգերիան ունի դաշնային նախագահական կառավարման համակարգ։")</f>
        <v>Նիգերիան ունի դաշնային նախագահական կառավարման համակարգ։</v>
      </c>
    </row>
    <row r="2676">
      <c r="A2676" s="1" t="s">
        <v>5285</v>
      </c>
      <c r="B2676" s="2" t="s">
        <v>5286</v>
      </c>
      <c r="C2676" s="3" t="str">
        <f>IFERROR(__xludf.DUMMYFUNCTION("GOOGLETRANSLATE(A2676,""en"",""hy"")"),"որտեղից է usc-ը")</f>
        <v>որտեղից է usc-ը</v>
      </c>
      <c r="D2676" s="3" t="str">
        <f>IFERROR(__xludf.DUMMYFUNCTION("GOOGLETRANSLATE(B2676,""en"",""hy"")"),"USC, Հարավային Կալիֆորնիայի համալսարան, գտնվում է Լոս Անջելեսում, Կալիֆորնիա, Միացյալ Նահանգներ:")</f>
        <v>USC, Հարավային Կալիֆորնիայի համալսարան, գտնվում է Լոս Անջելեսում, Կալիֆորնիա, Միացյալ Նահանգներ:</v>
      </c>
    </row>
    <row r="2677">
      <c r="A2677" s="1" t="s">
        <v>5287</v>
      </c>
      <c r="B2677" s="2" t="s">
        <v>5288</v>
      </c>
      <c r="C2677" s="3" t="str">
        <f>IFERROR(__xludf.DUMMYFUNCTION("GOOGLETRANSLATE(A2677,""en"",""hy"")"),"Ո՞ր երկրում է ծնվել Ուիլյամ Շեքսպիրը:")</f>
        <v>Ո՞ր երկրում է ծնվել Ուիլյամ Շեքսպիրը:</v>
      </c>
      <c r="D2677" s="3" t="str">
        <f>IFERROR(__xludf.DUMMYFUNCTION("GOOGLETRANSLATE(B2677,""en"",""hy"")"),"Ուիլյամ Շեքսպիրը ծնվել է Անգլիայում։")</f>
        <v>Ուիլյամ Շեքսպիրը ծնվել է Անգլիայում։</v>
      </c>
    </row>
    <row r="2678">
      <c r="A2678" s="1" t="s">
        <v>5289</v>
      </c>
      <c r="B2678" s="2" t="s">
        <v>5290</v>
      </c>
      <c r="C2678" s="3" t="str">
        <f>IFERROR(__xludf.DUMMYFUNCTION("GOOGLETRANSLATE(A2678,""en"",""hy"")"),"որտեղ են նրանք աճեցնում բրինձ Իտալիայում:")</f>
        <v>որտեղ են նրանք աճեցնում բրինձ Իտալիայում:</v>
      </c>
      <c r="D2678" s="3" t="str">
        <f>IFERROR(__xludf.DUMMYFUNCTION("GOOGLETRANSLATE(B2678,""en"",""hy"")"),"Բրինձն աճեցվում է Իտալիայի հյուսիսային շրջաններում, մասնավորապես՝ Լոմբարդիայի, Պիեմոնտի և Վենետոյի շրջաններում։")</f>
        <v>Բրինձն աճեցվում է Իտալիայի հյուսիսային շրջաններում, մասնավորապես՝ Լոմբարդիայի, Պիեմոնտի և Վենետոյի շրջաններում։</v>
      </c>
    </row>
    <row r="2679">
      <c r="A2679" s="1" t="s">
        <v>5291</v>
      </c>
      <c r="B2679" s="2" t="s">
        <v>5292</v>
      </c>
      <c r="C2679" s="3" t="str">
        <f>IFERROR(__xludf.DUMMYFUNCTION("GOOGLETRANSLATE(A2679,""en"",""hy"")"),"որտեղ է Մեծ Բրիտանիան աշխարհի քարտեզի վրա:")</f>
        <v>որտեղ է Մեծ Բրիտանիան աշխարհի քարտեզի վրա:</v>
      </c>
      <c r="D2679" s="3" t="str">
        <f>IFERROR(__xludf.DUMMYFUNCTION("GOOGLETRANSLATE(B2679,""en"",""hy"")"),"Մեծ Բրիտանիան գտնվում է հյուսիսարևմտյան Եվրոպայում։")</f>
        <v>Մեծ Բրիտանիան գտնվում է հյուսիսարևմտյան Եվրոպայում։</v>
      </c>
    </row>
    <row r="2680">
      <c r="A2680" s="1" t="s">
        <v>5293</v>
      </c>
      <c r="B2680" s="2" t="s">
        <v>5294</v>
      </c>
      <c r="C2680" s="3" t="str">
        <f>IFERROR(__xludf.DUMMYFUNCTION("GOOGLETRANSLATE(A2680,""en"",""hy"")"),"ինչ տեսնել Դալաս Թքսում:")</f>
        <v>ինչ տեսնել Դալաս Թքսում:</v>
      </c>
      <c r="D2680" s="3" t="str">
        <f>IFERROR(__xludf.DUMMYFUNCTION("GOOGLETRANSLATE(B2680,""en"",""hy"")"),"Տեխաս նահանգի Դալլասում կարող եք այցելել այնպիսի տեսարժան վայրեր, ինչպիսիք են Վեցերորդ հարկի թանգարանը Դիլի Պլազայում, Դալլասի արվեստի թանգարանը, Դալլասի համաշխարհային ակվարիումը, Դալլասի դենդրոպարկը և բուսաբանական այգին և Դալլասի կենդանաբանական այգին:")</f>
        <v>Տեխաս նահանգի Դալլասում կարող եք այցելել այնպիսի տեսարժան վայրեր, ինչպիսիք են Վեցերորդ հարկի թանգարանը Դիլի Պլազայում, Դալլասի արվեստի թանգարանը, Դալլասի համաշխարհային ակվարիումը, Դալլասի դենդրոպարկը և բուսաբանական այգին և Դալլասի կենդանաբանական այգին:</v>
      </c>
    </row>
    <row r="2681">
      <c r="A2681" s="1" t="s">
        <v>5295</v>
      </c>
      <c r="B2681" s="2" t="s">
        <v>5296</v>
      </c>
      <c r="C2681" s="3" t="str">
        <f>IFERROR(__xludf.DUMMYFUNCTION("GOOGLETRANSLATE(A2681,""en"",""hy"")"),"ո՞րն է իմ ժամային գոտին Կալիֆորնիայում:")</f>
        <v>ո՞րն է իմ ժամային գոտին Կալիֆորնիայում:</v>
      </c>
      <c r="D2681" s="3" t="str">
        <f>IFERROR(__xludf.DUMMYFUNCTION("GOOGLETRANSLATE(B2681,""en"",""hy"")"),"Կալիֆորնիայի ժամային գոտին Խաղաղօվկիանոսյան ստանդարտ ժամանակն է (PST):")</f>
        <v>Կալիֆորնիայի ժամային գոտին Խաղաղօվկիանոսյան ստանդարտ ժամանակն է (PST):</v>
      </c>
    </row>
    <row r="2682">
      <c r="A2682" s="1" t="s">
        <v>5297</v>
      </c>
      <c r="B2682" s="2" t="s">
        <v>5298</v>
      </c>
      <c r="C2682" s="3" t="str">
        <f>IFERROR(__xludf.DUMMYFUNCTION("GOOGLETRANSLATE(A2682,""en"",""hy"")"),"ինչո՞վ է հայտնի նախագահ Աբրահամ Լինքոլնը:")</f>
        <v>ինչո՞վ է հայտնի նախագահ Աբրահամ Լինքոլնը:</v>
      </c>
      <c r="D2682" s="3" t="str">
        <f>IFERROR(__xludf.DUMMYFUNCTION("GOOGLETRANSLATE(B2682,""en"",""hy"")"),"Նախագահ Աբրահամ Լինքոլնը հայտնի է նրանով, որ առաջնորդեց Միացյալ Նահանգները քաղաքացիական պատերազմի միջով և թողարկեց Ազատման հռչակագիրը, որն օգնեց վերջ տալ ստրկությանը:")</f>
        <v>Նախագահ Աբրահամ Լինքոլնը հայտնի է նրանով, որ առաջնորդեց Միացյալ Նահանգները քաղաքացիական պատերազմի միջով և թողարկեց Ազատման հռչակագիրը, որն օգնեց վերջ տալ ստրկությանը:</v>
      </c>
    </row>
    <row r="2683">
      <c r="A2683" s="1" t="s">
        <v>5299</v>
      </c>
      <c r="B2683" s="2" t="s">
        <v>5300</v>
      </c>
      <c r="C2683" s="3" t="str">
        <f>IFERROR(__xludf.DUMMYFUNCTION("GOOGLETRANSLATE(A2683,""en"",""hy"")"),"ո՞ւմ հետ է Քրիստինա Յանգի ամուսինը դավաճանել նրան.")</f>
        <v>ո՞ւմ հետ է Քրիստինա Յանգի ամուսինը դավաճանել նրան.</v>
      </c>
      <c r="D2683" s="3" t="str">
        <f>IFERROR(__xludf.DUMMYFUNCTION("GOOGLETRANSLATE(B2683,""en"",""hy"")"),"Քրիստինա Յանգի ամուսինը դավաճանել է նրան Մերեդիտ Գրեյի հետ։")</f>
        <v>Քրիստինա Յանգի ամուսինը դավաճանել է նրան Մերեդիտ Գրեյի հետ։</v>
      </c>
    </row>
    <row r="2684">
      <c r="A2684" s="1" t="s">
        <v>5301</v>
      </c>
      <c r="B2684" s="2" t="s">
        <v>5302</v>
      </c>
      <c r="C2684" s="3" t="str">
        <f>IFERROR(__xludf.DUMMYFUNCTION("GOOGLETRANSLATE(A2684,""en"",""hy"")"),"Ո՞վ է խաղում Ջեմեյն Կլեմենտը ստոր իմ մեջ:")</f>
        <v>Ո՞վ է խաղում Ջեմեյն Կլեմենտը ստոր իմ մեջ:</v>
      </c>
      <c r="D2684" s="3" t="str">
        <f>IFERROR(__xludf.DUMMYFUNCTION("GOOGLETRANSLATE(B2684,""en"",""hy"")"),"Ջեմեյն Կլեմենտը խաղում է Ջերիի դերը «Արհամարհելի ես» ֆիլմում։")</f>
        <v>Ջեմեյն Կլեմենտը խաղում է Ջերիի դերը «Արհամարհելի ես» ֆիլմում։</v>
      </c>
    </row>
    <row r="2685">
      <c r="A2685" s="1" t="s">
        <v>5303</v>
      </c>
      <c r="B2685" s="2" t="s">
        <v>5304</v>
      </c>
      <c r="C2685" s="3" t="str">
        <f>IFERROR(__xludf.DUMMYFUNCTION("GOOGLETRANSLATE(A2685,""en"",""hy"")"),"Ո՞ր տարին է եղել Վիետնամի պատերազմը")</f>
        <v>Ո՞ր տարին է եղել Վիետնամի պատերազմը</v>
      </c>
      <c r="D2685" s="3" t="str">
        <f>IFERROR(__xludf.DUMMYFUNCTION("GOOGLETRANSLATE(B2685,""en"",""hy"")"),"Վիետնամի պատերազմը տեղի է ունեցել 1955-1975 թվականներին։")</f>
        <v>Վիետնամի պատերազմը տեղի է ունեցել 1955-1975 թվականներին։</v>
      </c>
    </row>
    <row r="2686">
      <c r="A2686" s="1" t="s">
        <v>5305</v>
      </c>
      <c r="B2686" s="2" t="s">
        <v>5306</v>
      </c>
      <c r="C2686" s="3" t="str">
        <f>IFERROR(__xludf.DUMMYFUNCTION("GOOGLETRANSLATE(A2686,""en"",""hy"")"),"որտեղ են խաղում բրոնկոները")</f>
        <v>որտեղ են խաղում բրոնկոները</v>
      </c>
      <c r="D2686" s="3" t="str">
        <f>IFERROR(__xludf.DUMMYFUNCTION("GOOGLETRANSLATE(B2686,""en"",""hy"")"),"Բրոնկոները խաղում են Կոլորադոյի Դենվեր քաղաքում գտնվող Empower Field-ում, Mile High-ում:")</f>
        <v>Բրոնկոները խաղում են Կոլորադոյի Դենվեր քաղաքում գտնվող Empower Field-ում, Mile High-ում:</v>
      </c>
    </row>
    <row r="2687">
      <c r="A2687" s="1" t="s">
        <v>5307</v>
      </c>
      <c r="B2687" s="2" t="s">
        <v>5308</v>
      </c>
      <c r="C2687" s="3" t="str">
        <f>IFERROR(__xludf.DUMMYFUNCTION("GOOGLETRANSLATE(A2687,""en"",""hy"")"),"ո՞վ է ոգեշնչել Անտոնիո Վիվալդիին:")</f>
        <v>ո՞վ է ոգեշնչել Անտոնիո Վիվալդիին:</v>
      </c>
      <c r="D2687" s="3" t="str">
        <f>IFERROR(__xludf.DUMMYFUNCTION("GOOGLETRANSLATE(B2687,""en"",""hy"")"),"Արկանջելո Կորելի")</f>
        <v>Արկանջելո Կորելի</v>
      </c>
    </row>
    <row r="2688">
      <c r="A2688" s="1" t="s">
        <v>5309</v>
      </c>
      <c r="B2688" s="2" t="s">
        <v>5310</v>
      </c>
      <c r="C2688" s="3" t="str">
        <f>IFERROR(__xludf.DUMMYFUNCTION("GOOGLETRANSLATE(A2688,""en"",""hy"")"),"Ինչ տեսակի արժույթ է օգտագործվում Պուերտո Ռիկոյում:")</f>
        <v>Ինչ տեսակի արժույթ է օգտագործվում Պուերտո Ռիկոյում:</v>
      </c>
      <c r="D2688" s="3" t="str">
        <f>IFERROR(__xludf.DUMMYFUNCTION("GOOGLETRANSLATE(B2688,""en"",""hy"")"),"Պուերտո Ռիկոյում օգտագործվող արժույթը ԱՄՆ դոլարն է։")</f>
        <v>Պուերտո Ռիկոյում օգտագործվող արժույթը ԱՄՆ դոլարն է։</v>
      </c>
    </row>
    <row r="2689">
      <c r="A2689" s="1" t="s">
        <v>5311</v>
      </c>
      <c r="B2689" s="2" t="s">
        <v>5312</v>
      </c>
      <c r="C2689" s="3" t="str">
        <f>IFERROR(__xludf.DUMMYFUNCTION("GOOGLETRANSLATE(A2689,""en"",""hy"")"),"ինչով է հայտնի Ջեքի Քենեդին")</f>
        <v>ինչով է հայտնի Ջեքի Քենեդին</v>
      </c>
      <c r="D2689" s="3" t="str">
        <f>IFERROR(__xludf.DUMMYFUNCTION("GOOGLETRANSLATE(B2689,""en"",""hy"")"),"Ջեքի Քենեդին հայտնի է նրանով, որ եղել է Միացյալ Նահանգների առաջին տիկինը 1961-1963 թվականներին՝ ամուսնու՝ Ջոն Քենեդու նախագահության օրոք։")</f>
        <v>Ջեքի Քենեդին հայտնի է նրանով, որ եղել է Միացյալ Նահանգների առաջին տիկինը 1961-1963 թվականներին՝ ամուսնու՝ Ջոն Քենեդու նախագահության օրոք։</v>
      </c>
    </row>
    <row r="2690">
      <c r="A2690" s="1" t="s">
        <v>5313</v>
      </c>
      <c r="B2690" s="2" t="s">
        <v>5314</v>
      </c>
      <c r="C2690" s="3" t="str">
        <f>IFERROR(__xludf.DUMMYFUNCTION("GOOGLETRANSLATE(A2690,""en"",""hy"")"),"ի՞նչ արժույթ է օգտագործվում Ֆրանսիայում եվրոյից առաջ:")</f>
        <v>ի՞նչ արժույթ է օգտագործվում Ֆրանսիայում եվրոյից առաջ:</v>
      </c>
      <c r="D2690" s="3" t="str">
        <f>IFERROR(__xludf.DUMMYFUNCTION("GOOGLETRANSLATE(B2690,""en"",""hy"")"),"Ֆրանսիական ֆրանկ.")</f>
        <v>Ֆրանսիական ֆրանկ.</v>
      </c>
    </row>
    <row r="2691">
      <c r="A2691" s="1" t="s">
        <v>5315</v>
      </c>
      <c r="B2691" s="2" t="s">
        <v>5316</v>
      </c>
      <c r="C2691" s="3" t="str">
        <f>IFERROR(__xludf.DUMMYFUNCTION("GOOGLETRANSLATE(A2691,""en"",""hy"")"),"ով է սկսել Մակդոնալդսը:")</f>
        <v>ով է սկսել Մակդոնալդսը:</v>
      </c>
      <c r="D2691" s="3" t="str">
        <f>IFERROR(__xludf.DUMMYFUNCTION("GOOGLETRANSLATE(B2691,""en"",""hy"")"),"Մակդոնալդ եղբայրները՝ Ռիչարդը և Մորիսը, հիմնեցին McDonald's-ը։")</f>
        <v>Մակդոնալդ եղբայրները՝ Ռիչարդը և Մորիսը, հիմնեցին McDonald's-ը։</v>
      </c>
    </row>
    <row r="2692">
      <c r="A2692" s="1" t="s">
        <v>5317</v>
      </c>
      <c r="B2692" s="2" t="s">
        <v>5318</v>
      </c>
      <c r="C2692" s="3" t="str">
        <f>IFERROR(__xludf.DUMMYFUNCTION("GOOGLETRANSLATE(A2692,""en"",""hy"")"),"Ո՞ր հիմնական հողային ձևերն են գտնվում Եգիպտոսում:")</f>
        <v>Ո՞ր հիմնական հողային ձևերն են գտնվում Եգիպտոսում:</v>
      </c>
      <c r="D2692" s="3" t="str">
        <f>IFERROR(__xludf.DUMMYFUNCTION("GOOGLETRANSLATE(B2692,""en"",""hy"")"),"Եգիպտոսի հիմնական հողային ձևերը ներառում են Նեղոս գետը, Նեղոսի դելտան, Արևմտյան անապատը և Սինայի թերակղզին:")</f>
        <v>Եգիպտոսի հիմնական հողային ձևերը ներառում են Նեղոս գետը, Նեղոսի դելտան, Արևմտյան անապատը և Սինայի թերակղզին:</v>
      </c>
    </row>
    <row r="2693">
      <c r="A2693" s="1" t="s">
        <v>5319</v>
      </c>
      <c r="B2693" s="2" t="s">
        <v>5320</v>
      </c>
      <c r="C2693" s="3" t="str">
        <f>IFERROR(__xludf.DUMMYFUNCTION("GOOGLETRANSLATE(A2693,""en"",""hy"")"),"ով խաղաց nba-ի եզրափակիչ 2010 թ.")</f>
        <v>ով խաղաց nba-ի եզրափակիչ 2010 թ.</v>
      </c>
      <c r="D2693" s="3" t="str">
        <f>IFERROR(__xludf.DUMMYFUNCTION("GOOGLETRANSLATE(B2693,""en"",""hy"")"),"Լոս Անջելես Լեյքերսը և Բոստոն Սելթիքսը խաղացել են NBA-ի եզրափակիչներում 2010 թվականին։")</f>
        <v>Լոս Անջելես Լեյքերսը և Բոստոն Սելթիքսը խաղացել են NBA-ի եզրափակիչներում 2010 թվականին։</v>
      </c>
    </row>
    <row r="2694">
      <c r="A2694" s="1" t="s">
        <v>5321</v>
      </c>
      <c r="B2694" s="2" t="s">
        <v>5322</v>
      </c>
      <c r="C2694" s="3" t="str">
        <f>IFERROR(__xludf.DUMMYFUNCTION("GOOGLETRANSLATE(A2694,""en"",""hy"")"),"ինչ տեսք ունի սատանան երիտասարդ Գուդմեն Բրաունի մեջ:")</f>
        <v>ինչ տեսք ունի սատանան երիտասարդ Գուդմեն Բրաունի մեջ:</v>
      </c>
      <c r="D2694" s="3" t="str">
        <f>IFERROR(__xludf.DUMMYFUNCTION("GOOGLETRANSLATE(B2694,""en"",""hy"")"),"«Երիտասարդ Գուդմեն Բրաուն»-ում սատանան նկարագրվում է որպես մուգ երանգով և տարեց տղամարդու նմանվող առեղծվածային կերպար։")</f>
        <v>«Երիտասարդ Գուդմեն Բրաուն»-ում սատանան նկարագրվում է որպես մուգ երանգով և տարեց տղամարդու նմանվող առեղծվածային կերպար։</v>
      </c>
    </row>
    <row r="2695">
      <c r="A2695" s="1" t="s">
        <v>5323</v>
      </c>
      <c r="B2695" s="2" t="s">
        <v>5324</v>
      </c>
      <c r="C2695" s="3" t="str">
        <f>IFERROR(__xludf.DUMMYFUNCTION("GOOGLETRANSLATE(A2695,""en"",""hy"")"),"Ո՞ր նահանգի նահանգապետն էր Ռոնալդ Ռեյգանը.")</f>
        <v>Ո՞ր նահանգի նահանգապետն էր Ռոնալդ Ռեյգանը.</v>
      </c>
      <c r="D2695" s="3" t="str">
        <f>IFERROR(__xludf.DUMMYFUNCTION("GOOGLETRANSLATE(B2695,""en"",""hy"")"),"Կալիֆորնիա")</f>
        <v>Կալիֆորնիա</v>
      </c>
    </row>
    <row r="2696">
      <c r="A2696" s="1" t="s">
        <v>5325</v>
      </c>
      <c r="B2696" s="2" t="s">
        <v>5326</v>
      </c>
      <c r="C2696" s="3" t="str">
        <f>IFERROR(__xludf.DUMMYFUNCTION("GOOGLETRANSLATE(A2696,""en"",""hy"")"),"ո՞րն է Միացյալ Նահանգներում ամենաշատ կիրառվող կրոնը:")</f>
        <v>ո՞րն է Միացյալ Նահանգներում ամենաշատ կիրառվող կրոնը:</v>
      </c>
      <c r="D2696" s="3" t="str">
        <f>IFERROR(__xludf.DUMMYFUNCTION("GOOGLETRANSLATE(B2696,""en"",""hy"")"),"Քրիստոնեություն")</f>
        <v>Քրիստոնեություն</v>
      </c>
    </row>
    <row r="2697">
      <c r="A2697" s="1" t="s">
        <v>5327</v>
      </c>
      <c r="B2697" s="2" t="s">
        <v>5328</v>
      </c>
      <c r="C2697" s="3" t="str">
        <f>IFERROR(__xludf.DUMMYFUNCTION("GOOGLETRANSLATE(A2697,""en"",""hy"")"),"որտեղ է արտադրվել իմ honda մոտոցիկլետը:")</f>
        <v>որտեղ է արտադրվել իմ honda մոտոցիկլետը:</v>
      </c>
      <c r="D2697" s="3" t="str">
        <f>IFERROR(__xludf.DUMMYFUNCTION("GOOGLETRANSLATE(B2697,""en"",""hy"")"),"Ձեր հարցի պատասխանն անհայտ է, քանի որ այն կարող է տարբեր լինել՝ կախված Honda մոտոցիկլետի կոնկրետ մոդելից և տարուց: Honda-ն արտադրական գործարաններ ունի աշխարհի տարբեր երկրներում, այդ թվում՝ Ճապոնիայում, Թաիլանդում, Հնդկաստանում, Չինաստանում և ԱՄՆ-ում:")</f>
        <v>Ձեր հարցի պատասխանն անհայտ է, քանի որ այն կարող է տարբեր լինել՝ կախված Honda մոտոցիկլետի կոնկրետ մոդելից և տարուց: Honda-ն արտադրական գործարաններ ունի աշխարհի տարբեր երկրներում, այդ թվում՝ Ճապոնիայում, Թաիլանդում, Հնդկաստանում, Չինաստանում և ԱՄՆ-ում:</v>
      </c>
    </row>
    <row r="2698">
      <c r="A2698" s="1" t="s">
        <v>5329</v>
      </c>
      <c r="B2698" s="2" t="s">
        <v>5330</v>
      </c>
      <c r="C2698" s="3" t="str">
        <f>IFERROR(__xludf.DUMMYFUNCTION("GOOGLETRANSLATE(A2698,""en"",""hy"")"),"Ի՞նչ հայտնաբերեց Իսահակ Նյուտոնը որպես մաթեմատիկոս:")</f>
        <v>Ի՞նչ հայտնաբերեց Իսահակ Նյուտոնը որպես մաթեմատիկոս:</v>
      </c>
      <c r="D2698" s="3" t="str">
        <f>IFERROR(__xludf.DUMMYFUNCTION("GOOGLETRANSLATE(B2698,""en"",""hy"")"),"Իսահակ Նյուտոնը որպես մաթեմատիկոս հայտնաբերեց հաշվարկը:")</f>
        <v>Իսահակ Նյուտոնը որպես մաթեմատիկոս հայտնաբերեց հաշվարկը:</v>
      </c>
    </row>
    <row r="2699">
      <c r="A2699" s="1" t="s">
        <v>5331</v>
      </c>
      <c r="B2699" s="2" t="s">
        <v>5332</v>
      </c>
      <c r="C2699" s="3" t="str">
        <f>IFERROR(__xludf.DUMMYFUNCTION("GOOGLETRANSLATE(A2699,""en"",""hy"")"),"ինչ է Սուրբ Ջեյմսի պալատը:")</f>
        <v>ինչ է Սուրբ Ջեյմսի պալատը:</v>
      </c>
      <c r="D2699" s="3" t="str">
        <f>IFERROR(__xludf.DUMMYFUNCTION("GOOGLETRANSLATE(B2699,""en"",""hy"")"),"Սուրբ Ջեյմս պալատը թագավորական նստավայր է Լոնդոնում, Անգլիա:")</f>
        <v>Սուրբ Ջեյմս պալատը թագավորական նստավայր է Լոնդոնում, Անգլիա:</v>
      </c>
    </row>
    <row r="2700">
      <c r="A2700" s="1" t="s">
        <v>5333</v>
      </c>
      <c r="B2700" s="2" t="s">
        <v>5334</v>
      </c>
      <c r="C2700" s="3" t="str">
        <f>IFERROR(__xludf.DUMMYFUNCTION("GOOGLETRANSLATE(A2700,""en"",""hy"")"),"ո՞ր օդանավակայան թռչել մաքուր ջրային Ֆլորիդա հասնելու համար:")</f>
        <v>ո՞ր օդանավակայան թռչել մաքուր ջրային Ֆլորիդա հասնելու համար:</v>
      </c>
      <c r="D2700" s="3" t="str">
        <f>IFERROR(__xludf.DUMMYFUNCTION("GOOGLETRANSLATE(B2700,""en"",""hy"")"),"Ֆլորիդայի Clearwater-ին մոտակա օդանավակայանը Սանկտ Պետերբուրգ-Քլիրուոթեր միջազգային օդանավակայանն է (PIE):")</f>
        <v>Ֆլորիդայի Clearwater-ին մոտակա օդանավակայանը Սանկտ Պետերբուրգ-Քլիրուոթեր միջազգային օդանավակայանն է (PIE):</v>
      </c>
    </row>
    <row r="2701">
      <c r="A2701" s="1" t="s">
        <v>5335</v>
      </c>
      <c r="B2701" s="2" t="s">
        <v>5336</v>
      </c>
      <c r="C2701" s="3" t="str">
        <f>IFERROR(__xludf.DUMMYFUNCTION("GOOGLETRANSLATE(A2701,""en"",""hy"")"),"ով է ամուսնացել Բրիթնի Սփիրսը")</f>
        <v>ով է ամուսնացել Բրիթնի Սփիրսը</v>
      </c>
      <c r="D2701" s="3" t="str">
        <f>IFERROR(__xludf.DUMMYFUNCTION("GOOGLETRANSLATE(B2701,""en"",""hy"")"),"Բրիթնի Սփիրսը երկու անգամ ամուսնացած է եղել. Նրա առաջին ամուսինը Ջեյսոն Ալեն Ալեքսանդրն էր, իսկ երկրորդը՝ Քևին Ֆեդերլինը։")</f>
        <v>Բրիթնի Սփիրսը երկու անգամ ամուսնացած է եղել. Նրա առաջին ամուսինը Ջեյսոն Ալեն Ալեքսանդրն էր, իսկ երկրորդը՝ Քևին Ֆեդերլինը։</v>
      </c>
    </row>
    <row r="2702">
      <c r="A2702" s="1" t="s">
        <v>5337</v>
      </c>
      <c r="B2702" s="2" t="s">
        <v>5338</v>
      </c>
      <c r="C2702" s="3" t="str">
        <f>IFERROR(__xludf.DUMMYFUNCTION("GOOGLETRANSLATE(A2702,""en"",""hy"")"),"ինչ արժույթ է օգտագործվում Հունգարիայում:")</f>
        <v>ինչ արժույթ է օգտագործվում Հունգարիայում:</v>
      </c>
      <c r="D2702" s="3" t="str">
        <f>IFERROR(__xludf.DUMMYFUNCTION("GOOGLETRANSLATE(B2702,""en"",""hy"")"),"Հունգարիայում օգտագործվող արժույթը հունգարական ֆորինտն է (HUF):")</f>
        <v>Հունգարիայում օգտագործվող արժույթը հունգարական ֆորինտն է (HUF):</v>
      </c>
    </row>
    <row r="2703">
      <c r="A2703" s="1" t="s">
        <v>5339</v>
      </c>
      <c r="B2703" s="2" t="s">
        <v>5340</v>
      </c>
      <c r="C2703" s="3" t="str">
        <f>IFERROR(__xludf.DUMMYFUNCTION("GOOGLETRANSLATE(A2703,""en"",""hy"")"),"ինչ արժույթ են նրանք օգտագործում Քաթարում:")</f>
        <v>ինչ արժույթ են նրանք օգտագործում Քաթարում:</v>
      </c>
      <c r="D2703" s="3" t="str">
        <f>IFERROR(__xludf.DUMMYFUNCTION("GOOGLETRANSLATE(B2703,""en"",""hy"")"),"Կատարում օգտագործվող արժույթը Քաթարի ռիալն է։")</f>
        <v>Կատարում օգտագործվող արժույթը Քաթարի ռիալն է։</v>
      </c>
    </row>
    <row r="2704">
      <c r="A2704" s="1" t="s">
        <v>5341</v>
      </c>
      <c r="B2704" s="2" t="s">
        <v>5342</v>
      </c>
      <c r="C2704" s="3" t="str">
        <f>IFERROR(__xludf.DUMMYFUNCTION("GOOGLETRANSLATE(A2704,""en"",""hy"")"),"Ի՞նչ զվարճալի բաներ կան Դենվեր Կոլորադոյում:")</f>
        <v>Ի՞նչ զվարճալի բաներ կան Դենվեր Կոլորադոյում:</v>
      </c>
      <c r="D2704" s="3" t="str">
        <f>IFERROR(__xludf.DUMMYFUNCTION("GOOGLETRANSLATE(B2704,""en"",""hy"")"),"Կոլորադոյի Դենվեր քաղաքում կարելի է անել որոշ զվարճալի բաներ՝ այցելելով Red Rocks Park և Amphitheatre, ուսումնասիրել Դենվերի բուսաբանական այգիները, ստուգել Դենվերի կենդանաբանական այգին և քայլել Rocky Mountain ազգային պարկում:")</f>
        <v>Կոլորադոյի Դենվեր քաղաքում կարելի է անել որոշ զվարճալի բաներ՝ այցելելով Red Rocks Park և Amphitheatre, ուսումնասիրել Դենվերի բուսաբանական այգիները, ստուգել Դենվերի կենդանաբանական այգին և քայլել Rocky Mountain ազգային պարկում:</v>
      </c>
    </row>
    <row r="2705">
      <c r="A2705" s="1" t="s">
        <v>5343</v>
      </c>
      <c r="B2705" s="2" t="s">
        <v>5344</v>
      </c>
      <c r="C2705" s="3" t="str">
        <f>IFERROR(__xludf.DUMMYFUNCTION("GOOGLETRANSLATE(A2705,""en"",""hy"")"),"ինչի՞ց է մահացել Թորոն")</f>
        <v>ինչի՞ց է մահացել Թորոն</v>
      </c>
      <c r="D2705" s="3" t="str">
        <f>IFERROR(__xludf.DUMMYFUNCTION("GOOGLETRANSLATE(B2705,""en"",""hy"")"),"Թորոն մահացել է տուբերկուլյոզից։")</f>
        <v>Թորոն մահացել է տուբերկուլյոզից։</v>
      </c>
    </row>
    <row r="2706">
      <c r="A2706" s="1" t="s">
        <v>5345</v>
      </c>
      <c r="B2706" s="2" t="s">
        <v>5346</v>
      </c>
      <c r="C2706" s="3" t="str">
        <f>IFERROR(__xludf.DUMMYFUNCTION("GOOGLETRANSLATE(A2706,""en"",""hy"")"),"Որքա՞ն հարկ է վճարում միջին ամերիկացին իր կյանքի ընթացքում:")</f>
        <v>Որքա՞ն հարկ է վճարում միջին ամերիկացին իր կյանքի ընթացքում:</v>
      </c>
      <c r="D2706" s="3" t="str">
        <f>IFERROR(__xludf.DUMMYFUNCTION("GOOGLETRANSLATE(B2706,""en"",""hy"")"),"Միջին ամերիկացին իր կյանքի ընթացքում վճարում է մոտ 1,2 միլիոն դոլարի հարկ:")</f>
        <v>Միջին ամերիկացին իր կյանքի ընթացքում վճարում է մոտ 1,2 միլիոն դոլարի հարկ:</v>
      </c>
    </row>
    <row r="2707">
      <c r="A2707" s="1" t="s">
        <v>5347</v>
      </c>
      <c r="B2707" s="2" t="s">
        <v>5348</v>
      </c>
      <c r="C2707" s="3" t="str">
        <f>IFERROR(__xludf.DUMMYFUNCTION("GOOGLETRANSLATE(A2707,""en"",""hy"")"),"Ի՞նչ են խորհրդանշում Իլինոյսի դրոշի նշանները:")</f>
        <v>Ի՞նչ են խորհրդանշում Իլինոյսի դրոշի նշանները:</v>
      </c>
      <c r="D2707" s="3" t="str">
        <f>IFERROR(__xludf.DUMMYFUNCTION("GOOGLETRANSLATE(B2707,""en"",""hy"")"),"Իլինոյսի դրոշի խորհրդանիշները ներկայացնում են նահանգի պատմությունն ու արժեքները:")</f>
        <v>Իլինոյսի դրոշի խորհրդանիշները ներկայացնում են նահանգի պատմությունն ու արժեքները:</v>
      </c>
    </row>
    <row r="2708">
      <c r="A2708" s="1" t="s">
        <v>5349</v>
      </c>
      <c r="B2708" s="2" t="s">
        <v>5350</v>
      </c>
      <c r="C2708" s="3" t="str">
        <f>IFERROR(__xludf.DUMMYFUNCTION("GOOGLETRANSLATE(A2708,""en"",""hy"")"),"Ո՞ր տարիներին է Red Sox-ը հաղթել համաշխարհային սերիայում:")</f>
        <v>Ո՞ր տարիներին է Red Sox-ը հաղթել համաշխարհային սերիայում:</v>
      </c>
      <c r="D2708" s="3" t="str">
        <f>IFERROR(__xludf.DUMMYFUNCTION("GOOGLETRANSLATE(B2708,""en"",""hy"")"),"The Red Sox-ը հաղթել է World Series 1903, 1912, 1915, 1916, 1918, 2004, 2007, 2013 և 2018 թվականներին:")</f>
        <v>The Red Sox-ը հաղթել է World Series 1903, 1912, 1915, 1916, 1918, 2004, 2007, 2013 և 2018 թվականներին:</v>
      </c>
    </row>
    <row r="2709">
      <c r="A2709" s="1" t="s">
        <v>5351</v>
      </c>
      <c r="B2709" s="2" t="s">
        <v>5352</v>
      </c>
      <c r="C2709" s="3" t="str">
        <f>IFERROR(__xludf.DUMMYFUNCTION("GOOGLETRANSLATE(A2709,""en"",""hy"")"),"ինչ պատերազմի համար էր Վուդրո Վիլսոնի նախագահը:")</f>
        <v>ինչ պատերազմի համար էր Վուդրո Վիլսոնի նախագահը:</v>
      </c>
      <c r="D2709" s="3" t="str">
        <f>IFERROR(__xludf.DUMMYFUNCTION("GOOGLETRANSLATE(B2709,""en"",""hy"")"),"Վուդրո Վիլսոնը նախագահ էր Առաջին համաշխարհային պատերազմի ժամանակ։")</f>
        <v>Վուդրո Վիլսոնը նախագահ էր Առաջին համաշխարհային պատերազմի ժամանակ։</v>
      </c>
    </row>
    <row r="2710">
      <c r="A2710" s="1" t="s">
        <v>5353</v>
      </c>
      <c r="B2710" s="2" t="s">
        <v>5354</v>
      </c>
      <c r="C2710" s="3" t="str">
        <f>IFERROR(__xludf.DUMMYFUNCTION("GOOGLETRANSLATE(A2710,""en"",""hy"")"),"ո՞ւմ համար է մրցում Կարլ Էդվարդսը")</f>
        <v>ո՞ւմ համար է մրցում Կարլ Էդվարդսը</v>
      </c>
      <c r="D2710" s="3" t="str">
        <f>IFERROR(__xludf.DUMMYFUNCTION("GOOGLETRANSLATE(B2710,""en"",""hy"")"),"Կառլ Էդվարդսը ներկայումս մրցարշավ չի անում, քանի որ նա հեռացել է NASCAR-ից 2017 թվականին:")</f>
        <v>Կառլ Էդվարդսը ներկայումս մրցարշավ չի անում, քանի որ նա հեռացել է NASCAR-ից 2017 թվականին:</v>
      </c>
    </row>
    <row r="2711">
      <c r="A2711" s="1" t="s">
        <v>5355</v>
      </c>
      <c r="B2711" s="2" t="s">
        <v>5356</v>
      </c>
      <c r="C2711" s="3" t="str">
        <f>IFERROR(__xludf.DUMMYFUNCTION("GOOGLETRANSLATE(A2711,""en"",""hy"")"),"ինչ անել փետրվարին Պանամայի քաղաքային լողափում:")</f>
        <v>ինչ անել փետրվարին Պանամայի քաղաքային լողափում:</v>
      </c>
      <c r="D2711" s="3" t="str">
        <f>IFERROR(__xludf.DUMMYFUNCTION("GOOGLETRANSLATE(B2711,""en"",""hy"")"),"Փետրվարին դուք կարող եք վայելել այնպիսի գործողություններ, ինչպիսիք են՝ այցելելով լողափ, ուսումնասիրել Սենտ Էնդրյուս նահանգի այգին, գնալ դելֆինների նավարկության կամ մասնակցել Պանամա Սիթի Բիչ Մարդի Գրաս և երաժշտական ​​փառատոնին:")</f>
        <v>Փետրվարին դուք կարող եք վայելել այնպիսի գործողություններ, ինչպիսիք են՝ այցելելով լողափ, ուսումնասիրել Սենտ Էնդրյուս նահանգի այգին, գնալ դելֆինների նավարկության կամ մասնակցել Պանամա Սիթի Բիչ Մարդի Գրաս և երաժշտական ​​փառատոնին:</v>
      </c>
    </row>
    <row r="2712">
      <c r="A2712" s="1" t="s">
        <v>5357</v>
      </c>
      <c r="B2712" s="2" t="s">
        <v>5358</v>
      </c>
      <c r="C2712" s="3" t="str">
        <f>IFERROR(__xludf.DUMMYFUNCTION("GOOGLETRANSLATE(A2712,""en"",""hy"")"),"որտեղից են Ֆլորիդայի Մարլինները:")</f>
        <v>որտեղից են Ֆլորիդայի Մարլինները:</v>
      </c>
      <c r="D2712" s="3" t="str">
        <f>IFERROR(__xludf.DUMMYFUNCTION("GOOGLETRANSLATE(B2712,""en"",""hy"")"),"Ֆլորիդայի Մարլինները Մայամիից են, Ֆլորիդա:")</f>
        <v>Ֆլորիդայի Մարլինները Մայամիից են, Ֆլորիդա:</v>
      </c>
    </row>
    <row r="2713">
      <c r="A2713" s="1" t="s">
        <v>5359</v>
      </c>
      <c r="B2713" s="2" t="s">
        <v>5326</v>
      </c>
      <c r="C2713" s="3" t="str">
        <f>IFERROR(__xludf.DUMMYFUNCTION("GOOGLETRANSLATE(A2713,""en"",""hy"")"),"ո՞րն է հիմնական կրոնը Արևելյան Եվրոպայում:")</f>
        <v>ո՞րն է հիմնական կրոնը Արևելյան Եվրոպայում:</v>
      </c>
      <c r="D2713" s="3" t="str">
        <f>IFERROR(__xludf.DUMMYFUNCTION("GOOGLETRANSLATE(B2713,""en"",""hy"")"),"Քրիստոնեություն")</f>
        <v>Քրիստոնեություն</v>
      </c>
    </row>
    <row r="2714">
      <c r="A2714" s="1" t="s">
        <v>5360</v>
      </c>
      <c r="B2714" s="2" t="s">
        <v>5361</v>
      </c>
      <c r="C2714" s="3" t="str">
        <f>IFERROR(__xludf.DUMMYFUNCTION("GOOGLETRANSLATE(A2714,""en"",""hy"")"),"ի՞նչ լեզվով են խոսում ռումինացիները:")</f>
        <v>ի՞նչ լեզվով են խոսում ռումինացիները:</v>
      </c>
      <c r="D2714" s="3" t="str">
        <f>IFERROR(__xludf.DUMMYFUNCTION("GOOGLETRANSLATE(B2714,""en"",""hy"")"),"Ռումինացիները խոսում են ռումիներեն:")</f>
        <v>Ռումինացիները խոսում են ռումիներեն:</v>
      </c>
    </row>
    <row r="2715">
      <c r="A2715" s="1" t="s">
        <v>5362</v>
      </c>
      <c r="B2715" s="2" t="s">
        <v>5363</v>
      </c>
      <c r="C2715" s="3" t="str">
        <f>IFERROR(__xludf.DUMMYFUNCTION("GOOGLETRANSLATE(A2715,""en"",""hy"")"),"Ո՞ր ամսաթվին է Ջոն Ադամսը նախագահ ընտրվել:")</f>
        <v>Ո՞ր ամսաթվին է Ջոն Ադամսը նախագահ ընտրվել:</v>
      </c>
      <c r="D2715" s="3" t="str">
        <f>IFERROR(__xludf.DUMMYFUNCTION("GOOGLETRANSLATE(B2715,""en"",""hy"")"),"Ջոն Ադամսը նախագահ է ընտրվել 1797 թվականի մարտի 4-ին։")</f>
        <v>Ջոն Ադամսը նախագահ է ընտրվել 1797 թվականի մարտի 4-ին։</v>
      </c>
    </row>
    <row r="2716">
      <c r="A2716" s="1" t="s">
        <v>5364</v>
      </c>
      <c r="B2716" s="2" t="s">
        <v>5365</v>
      </c>
      <c r="C2716" s="3" t="str">
        <f>IFERROR(__xludf.DUMMYFUNCTION("GOOGLETRANSLATE(A2716,""en"",""hy"")"),"ով առաջադրեց Սթիվեն Գ. բրեյերը")</f>
        <v>ով առաջադրեց Սթիվեն Գ. բրեյերը</v>
      </c>
      <c r="D2716" s="3" t="str">
        <f>IFERROR(__xludf.DUMMYFUNCTION("GOOGLETRANSLATE(B2716,""en"",""hy"")"),"Սթիվեն Ջ. Բրեյերին առաջադրել է նախագահ Բիլ Քլինթոնը:")</f>
        <v>Սթիվեն Ջ. Բրեյերին առաջադրել է նախագահ Բիլ Քլինթոնը:</v>
      </c>
    </row>
    <row r="2717">
      <c r="A2717" s="1" t="s">
        <v>5366</v>
      </c>
      <c r="B2717" s="2" t="s">
        <v>5367</v>
      </c>
      <c r="C2717" s="3" t="str">
        <f>IFERROR(__xludf.DUMMYFUNCTION("GOOGLETRANSLATE(A2717,""en"",""hy"")"),"ի՞նչ ներդրում է ունեցել Մորիս Ուիլկինսը ԴՆԹ-ում:")</f>
        <v>ի՞նչ ներդրում է ունեցել Մորիս Ուիլկինսը ԴՆԹ-ում:</v>
      </c>
      <c r="D2717" s="3" t="str">
        <f>IFERROR(__xludf.DUMMYFUNCTION("GOOGLETRANSLATE(B2717,""en"",""hy"")"),"Մորիս Ուիլկինսը զգալի ներդրում է ունեցել ԴՆԹ-ի կառուցվածքի ըմբռնման գործում՝ իր ռենտգենյան բյուրեղագիտության աշխատանքի միջոցով:")</f>
        <v>Մորիս Ուիլկինսը զգալի ներդրում է ունեցել ԴՆԹ-ի կառուցվածքի ըմբռնման գործում՝ իր ռենտգենյան բյուրեղագիտության աշխատանքի միջոցով:</v>
      </c>
    </row>
    <row r="2718">
      <c r="A2718" s="1" t="s">
        <v>5368</v>
      </c>
      <c r="B2718" s="2" t="s">
        <v>5369</v>
      </c>
      <c r="C2718" s="3" t="str">
        <f>IFERROR(__xludf.DUMMYFUNCTION("GOOGLETRANSLATE(A2718,""en"",""hy"")"),"ինչ է արել Ջորջ Բուշը նախքան նախագահ դառնալը.")</f>
        <v>ինչ է արել Ջորջ Բուշը նախքան նախագահ դառնալը.</v>
      </c>
      <c r="D2718" s="3" t="str">
        <f>IFERROR(__xludf.DUMMYFUNCTION("GOOGLETRANSLATE(B2718,""en"",""hy"")"),"Ջորջ Բուշը մինչ նախագահ դառնալը եղել է Տեխասի նահանգապետը:")</f>
        <v>Ջորջ Բուշը մինչ նախագահ դառնալը եղել է Տեխասի նահանգապետը:</v>
      </c>
    </row>
    <row r="2719">
      <c r="A2719" s="1" t="s">
        <v>5370</v>
      </c>
      <c r="B2719" s="2" t="s">
        <v>5371</v>
      </c>
      <c r="C2719" s="3" t="str">
        <f>IFERROR(__xludf.DUMMYFUNCTION("GOOGLETRANSLATE(A2719,""en"",""hy"")"),"ո՞ր կուսակցությունն էր Լինքոլնը")</f>
        <v>ո՞ր կուսակցությունն էր Լինքոլնը</v>
      </c>
      <c r="D2719" s="3" t="str">
        <f>IFERROR(__xludf.DUMMYFUNCTION("GOOGLETRANSLATE(B2719,""en"",""hy"")"),"Աբրահամ Լինքոլնը Հանրապետական ​​կուսակցության անդամ էր։")</f>
        <v>Աբրահամ Լինքոլնը Հանրապետական ​​կուսակցության անդամ էր։</v>
      </c>
    </row>
    <row r="2720">
      <c r="A2720" s="1" t="s">
        <v>5372</v>
      </c>
      <c r="B2720" s="2" t="s">
        <v>5373</v>
      </c>
      <c r="C2720" s="3" t="str">
        <f>IFERROR(__xludf.DUMMYFUNCTION("GOOGLETRANSLATE(A2720,""en"",""hy"")"),"ովքեր են Իլինոյսի երկու ներկայիս սենատորները:")</f>
        <v>ովքեր են Իլինոյսի երկու ներկայիս սենատորները:</v>
      </c>
      <c r="D2720" s="3" t="str">
        <f>IFERROR(__xludf.DUMMYFUNCTION("GOOGLETRANSLATE(B2720,""en"",""hy"")"),"Իլինոյսի երկու ներկայիս սենատորներն են Թեմմի Դաքվորթը և Դիկ Դուրբինը:")</f>
        <v>Իլինոյսի երկու ներկայիս սենատորներն են Թեմմի Դաքվորթը և Դիկ Դուրբինը:</v>
      </c>
    </row>
    <row r="2721">
      <c r="A2721" s="1" t="s">
        <v>5374</v>
      </c>
      <c r="B2721" s="2" t="s">
        <v>5375</v>
      </c>
      <c r="C2721" s="3" t="str">
        <f>IFERROR(__xludf.DUMMYFUNCTION("GOOGLETRANSLATE(A2721,""en"",""hy"")"),"ինչի՞ց է մահացել Ռոբին Գիբը")</f>
        <v>ինչի՞ց է մահացել Ռոբին Գիբը</v>
      </c>
      <c r="D2721" s="3" t="str">
        <f>IFERROR(__xludf.DUMMYFUNCTION("GOOGLETRANSLATE(B2721,""en"",""hy"")"),"Ռոբին Գիբը մահացել է կոլոռեկտալ քաղցկեղից։")</f>
        <v>Ռոբին Գիբը մահացել է կոլոռեկտալ քաղցկեղից։</v>
      </c>
    </row>
    <row r="2722">
      <c r="A2722" s="1" t="s">
        <v>5376</v>
      </c>
      <c r="B2722" s="2" t="s">
        <v>5377</v>
      </c>
      <c r="C2722" s="3" t="str">
        <f>IFERROR(__xludf.DUMMYFUNCTION("GOOGLETRANSLATE(A2722,""en"",""hy"")"),"Ո՞ր քոլեջում է խաղացել Ջո Մոնտանան:")</f>
        <v>Ո՞ր քոլեջում է խաղացել Ջո Մոնտանան:</v>
      </c>
      <c r="D2722" s="3" t="str">
        <f>IFERROR(__xludf.DUMMYFUNCTION("GOOGLETRANSLATE(B2722,""en"",""hy"")"),"Ջո Մոնտանան քոլեջի ֆուտբոլ է խաղացել Նոտր Դամի համալսարանի համար:")</f>
        <v>Ջո Մոնտանան քոլեջի ֆուտբոլ է խաղացել Նոտր Դամի համալսարանի համար:</v>
      </c>
    </row>
    <row r="2723">
      <c r="A2723" s="1" t="s">
        <v>5378</v>
      </c>
      <c r="B2723" s="2" t="s">
        <v>5379</v>
      </c>
      <c r="C2723" s="3" t="str">
        <f>IFERROR(__xludf.DUMMYFUNCTION("GOOGLETRANSLATE(A2723,""en"",""hy"")"),"ինչ էին Ադոլֆ Հիտլերի ծնողների անունները:")</f>
        <v>ինչ էին Ադոլֆ Հիտլերի ծնողների անունները:</v>
      </c>
      <c r="D2723" s="3" t="str">
        <f>IFERROR(__xludf.DUMMYFUNCTION("GOOGLETRANSLATE(B2723,""en"",""hy"")"),"Ադոլֆ Հիտլերի ծնողների անուններն էին Ալոիս Հիտլեր և Կլարա Պյոլցլ։")</f>
        <v>Ադոլֆ Հիտլերի ծնողների անուններն էին Ալոիս Հիտլեր և Կլարա Պյոլցլ։</v>
      </c>
    </row>
    <row r="2724">
      <c r="A2724" s="1" t="s">
        <v>5380</v>
      </c>
      <c r="B2724" s="2" t="s">
        <v>5381</v>
      </c>
      <c r="C2724" s="3" t="str">
        <f>IFERROR(__xludf.DUMMYFUNCTION("GOOGLETRANSLATE(A2724,""en"",""hy"")"),"ինչի համար Ջորդին Վիբերը ոսկի շահեց:")</f>
        <v>ինչի համար Ջորդին Վիբերը ոսկի շահեց:</v>
      </c>
      <c r="D2724" s="3" t="str">
        <f>IFERROR(__xludf.DUMMYFUNCTION("GOOGLETRANSLATE(B2724,""en"",""hy"")"),"Ջորդին Վիբերը ոսկի է նվաճել մարմնամարզության համար:")</f>
        <v>Ջորդին Վիբերը ոսկի է նվաճել մարմնամարզության համար:</v>
      </c>
    </row>
    <row r="2725">
      <c r="A2725" s="1" t="s">
        <v>5382</v>
      </c>
      <c r="B2725" s="2" t="s">
        <v>5383</v>
      </c>
      <c r="C2725" s="3" t="str">
        <f>IFERROR(__xludf.DUMMYFUNCTION("GOOGLETRANSLATE(A2725,""en"",""hy"")"),"ինչ աշխատանք ունի Բիլ Ռանչիչը")</f>
        <v>ինչ աշխատանք ունի Բիլ Ռանչիչը</v>
      </c>
      <c r="D2725" s="3" t="str">
        <f>IFERROR(__xludf.DUMMYFUNCTION("GOOGLETRANSLATE(B2725,""en"",""hy"")"),"Բիլ Ռանչիչը անշարժ գույքի կառուցապատող և գործարար է:")</f>
        <v>Բիլ Ռանչիչը անշարժ գույքի կառուցապատող և գործարար է:</v>
      </c>
    </row>
    <row r="2726">
      <c r="A2726" s="1" t="s">
        <v>5384</v>
      </c>
      <c r="B2726" s="2" t="s">
        <v>5385</v>
      </c>
      <c r="C2726" s="3" t="str">
        <f>IFERROR(__xludf.DUMMYFUNCTION("GOOGLETRANSLATE(A2726,""en"",""hy"")"),"ի՞նչ է հայտնաբերել Ռոբերտ Հուկը:")</f>
        <v>ի՞նչ է հայտնաբերել Ռոբերտ Հուկը:</v>
      </c>
      <c r="D2726" s="3" t="str">
        <f>IFERROR(__xludf.DUMMYFUNCTION("GOOGLETRANSLATE(B2726,""en"",""hy"")"),"Ռոբերտ Հուկը հայտնաբերել է բույսերի բջիջները:")</f>
        <v>Ռոբերտ Հուկը հայտնաբերել է բույսերի բջիջները:</v>
      </c>
    </row>
    <row r="2727">
      <c r="A2727" s="1" t="s">
        <v>5386</v>
      </c>
      <c r="B2727" s="2" t="s">
        <v>5387</v>
      </c>
      <c r="C2727" s="3" t="str">
        <f>IFERROR(__xludf.DUMMYFUNCTION("GOOGLETRANSLATE(A2727,""en"",""hy"")"),"ինչ է սիրում ուտել Մայքլ Ջեքսոնը:")</f>
        <v>ինչ է սիրում ուտել Մայքլ Ջեքսոնը:</v>
      </c>
      <c r="D2727" s="3" t="str">
        <f>IFERROR(__xludf.DUMMYFUNCTION("GOOGLETRANSLATE(B2727,""en"",""hy"")"),"Մայքլ Ջեքսոնի սիրելի ուտելիքի մասին կոնկրետ տեղեկություն չկա։")</f>
        <v>Մայքլ Ջեքսոնի սիրելի ուտելիքի մասին կոնկրետ տեղեկություն չկա։</v>
      </c>
    </row>
    <row r="2728">
      <c r="A2728" s="1" t="s">
        <v>5388</v>
      </c>
      <c r="B2728" s="2" t="s">
        <v>5389</v>
      </c>
      <c r="C2728" s="3" t="str">
        <f>IFERROR(__xludf.DUMMYFUNCTION("GOOGLETRANSLATE(A2728,""en"",""hy"")"),"ո՞ւմ է պատկանում Նոր Անգլիայի հայրենասերների ֆուտբոլային թիմը:")</f>
        <v>ո՞ւմ է պատկանում Նոր Անգլիայի հայրենասերների ֆուտբոլային թիմը:</v>
      </c>
      <c r="D2728" s="3" t="str">
        <f>IFERROR(__xludf.DUMMYFUNCTION("GOOGLETRANSLATE(B2728,""en"",""hy"")"),"Ռոբերտ Կրաֆտ")</f>
        <v>Ռոբերտ Կրաֆտ</v>
      </c>
    </row>
    <row r="2729">
      <c r="A2729" s="1" t="s">
        <v>5390</v>
      </c>
      <c r="B2729" s="2" t="s">
        <v>5391</v>
      </c>
      <c r="C2729" s="3" t="str">
        <f>IFERROR(__xludf.DUMMYFUNCTION("GOOGLETRANSLATE(A2729,""en"",""hy"")"),"որտեղ են ապրում ճապոնացիները")</f>
        <v>որտեղ են ապրում ճապոնացիները</v>
      </c>
      <c r="D2729" s="3" t="str">
        <f>IFERROR(__xludf.DUMMYFUNCTION("GOOGLETRANSLATE(B2729,""en"",""hy"")"),"Ճապոնացիները հիմնականում ապրում են Ճապոնիայում։")</f>
        <v>Ճապոնացիները հիմնականում ապրում են Ճապոնիայում։</v>
      </c>
    </row>
    <row r="2730">
      <c r="A2730" s="1" t="s">
        <v>5392</v>
      </c>
      <c r="B2730" s="2" t="s">
        <v>5393</v>
      </c>
      <c r="C2730" s="3" t="str">
        <f>IFERROR(__xludf.DUMMYFUNCTION("GOOGLETRANSLATE(A2730,""en"",""hy"")"),"ինչ են անվանում դոլարը Բրազիլիայում")</f>
        <v>ինչ են անվանում դոլարը Բրազիլիայում</v>
      </c>
      <c r="D2730" s="3" t="str">
        <f>IFERROR(__xludf.DUMMYFUNCTION("GOOGLETRANSLATE(B2730,""en"",""hy"")"),"Բրազիլիայում դոլարը կոչվում է «dólar»:")</f>
        <v>Բրազիլիայում դոլարը կոչվում է «dólar»:</v>
      </c>
    </row>
    <row r="2731">
      <c r="A2731" s="1" t="s">
        <v>5394</v>
      </c>
      <c r="B2731" s="2" t="s">
        <v>5395</v>
      </c>
      <c r="C2731" s="3" t="str">
        <f>IFERROR(__xludf.DUMMYFUNCTION("GOOGLETRANSLATE(A2731,""en"",""hy"")"),"Ո՞ր օդանավակայանը թռչել Մաուիի համար:")</f>
        <v>Ո՞ր օդանավակայանը թռչել Մաուիի համար:</v>
      </c>
      <c r="D2731" s="3" t="str">
        <f>IFERROR(__xludf.DUMMYFUNCTION("GOOGLETRANSLATE(B2731,""en"",""hy"")"),"Kahului օդանավակայանը հիմնական օդանավակայանն է, որտեղ թռիչքներ են կատարվում Մաուի համար:")</f>
        <v>Kahului օդանավակայանը հիմնական օդանավակայանն է, որտեղ թռիչքներ են կատարվում Մաուի համար:</v>
      </c>
    </row>
    <row r="2732">
      <c r="A2732" s="1" t="s">
        <v>5396</v>
      </c>
      <c r="B2732" s="2" t="s">
        <v>5397</v>
      </c>
      <c r="C2732" s="3" t="str">
        <f>IFERROR(__xludf.DUMMYFUNCTION("GOOGLETRANSLATE(A2732,""en"",""hy"")"),"ինչում է խաղացել Լյուսի Հեյլին")</f>
        <v>ինչում է խաղացել Լյուսի Հեյլին</v>
      </c>
      <c r="D2732" s="3" t="str">
        <f>IFERROR(__xludf.DUMMYFUNCTION("GOOGLETRANSLATE(B2732,""en"",""hy"")"),"Լյուսի Հեյլին խաղացել է «Pretty Little Liars» և «Katy Keene» հեռուստաշոուներում, ինչպես նաև այնպիսի ֆիլմերում, ինչպիսիք են «Truth or Dare» և «Fantasy Island»-ը։")</f>
        <v>Լյուսի Հեյլին խաղացել է «Pretty Little Liars» և «Katy Keene» հեռուստաշոուներում, ինչպես նաև այնպիսի ֆիլմերում, ինչպիսիք են «Truth or Dare» և «Fantasy Island»-ը։</v>
      </c>
    </row>
    <row r="2733">
      <c r="A2733" s="1" t="s">
        <v>5398</v>
      </c>
      <c r="B2733" s="2" t="s">
        <v>5399</v>
      </c>
      <c r="C2733" s="3" t="str">
        <f>IFERROR(__xludf.DUMMYFUNCTION("GOOGLETRANSLATE(A2733,""en"",""hy"")"),"ով շահեց 2011 Heisman գավաթը:")</f>
        <v>ով շահեց 2011 Heisman գավաթը:</v>
      </c>
      <c r="D2733" s="3" t="str">
        <f>IFERROR(__xludf.DUMMYFUNCTION("GOOGLETRANSLATE(B2733,""en"",""hy"")"),"Ռոբերտ Գրիֆին III.")</f>
        <v>Ռոբերտ Գրիֆին III.</v>
      </c>
    </row>
    <row r="2734">
      <c r="A2734" s="1" t="s">
        <v>5400</v>
      </c>
      <c r="B2734" s="2" t="s">
        <v>5401</v>
      </c>
      <c r="C2734" s="3" t="str">
        <f>IFERROR(__xludf.DUMMYFUNCTION("GOOGLETRANSLATE(A2734,""en"",""hy"")"),"ով է բազեների հարվածողը")</f>
        <v>ով է բազեների հարվածողը</v>
      </c>
      <c r="D2734" s="3" t="str">
        <f>IFERROR(__xludf.DUMMYFUNCTION("GOOGLETRANSLATE(B2734,""en"",""hy"")"),"Դուք պետք է նշեք, թե որ սեզոնին կամ խաղին եք ակնարկում, քանի որ Atlanta Falcons-ի հայտացուցակը կարող է փոխվել:")</f>
        <v>Դուք պետք է նշեք, թե որ սեզոնին կամ խաղին եք ակնարկում, քանի որ Atlanta Falcons-ի հայտացուցակը կարող է փոխվել:</v>
      </c>
    </row>
    <row r="2735">
      <c r="A2735" s="1" t="s">
        <v>5402</v>
      </c>
      <c r="B2735" s="2" t="s">
        <v>5403</v>
      </c>
      <c r="C2735" s="3" t="str">
        <f>IFERROR(__xludf.DUMMYFUNCTION("GOOGLETRANSLATE(A2735,""en"",""hy"")"),"որտեղ է Չարլզը նկարել ավագ դպրոց:")</f>
        <v>որտեղ է Չարլզը նկարել ավագ դպրոց:</v>
      </c>
      <c r="D2735" s="3" t="str">
        <f>IFERROR(__xludf.DUMMYFUNCTION("GOOGLETRANSLATE(B2735,""en"",""hy"")"),"Չարլզ Դրյուն սովորել է Վաշինգտոնի Դանբար ավագ դպրոցում:")</f>
        <v>Չարլզ Դրյուն սովորել է Վաշինգտոնի Դանբար ավագ դպրոցում:</v>
      </c>
    </row>
    <row r="2736">
      <c r="A2736" s="1" t="s">
        <v>5404</v>
      </c>
      <c r="B2736" s="2" t="s">
        <v>5405</v>
      </c>
      <c r="C2736" s="3" t="str">
        <f>IFERROR(__xludf.DUMMYFUNCTION("GOOGLETRANSLATE(A2736,""en"",""hy"")"),"ինչ լեզու է օգտագործում Արգենտինան")</f>
        <v>ինչ լեզու է օգտագործում Արգենտինան</v>
      </c>
      <c r="D2736" s="3" t="str">
        <f>IFERROR(__xludf.DUMMYFUNCTION("GOOGLETRANSLATE(B2736,""en"",""hy"")"),"Արգենտինան որպես պաշտոնական լեզու հիմնականում օգտագործում է իսպաներենը։")</f>
        <v>Արգենտինան որպես պաշտոնական լեզու հիմնականում օգտագործում է իսպաներենը։</v>
      </c>
    </row>
    <row r="2737">
      <c r="A2737" s="1" t="s">
        <v>5406</v>
      </c>
      <c r="B2737" s="2" t="s">
        <v>5407</v>
      </c>
      <c r="C2737" s="3" t="str">
        <f>IFERROR(__xludf.DUMMYFUNCTION("GOOGLETRANSLATE(A2737,""en"",""hy"")"),"ով է հաղթել Ինդիանայում նահանգապետի մրցավազքում:")</f>
        <v>ով է հաղթել Ինդիանայում նահանգապետի մրցավազքում:</v>
      </c>
      <c r="D2737" s="3" t="str">
        <f>IFERROR(__xludf.DUMMYFUNCTION("GOOGLETRANSLATE(B2737,""en"",""hy"")"),"Ըստ առկա վերջին տեղեկատվության՝ Էրիկ Հոլքոմբը հաղթել է Ինդիանայում նահանգապետի մրցավազքում:")</f>
        <v>Ըստ առկա վերջին տեղեկատվության՝ Էրիկ Հոլքոմբը հաղթել է Ինդիանայում նահանգապետի մրցավազքում:</v>
      </c>
    </row>
    <row r="2738">
      <c r="A2738" s="1" t="s">
        <v>5408</v>
      </c>
      <c r="B2738" s="2" t="s">
        <v>5409</v>
      </c>
      <c r="C2738" s="3" t="str">
        <f>IFERROR(__xludf.DUMMYFUNCTION("GOOGLETRANSLATE(A2738,""en"",""hy"")"),"ի՞նչ լեզուներով են մարդիկ խոսում Եգիպտոսում:")</f>
        <v>ի՞նչ լեզուներով են մարդիկ խոսում Եգիպտոսում:</v>
      </c>
      <c r="D2738" s="3" t="str">
        <f>IFERROR(__xludf.DUMMYFUNCTION("GOOGLETRANSLATE(B2738,""en"",""hy"")"),"Եգիպտոսի պաշտոնական լեզուն արաբերենն է։")</f>
        <v>Եգիպտոսի պաշտոնական լեզուն արաբերենն է։</v>
      </c>
    </row>
    <row r="2739">
      <c r="A2739" s="1" t="s">
        <v>5410</v>
      </c>
      <c r="B2739" s="2" t="s">
        <v>5411</v>
      </c>
      <c r="C2739" s="3" t="str">
        <f>IFERROR(__xludf.DUMMYFUNCTION("GOOGLETRANSLATE(A2739,""en"",""hy"")"),"Ո՞ր քոլեջն է հաճախել Ֆլորենս Գրիֆիթ Ջոյները:")</f>
        <v>Ո՞ր քոլեջն է հաճախել Ֆլորենս Գրիֆիթ Ջոյները:</v>
      </c>
      <c r="D2739" s="3" t="str">
        <f>IFERROR(__xludf.DUMMYFUNCTION("GOOGLETRANSLATE(B2739,""en"",""hy"")"),"Ֆլորենս Գրիֆիթ Ջոյները հաճախել է Կալիֆորնիայի պետական ​​համալսարան, Նորթրիջ:")</f>
        <v>Ֆլորենս Գրիֆիթ Ջոյները հաճախել է Կալիֆորնիայի պետական ​​համալսարան, Նորթրիջ:</v>
      </c>
    </row>
    <row r="2740">
      <c r="A2740" s="1" t="s">
        <v>5412</v>
      </c>
      <c r="B2740" s="2" t="s">
        <v>5413</v>
      </c>
      <c r="C2740" s="3" t="str">
        <f>IFERROR(__xludf.DUMMYFUNCTION("GOOGLETRANSLATE(A2740,""en"",""hy"")"),"Արվեստի ի՞նչ ոճ է օգտագործել Անրի Մատիսը:")</f>
        <v>Արվեստի ի՞նչ ոճ է օգտագործել Անրի Մատիսը:</v>
      </c>
      <c r="D2740" s="3" t="str">
        <f>IFERROR(__xludf.DUMMYFUNCTION("GOOGLETRANSLATE(B2740,""en"",""hy"")"),"Անրի Մատիսը հայտնի է ֆովիզմի ոճի կիրառմամբ։")</f>
        <v>Անրի Մատիսը հայտնի է ֆովիզմի ոճի կիրառմամբ։</v>
      </c>
    </row>
    <row r="2741">
      <c r="A2741" s="1" t="s">
        <v>5414</v>
      </c>
      <c r="B2741" s="2" t="s">
        <v>5415</v>
      </c>
      <c r="C2741" s="3" t="str">
        <f>IFERROR(__xludf.DUMMYFUNCTION("GOOGLETRANSLATE(A2741,""en"",""hy"")"),"ինչ է պատրաստել Ջորջ Վաշինգտոն Քարվերը գետնանուշով:")</f>
        <v>ինչ է պատրաստել Ջորջ Վաշինգտոն Քարվերը գետնանուշով:</v>
      </c>
      <c r="D2741" s="3" t="str">
        <f>IFERROR(__xludf.DUMMYFUNCTION("GOOGLETRANSLATE(B2741,""en"",""hy"")"),"Ջորջ Վաշինգտոն Քարվերը գետնանուշով տարբեր ապրանքներ էր պատրաստում, ինչպիսիք են գետնանուշի կարագը, պատրաստման յուղը և սննդի բաղադրիչները:")</f>
        <v>Ջորջ Վաշինգտոն Քարվերը գետնանուշով տարբեր ապրանքներ էր պատրաստում, ինչպիսիք են գետնանուշի կարագը, պատրաստման յուղը և սննդի բաղադրիչները:</v>
      </c>
    </row>
    <row r="2742">
      <c r="A2742" s="1" t="s">
        <v>5416</v>
      </c>
      <c r="B2742" s="2" t="s">
        <v>5417</v>
      </c>
      <c r="C2742" s="3" t="str">
        <f>IFERROR(__xludf.DUMMYFUNCTION("GOOGLETRANSLATE(A2742,""en"",""hy"")"),"ով է խաղում Ալան Փերիշ ջումանջիում:")</f>
        <v>ով է խաղում Ալան Փերիշ ջումանջիում:</v>
      </c>
      <c r="D2742" s="3" t="str">
        <f>IFERROR(__xludf.DUMMYFUNCTION("GOOGLETRANSLATE(B2742,""en"",""hy"")"),"Ռոբին Ուիլյամս.")</f>
        <v>Ռոբին Ուիլյամս.</v>
      </c>
    </row>
    <row r="2743">
      <c r="A2743" s="1" t="s">
        <v>5418</v>
      </c>
      <c r="B2743" s="2" t="s">
        <v>5419</v>
      </c>
      <c r="C2743" s="3" t="str">
        <f>IFERROR(__xludf.DUMMYFUNCTION("GOOGLETRANSLATE(A2743,""en"",""hy"")"),"ով էր նաև Ռիզ Ուիզերսփունի հետ ամուսնացած:")</f>
        <v>ով էր նաև Ռիզ Ուիզերսփունի հետ ամուսնացած:</v>
      </c>
      <c r="D2743" s="3" t="str">
        <f>IFERROR(__xludf.DUMMYFUNCTION("GOOGLETRANSLATE(B2743,""en"",""hy"")"),"Ռիզ Ուիզերսփունն ամուսնացած էր Ջիմ Թոթի հետ։")</f>
        <v>Ռիզ Ուիզերսփունն ամուսնացած էր Ջիմ Թոթի հետ։</v>
      </c>
    </row>
    <row r="2744">
      <c r="A2744" s="1" t="s">
        <v>5420</v>
      </c>
      <c r="B2744" s="2" t="s">
        <v>5421</v>
      </c>
      <c r="C2744" s="3" t="str">
        <f>IFERROR(__xludf.DUMMYFUNCTION("GOOGLETRANSLATE(A2744,""en"",""hy"")"),"ինչ է Պանամայի մզվածքը:")</f>
        <v>ինչ է Պանամայի մզվածքը:</v>
      </c>
      <c r="D2744" s="3" t="str">
        <f>IFERROR(__xludf.DUMMYFUNCTION("GOOGLETRANSLATE(B2744,""en"",""hy"")"),"Պանամայի Իստմուսը ցամաքի նեղ շերտ է, որը միացնում է Հյուսիսային և Հարավային Ամերիկաները:")</f>
        <v>Պանամայի Իստմուսը ցամաքի նեղ շերտ է, որը միացնում է Հյուսիսային և Հարավային Ամերիկաները:</v>
      </c>
    </row>
    <row r="2745">
      <c r="A2745" s="1" t="s">
        <v>5422</v>
      </c>
      <c r="B2745" s="2" t="s">
        <v>5423</v>
      </c>
      <c r="C2745" s="3" t="str">
        <f>IFERROR(__xludf.DUMMYFUNCTION("GOOGLETRANSLATE(A2745,""en"",""hy"")"),"ով է լա Լեյքերսի մարզիչը")</f>
        <v>ով է լա Լեյքերսի մարզիչը</v>
      </c>
      <c r="D2745" s="3" t="str">
        <f>IFERROR(__xludf.DUMMYFUNCTION("GOOGLETRANSLATE(B2745,""en"",""hy"")"),"Ֆրենկ Ֆոգելը Լոս Անջելես Լեյքերսի ներկայիս մարզիչն է։")</f>
        <v>Ֆրենկ Ֆոգելը Լոս Անջելես Լեյքերսի ներկայիս մարզիչն է։</v>
      </c>
    </row>
    <row r="2746">
      <c r="A2746" s="1" t="s">
        <v>5424</v>
      </c>
      <c r="B2746" s="2" t="s">
        <v>5425</v>
      </c>
      <c r="C2746" s="3" t="str">
        <f>IFERROR(__xludf.DUMMYFUNCTION("GOOGLETRANSLATE(A2746,""en"",""hy"")"),"ո՞րն է Դոմինիկյան Հանրապետության մայրաքաղաքը:")</f>
        <v>ո՞րն է Դոմինիկյան Հանրապետության մայրաքաղաքը:</v>
      </c>
      <c r="D2746" s="3" t="str">
        <f>IFERROR(__xludf.DUMMYFUNCTION("GOOGLETRANSLATE(B2746,""en"",""hy"")"),"Սանտո Դոմինգո.")</f>
        <v>Սանտո Դոմինգո.</v>
      </c>
    </row>
    <row r="2747">
      <c r="A2747" s="1" t="s">
        <v>5426</v>
      </c>
      <c r="B2747" s="2" t="s">
        <v>5427</v>
      </c>
      <c r="C2747" s="3" t="str">
        <f>IFERROR(__xludf.DUMMYFUNCTION("GOOGLETRANSLATE(A2747,""en"",""hy"")"),"ինչպես է կոչվում Իլինոյս նահանգի ծաղիկը:")</f>
        <v>ինչպես է կոչվում Իլինոյս նահանգի ծաղիկը:</v>
      </c>
      <c r="D2747" s="3" t="str">
        <f>IFERROR(__xludf.DUMMYFUNCTION("GOOGLETRANSLATE(B2747,""en"",""hy"")"),"Իլինոյս նահանգի ծաղիկը մանուշակն է:")</f>
        <v>Իլինոյս նահանգի ծաղիկը մանուշակն է:</v>
      </c>
    </row>
    <row r="2748">
      <c r="A2748" s="1" t="s">
        <v>5428</v>
      </c>
      <c r="B2748" s="2" t="s">
        <v>5429</v>
      </c>
      <c r="C2748" s="3" t="str">
        <f>IFERROR(__xludf.DUMMYFUNCTION("GOOGLETRANSLATE(A2748,""en"",""hy"")"),"ի՞նչ գրքեր է կարդացել Մարկ Թվենը:")</f>
        <v>ի՞նչ գրքեր է կարդացել Մարկ Թվենը:</v>
      </c>
      <c r="D2748" s="3" t="str">
        <f>IFERROR(__xludf.DUMMYFUNCTION("GOOGLETRANSLATE(B2748,""en"",""hy"")"),"Մարկ Տվենն իր կյանքի ընթացքում կարդաց գրքերի լայն շրջանակ: Գրքերից մի քանիսը, որոնք նա նշեց, որ կարդացել է, ներառում են Ուիլյամ Շեքսպիրի, Չարլզ Դիքենսի, սըր Արթուր Կոնան Դոյլի, Հենրի Ուադսվորթ Լոնգֆելոյի և Ջեյմս Ֆենիմոր Կուպերի ստեղծագործությունները:")</f>
        <v>Մարկ Տվենն իր կյանքի ընթացքում կարդաց գրքերի լայն շրջանակ: Գրքերից մի քանիսը, որոնք նա նշեց, որ կարդացել է, ներառում են Ուիլյամ Շեքսպիրի, Չարլզ Դիքենսի, սըր Արթուր Կոնան Դոյլի, Հենրի Ուադսվորթ Լոնգֆելոյի և Ջեյմս Ֆենիմոր Կուպերի ստեղծագործությունները:</v>
      </c>
    </row>
    <row r="2749">
      <c r="A2749" s="1" t="s">
        <v>5430</v>
      </c>
      <c r="B2749" s="2" t="s">
        <v>5431</v>
      </c>
      <c r="C2749" s="3" t="str">
        <f>IFERROR(__xludf.DUMMYFUNCTION("GOOGLETRANSLATE(A2749,""en"",""hy"")"),"ով է խաղում Մայլի Սայրուսի եղբայրը")</f>
        <v>ով է խաղում Մայլի Սայրուսի եղբայրը</v>
      </c>
      <c r="D2749" s="3" t="str">
        <f>IFERROR(__xludf.DUMMYFUNCTION("GOOGLETRANSLATE(B2749,""en"",""hy"")"),"Ջեյսոն Էրլզը խաղում է Մայլի Սայրուսի եղբորը «Հաննա Մոնտանա» հեռուստաշոուում։")</f>
        <v>Ջեյսոն Էրլզը խաղում է Մայլի Սայրուսի եղբորը «Հաննա Մոնտանա» հեռուստաշոուում։</v>
      </c>
    </row>
    <row r="2750">
      <c r="A2750" s="1" t="s">
        <v>5432</v>
      </c>
      <c r="B2750" s="2" t="s">
        <v>5433</v>
      </c>
      <c r="C2750" s="3" t="str">
        <f>IFERROR(__xludf.DUMMYFUNCTION("GOOGLETRANSLATE(A2750,""en"",""hy"")"),"ինչ լեզվով են խոսում Թաիլանդ:")</f>
        <v>ինչ լեզվով են խոսում Թաիլանդ:</v>
      </c>
      <c r="D2750" s="3" t="str">
        <f>IFERROR(__xludf.DUMMYFUNCTION("GOOGLETRANSLATE(B2750,""en"",""hy"")"),"Թաիլանդի պաշտոնական լեզուն թայերենն է։")</f>
        <v>Թաիլանդի պաշտոնական լեզուն թայերենն է։</v>
      </c>
    </row>
    <row r="2751">
      <c r="A2751" s="1" t="s">
        <v>5434</v>
      </c>
      <c r="B2751" s="2" t="s">
        <v>5435</v>
      </c>
      <c r="C2751" s="3" t="str">
        <f>IFERROR(__xludf.DUMMYFUNCTION("GOOGLETRANSLATE(A2751,""en"",""hy"")"),"որո՞նք են հիմնական կրոնները Լեհաստանում:")</f>
        <v>որո՞նք են հիմնական կրոնները Լեհաստանում:</v>
      </c>
      <c r="D2751" s="3" t="str">
        <f>IFERROR(__xludf.DUMMYFUNCTION("GOOGLETRANSLATE(B2751,""en"",""hy"")"),"Լեհաստանի հիմնական կրոնները քրիստոնեությունն են, որոնց մեծամասնությունը հռոմեական կաթոլիկ է, իսկ ավելի փոքր մասը՝ արևելյան ուղղափառ:")</f>
        <v>Լեհաստանի հիմնական կրոնները քրիստոնեությունն են, որոնց մեծամասնությունը հռոմեական կաթոլիկ է, իսկ ավելի փոքր մասը՝ արևելյան ուղղափառ:</v>
      </c>
    </row>
    <row r="2752">
      <c r="A2752" s="1" t="s">
        <v>5436</v>
      </c>
      <c r="B2752" s="2" t="s">
        <v>5437</v>
      </c>
      <c r="C2752" s="3" t="str">
        <f>IFERROR(__xludf.DUMMYFUNCTION("GOOGLETRANSLATE(A2752,""en"",""hy"")"),"ինչ է Սան Ֆրանցիսկոյի հսկաների թալիսմանը:")</f>
        <v>ինչ է Սան Ֆրանցիսկոյի հսկաների թալիսմանը:</v>
      </c>
      <c r="D2752" s="3" t="str">
        <f>IFERROR(__xludf.DUMMYFUNCTION("GOOGLETRANSLATE(B2752,""en"",""hy"")"),"Սան Ֆրանցիսկոյի հսկաների թալիսմանը Լու Սիլն է:")</f>
        <v>Սան Ֆրանցիսկոյի հսկաների թալիսմանը Լու Սիլն է:</v>
      </c>
    </row>
    <row r="2753">
      <c r="A2753" s="1" t="s">
        <v>5438</v>
      </c>
      <c r="B2753" s="2" t="s">
        <v>5439</v>
      </c>
      <c r="C2753" s="3" t="str">
        <f>IFERROR(__xludf.DUMMYFUNCTION("GOOGLETRANSLATE(A2753,""en"",""hy"")"),"որտեղ է ծնվել Թուփակը")</f>
        <v>որտեղ է ծնվել Թուփակը</v>
      </c>
      <c r="D2753" s="3" t="str">
        <f>IFERROR(__xludf.DUMMYFUNCTION("GOOGLETRANSLATE(B2753,""en"",""hy"")"),"Թուփակը ծնվել է Նյու Յորք նահանգի Արևելյան Հարլեմ քաղաքում:")</f>
        <v>Թուփակը ծնվել է Նյու Յորք նահանգի Արևելյան Հարլեմ քաղաքում:</v>
      </c>
    </row>
    <row r="2754">
      <c r="A2754" s="1" t="s">
        <v>5440</v>
      </c>
      <c r="B2754" s="2" t="s">
        <v>5441</v>
      </c>
      <c r="C2754" s="3" t="str">
        <f>IFERROR(__xludf.DUMMYFUNCTION("GOOGLETRANSLATE(A2754,""en"",""hy"")"),"որտեղ է գտնվում ՄԱԿ-ի գլխավոր շտաբը")</f>
        <v>որտեղ է գտնվում ՄԱԿ-ի գլխավոր շտաբը</v>
      </c>
      <c r="D2754" s="3" t="str">
        <f>IFERROR(__xludf.DUMMYFUNCTION("GOOGLETRANSLATE(B2754,""en"",""hy"")"),"Միավորված ազգերի կազմակերպության գլխավոր կենտրոնակայանը գտնվում է ԱՄՆ-ի Նյու Յորք քաղաքում:")</f>
        <v>Միավորված ազգերի կազմակերպության գլխավոր կենտրոնակայանը գտնվում է ԱՄՆ-ի Նյու Յորք քաղաքում:</v>
      </c>
    </row>
    <row r="2755">
      <c r="A2755" s="1" t="s">
        <v>5442</v>
      </c>
      <c r="B2755" s="2" t="s">
        <v>5443</v>
      </c>
      <c r="C2755" s="3" t="str">
        <f>IFERROR(__xludf.DUMMYFUNCTION("GOOGLETRANSLATE(A2755,""en"",""hy"")"),"ո՞ր utc ժամային գոտին է Արիզոնան:")</f>
        <v>ո՞ր utc ժամային գոտին է Արիզոնան:</v>
      </c>
      <c r="D2755" s="3" t="str">
        <f>IFERROR(__xludf.DUMMYFUNCTION("GOOGLETRANSLATE(B2755,""en"",""hy"")"),"Արիզոնան չի պահպանում ամառային ժամանակը և ամբողջ տարվա ընթացքում մնում է լեռնային ստանդարտ ժամանակով (MST):")</f>
        <v>Արիզոնան չի պահպանում ամառային ժամանակը և ամբողջ տարվա ընթացքում մնում է լեռնային ստանդարտ ժամանակով (MST):</v>
      </c>
    </row>
    <row r="2756">
      <c r="A2756" s="1" t="s">
        <v>5444</v>
      </c>
      <c r="B2756" s="2" t="s">
        <v>5445</v>
      </c>
      <c r="C2756" s="3" t="str">
        <f>IFERROR(__xludf.DUMMYFUNCTION("GOOGLETRANSLATE(A2756,""en"",""hy"")"),"ով խաղացել է որպես Բարնի")</f>
        <v>ով խաղացել է որպես Բարնի</v>
      </c>
      <c r="D2756" s="3" t="str">
        <f>IFERROR(__xludf.DUMMYFUNCTION("GOOGLETRANSLATE(B2756,""en"",""hy"")"),"Դերասանը, ով խաղացել է Բարնիի դերում, Նիլ Պատրիկ Հարիսն է։")</f>
        <v>Դերասանը, ով խաղացել է Բարնիի դերում, Նիլ Պատրիկ Հարիսն է։</v>
      </c>
    </row>
    <row r="2757">
      <c r="A2757" s="1" t="s">
        <v>5446</v>
      </c>
      <c r="B2757" s="2" t="s">
        <v>5447</v>
      </c>
      <c r="C2757" s="3" t="str">
        <f>IFERROR(__xludf.DUMMYFUNCTION("GOOGLETRANSLATE(A2757,""en"",""hy"")"),"ով խաղացել է Էլեյնի ընկերոջը Սեյնֆելդում:")</f>
        <v>ով խաղացել է Էլեյնի ընկերոջը Սեյնֆելդում:</v>
      </c>
      <c r="D2757" s="3" t="str">
        <f>IFERROR(__xludf.DUMMYFUNCTION("GOOGLETRANSLATE(B2757,""en"",""hy"")"),"Պետերմանը")</f>
        <v>Պետերմանը</v>
      </c>
    </row>
    <row r="2758">
      <c r="A2758" s="1" t="s">
        <v>5448</v>
      </c>
      <c r="B2758" s="2" t="s">
        <v>5449</v>
      </c>
      <c r="C2758" s="3" t="str">
        <f>IFERROR(__xludf.DUMMYFUNCTION("GOOGLETRANSLATE(A2758,""en"",""hy"")"),"ում հետ ամուսնացավ Խուան Պոնսե դե Լեոնը.")</f>
        <v>ում հետ ամուսնացավ Խուան Պոնսե դե Լեոնը.</v>
      </c>
      <c r="D2758" s="3" t="str">
        <f>IFERROR(__xludf.DUMMYFUNCTION("GOOGLETRANSLATE(B2758,""en"",""hy"")"),"Խուանա Պոնսե դե Լեոնն ամուսնացավ Լեոնոր Պոնսե դե Լեոնի հետ։")</f>
        <v>Խուանա Պոնսե դե Լեոնն ամուսնացավ Լեոնոր Պոնսե դե Լեոնի հետ։</v>
      </c>
    </row>
    <row r="2759">
      <c r="A2759" s="1" t="s">
        <v>5450</v>
      </c>
      <c r="B2759" s="2" t="s">
        <v>5451</v>
      </c>
      <c r="C2759" s="3" t="str">
        <f>IFERROR(__xludf.DUMMYFUNCTION("GOOGLETRANSLATE(A2759,""en"",""hy"")"),"ինչ լեզվով են խոսում Իսպանիայում Վիքիպեդիայում:")</f>
        <v>ինչ լեզվով են խոսում Իսպանիայում Վիքիպեդիայում:</v>
      </c>
      <c r="D2759" s="3" t="str">
        <f>IFERROR(__xludf.DUMMYFUNCTION("GOOGLETRANSLATE(B2759,""en"",""hy"")"),"Իսպանիայում խոսվող պաշտոնական լեզուն իսպաներենն է։")</f>
        <v>Իսպանիայում խոսվող պաշտոնական լեզուն իսպաներենն է։</v>
      </c>
    </row>
    <row r="2760">
      <c r="A2760" s="1" t="s">
        <v>5452</v>
      </c>
      <c r="B2760" s="2" t="s">
        <v>5453</v>
      </c>
      <c r="C2760" s="3" t="str">
        <f>IFERROR(__xludf.DUMMYFUNCTION("GOOGLETRANSLATE(A2760,""en"",""hy"")"),"որտեղ դիտել բացման արարողությունը Լոնդոնում:")</f>
        <v>որտեղ դիտել բացման արարողությունը Լոնդոնում:</v>
      </c>
      <c r="D2760" s="3" t="str">
        <f>IFERROR(__xludf.DUMMYFUNCTION("GOOGLETRANSLATE(B2760,""en"",""hy"")"),"Լոնդոնում բացման արարողությունը սովորաբար կարելի է դիտել հեռուստատեսությամբ կամ առցանց հոսքային հարթակներում:")</f>
        <v>Լոնդոնում բացման արարողությունը սովորաբար կարելի է դիտել հեռուստատեսությամբ կամ առցանց հոսքային հարթակներում:</v>
      </c>
    </row>
    <row r="2761">
      <c r="A2761" s="1" t="s">
        <v>5454</v>
      </c>
      <c r="B2761" s="2" t="s">
        <v>5455</v>
      </c>
      <c r="C2761" s="3" t="str">
        <f>IFERROR(__xludf.DUMMYFUNCTION("GOOGLETRANSLATE(A2761,""en"",""hy"")"),"քանի ժամ է Տեխասում")</f>
        <v>քանի ժամ է Տեխասում</v>
      </c>
      <c r="D2761" s="3" t="str">
        <f>IFERROR(__xludf.DUMMYFUNCTION("GOOGLETRANSLATE(B2761,""en"",""hy"")"),"Որպես AI լեզվի մոդել, ես իրական ժամանակի տեղեկատվություն չունեմ, բայց ներկայումս Տեխասում ժամանակը կախված է նրանից, թե որ ժամային գոտուն եք ակնարկում: Տեխասը տարածվում է Կենտրոնական ժամանակային գոտու (CT) և լեռնային ժամանակային գոտու (MT) ամբողջ տարածքում"&amp;": Եթե ​​դուք նշեք Տեխասի քաղաքը, ես կարող եմ ձեզ տեղական ժամանակը տրամադրել՝ ելնելով ժամային գոտուց:")</f>
        <v>Որպես AI լեզվի մոդել, ես իրական ժամանակի տեղեկատվություն չունեմ, բայց ներկայումս Տեխասում ժամանակը կախված է նրանից, թե որ ժամային գոտուն եք ակնարկում: Տեխասը տարածվում է Կենտրոնական ժամանակային գոտու (CT) և լեռնային ժամանակային գոտու (MT) ամբողջ տարածքում: Եթե ​​դուք նշեք Տեխասի քաղաքը, ես կարող եմ ձեզ տեղական ժամանակը տրամադրել՝ ելնելով ժամային գոտուց:</v>
      </c>
    </row>
    <row r="2762">
      <c r="A2762" s="1" t="s">
        <v>5456</v>
      </c>
      <c r="B2762" s="2" t="s">
        <v>5457</v>
      </c>
      <c r="C2762" s="3" t="str">
        <f>IFERROR(__xludf.DUMMYFUNCTION("GOOGLETRANSLATE(A2762,""en"",""hy"")"),"որտեղ էին խաղում Արիզոնայի ադամանդները:")</f>
        <v>որտեղ էին խաղում Արիզոնայի ադամանդները:</v>
      </c>
      <c r="D2762" s="3" t="str">
        <f>IFERROR(__xludf.DUMMYFUNCTION("GOOGLETRANSLATE(B2762,""en"",""hy"")"),"Arizona Diamondbacks-ը խաղում է Chase Field-ում:")</f>
        <v>Arizona Diamondbacks-ը խաղում է Chase Field-ում:</v>
      </c>
    </row>
    <row r="2763">
      <c r="A2763" s="1" t="s">
        <v>5458</v>
      </c>
      <c r="B2763" s="2" t="s">
        <v>5459</v>
      </c>
      <c r="C2763" s="3" t="str">
        <f>IFERROR(__xludf.DUMMYFUNCTION("GOOGLETRANSLATE(A2763,""en"",""hy"")"),"ինչ արեց Ֆրեդ Դևիսը")</f>
        <v>ինչ արեց Ֆրեդ Դևիսը</v>
      </c>
      <c r="D2763" s="3" t="str">
        <f>IFERROR(__xludf.DUMMYFUNCTION("GOOGLETRANSLATE(B2763,""en"",""hy"")"),"Ֆրեդ Դևիսը նախկին ամերիկացի ֆուտբոլիստ է, ով ուժեղ խաղացել է Ֆուտբոլի ազգային լիգայում (NFL):")</f>
        <v>Ֆրեդ Դևիսը նախկին ամերիկացի ֆուտբոլիստ է, ով ուժեղ խաղացել է Ֆուտբոլի ազգային լիգայում (NFL):</v>
      </c>
    </row>
    <row r="2764">
      <c r="A2764" s="1" t="s">
        <v>5460</v>
      </c>
      <c r="B2764" s="2" t="s">
        <v>5461</v>
      </c>
      <c r="C2764" s="3" t="str">
        <f>IFERROR(__xludf.DUMMYFUNCTION("GOOGLETRANSLATE(A2764,""en"",""hy"")"),"Ո՞ր երկրում է ծնվել Թեոդոր Շվանը.")</f>
        <v>Ո՞ր երկրում է ծնվել Թեոդոր Շվանը.</v>
      </c>
      <c r="D2764" s="3" t="str">
        <f>IFERROR(__xludf.DUMMYFUNCTION("GOOGLETRANSLATE(B2764,""en"",""hy"")"),"Թեոդոր Շվանը ծնվել է Գերմանիայում։")</f>
        <v>Թեոդոր Շվանը ծնվել է Գերմանիայում։</v>
      </c>
    </row>
    <row r="2765">
      <c r="A2765" s="1" t="s">
        <v>5462</v>
      </c>
      <c r="B2765" s="2" t="s">
        <v>5463</v>
      </c>
      <c r="C2765" s="3" t="str">
        <f>IFERROR(__xludf.DUMMYFUNCTION("GOOGLETRANSLATE(A2765,""en"",""hy"")"),"որտեղ է գտնվում Ֆուկուսիմա Դայիչին:")</f>
        <v>որտեղ է գտնվում Ֆուկուսիմա Դայիչին:</v>
      </c>
      <c r="D2765" s="3" t="str">
        <f>IFERROR(__xludf.DUMMYFUNCTION("GOOGLETRANSLATE(B2765,""en"",""hy"")"),"Ֆուկուսիմա Դայչի ատոմակայանը գտնվում է Ճապոնիայի Ֆուկուսիմա նահանգի Օկումա քաղաքում։")</f>
        <v>Ֆուկուսիմա Դայչի ատոմակայանը գտնվում է Ճապոնիայի Ֆուկուսիմա նահանգի Օկումա քաղաքում։</v>
      </c>
    </row>
    <row r="2766">
      <c r="A2766" s="1" t="s">
        <v>5464</v>
      </c>
      <c r="B2766" s="2" t="s">
        <v>5465</v>
      </c>
      <c r="C2766" s="3" t="str">
        <f>IFERROR(__xludf.DUMMYFUNCTION("GOOGLETRANSLATE(A2766,""en"",""hy"")"),"ո՞ր երկրից էր բեն լադենը.")</f>
        <v>ո՞ր երկրից էր բեն լադենը.</v>
      </c>
      <c r="D2766" s="3" t="str">
        <f>IFERROR(__xludf.DUMMYFUNCTION("GOOGLETRANSLATE(B2766,""en"",""hy"")"),"Բեն Լադենը ​​Սաուդյան Արաբիայից էր։")</f>
        <v>Բեն Լադենը ​​Սաուդյան Արաբիայից էր։</v>
      </c>
    </row>
    <row r="2767">
      <c r="A2767" s="1" t="s">
        <v>5466</v>
      </c>
      <c r="B2767" s="2" t="s">
        <v>5467</v>
      </c>
      <c r="C2767" s="3" t="str">
        <f>IFERROR(__xludf.DUMMYFUNCTION("GOOGLETRANSLATE(A2767,""en"",""hy"")"),"ով է խաղում Կլաուդիա ուրախություն բանակի կանանց վրա.")</f>
        <v>ով է խաղում Կլաուդիա ուրախություն բանակի կանանց վրա.</v>
      </c>
      <c r="D2767" s="3" t="str">
        <f>IFERROR(__xludf.DUMMYFUNCTION("GOOGLETRANSLATE(B2767,""en"",""hy"")"),"Քիմ Դելեյնի")</f>
        <v>Քիմ Դելեյնի</v>
      </c>
    </row>
    <row r="2768">
      <c r="A2768" s="1" t="s">
        <v>5468</v>
      </c>
      <c r="B2768" s="2" t="s">
        <v>5469</v>
      </c>
      <c r="C2768" s="3" t="str">
        <f>IFERROR(__xludf.DUMMYFUNCTION("GOOGLETRANSLATE(A2768,""en"",""hy"")"),"որտեղ է տեղի ունեցել Դարֆուրը")</f>
        <v>որտեղ է տեղի ունեցել Դարֆուրը</v>
      </c>
      <c r="D2768" s="3" t="str">
        <f>IFERROR(__xludf.DUMMYFUNCTION("GOOGLETRANSLATE(B2768,""en"",""hy"")"),"Դարֆուրը տեղի է ունեցել Սուդանում.")</f>
        <v>Դարֆուրը տեղի է ունեցել Սուդանում.</v>
      </c>
    </row>
    <row r="2769">
      <c r="A2769" s="1" t="s">
        <v>5470</v>
      </c>
      <c r="B2769" s="2" t="s">
        <v>5471</v>
      </c>
      <c r="C2769" s="3" t="str">
        <f>IFERROR(__xludf.DUMMYFUNCTION("GOOGLETRANSLATE(A2769,""en"",""hy"")"),"ի՞նչ լեզու է օգտագործում Հունաստանը")</f>
        <v>ի՞նչ լեզու է օգտագործում Հունաստանը</v>
      </c>
      <c r="D2769" s="3" t="str">
        <f>IFERROR(__xludf.DUMMYFUNCTION("GOOGLETRANSLATE(B2769,""en"",""hy"")"),"Հունաստանի պաշտոնական լեզուն հունարենն է։")</f>
        <v>Հունաստանի պաշտոնական լեզուն հունարենն է։</v>
      </c>
    </row>
    <row r="2770">
      <c r="A2770" s="1" t="s">
        <v>5472</v>
      </c>
      <c r="B2770" s="2" t="s">
        <v>5473</v>
      </c>
      <c r="C2770" s="3" t="str">
        <f>IFERROR(__xludf.DUMMYFUNCTION("GOOGLETRANSLATE(A2770,""en"",""hy"")"),"ինչ փողեր է օգտագործում Արգենտինան")</f>
        <v>ինչ փողեր է օգտագործում Արգենտինան</v>
      </c>
      <c r="D2770" s="3" t="str">
        <f>IFERROR(__xludf.DUMMYFUNCTION("GOOGLETRANSLATE(B2770,""en"",""hy"")"),"Արգենտինան որպես արժույթ օգտագործում է արգենտինական պեսոն։")</f>
        <v>Արգենտինան որպես արժույթ օգտագործում է արգենտինական պեսոն։</v>
      </c>
    </row>
    <row r="2771">
      <c r="A2771" s="1" t="s">
        <v>5474</v>
      </c>
      <c r="B2771" s="2" t="s">
        <v>5475</v>
      </c>
      <c r="C2771" s="3" t="str">
        <f>IFERROR(__xludf.DUMMYFUNCTION("GOOGLETRANSLATE(A2771,""en"",""hy"")"),"ով էր Ավստրալիայի վարչապետը 1958թ.")</f>
        <v>ով էր Ավստրալիայի վարչապետը 1958թ.</v>
      </c>
      <c r="D2771" s="3" t="str">
        <f>IFERROR(__xludf.DUMMYFUNCTION("GOOGLETRANSLATE(B2771,""en"",""hy"")"),"Ռոբերտ Մենզիսը Ավստրալիայի վարչապետն էր 1958 թվականին։")</f>
        <v>Ռոբերտ Մենզիսը Ավստրալիայի վարչապետն էր 1958 թվականին։</v>
      </c>
    </row>
    <row r="2772">
      <c r="A2772" s="1" t="s">
        <v>5476</v>
      </c>
      <c r="B2772" s="2" t="s">
        <v>5477</v>
      </c>
      <c r="C2772" s="3" t="str">
        <f>IFERROR(__xludf.DUMMYFUNCTION("GOOGLETRANSLATE(A2772,""en"",""hy"")"),"ո՞ր կիսագնդում Հարավային Ամերիկա")</f>
        <v>ո՞ր կիսագնդում Հարավային Ամերիկա</v>
      </c>
      <c r="D2772" s="3" t="str">
        <f>IFERROR(__xludf.DUMMYFUNCTION("GOOGLETRANSLATE(B2772,""en"",""hy"")"),"Հարավային Ամերիկան ​​գտնվում է ինչպես Արևելյան, այնպես էլ Արևմտյան կիսագնդում:")</f>
        <v>Հարավային Ամերիկան ​​գտնվում է ինչպես Արևելյան, այնպես էլ Արևմտյան կիսագնդում:</v>
      </c>
    </row>
    <row r="2773">
      <c r="A2773" s="1" t="s">
        <v>5478</v>
      </c>
      <c r="B2773" s="2" t="s">
        <v>5479</v>
      </c>
      <c r="C2773" s="3" t="str">
        <f>IFERROR(__xludf.DUMMYFUNCTION("GOOGLETRANSLATE(A2773,""en"",""hy"")"),"ինչ ֆիլմերում է նկարահանվել Թեյլոր Մամսենը")</f>
        <v>ինչ ֆիլմերում է նկարահանվել Թեյլոր Մամսենը</v>
      </c>
      <c r="D2773" s="3" t="str">
        <f>IFERROR(__xludf.DUMMYFUNCTION("GOOGLETRANSLATE(B2773,""en"",""hy"")"),"Թեյլոր Մոմսենը նկարահանվել է այնպիսի ֆիլմերում, ինչպիսիք են «Hansel &amp; Gretel» (2002) և «Spy Kids 2. The Island of Lost Dreams» (2002):")</f>
        <v>Թեյլոր Մոմսենը նկարահանվել է այնպիսի ֆիլմերում, ինչպիսիք են «Hansel &amp; Gretel» (2002) և «Spy Kids 2. The Island of Lost Dreams» (2002):</v>
      </c>
    </row>
    <row r="2774">
      <c r="A2774" s="1" t="s">
        <v>5480</v>
      </c>
      <c r="B2774" s="2" t="s">
        <v>5481</v>
      </c>
      <c r="C2774" s="3" t="str">
        <f>IFERROR(__xludf.DUMMYFUNCTION("GOOGLETRANSLATE(A2774,""en"",""hy"")"),"Ո՞ր շոուում էր Քիմ Ռիչարդսը մանկության տարիներին:")</f>
        <v>Ո՞ր շոուում էր Քիմ Ռիչարդսը մանկության տարիներին:</v>
      </c>
      <c r="D2774" s="3" t="str">
        <f>IFERROR(__xludf.DUMMYFUNCTION("GOOGLETRANSLATE(B2774,""en"",""hy"")"),"Քիմ Ռիչարդսը եղել է «Բևերլի Հիլզի իրական տնային տնտեսուհիները» հեռուստաշոուում։")</f>
        <v>Քիմ Ռիչարդսը եղել է «Բևերլի Հիլզի իրական տնային տնտեսուհիները» հեռուստաշոուում։</v>
      </c>
    </row>
    <row r="2775">
      <c r="A2775" s="1" t="s">
        <v>5482</v>
      </c>
      <c r="B2775" s="2" t="s">
        <v>5483</v>
      </c>
      <c r="C2775" s="3" t="str">
        <f>IFERROR(__xludf.DUMMYFUNCTION("GOOGLETRANSLATE(A2775,""en"",""hy"")"),"ինչո՞վ էր առավել հայտնի Հենրի Ֆորդը:")</f>
        <v>ինչո՞վ էր առավել հայտնի Հենրի Ֆորդը:</v>
      </c>
      <c r="D2775" s="3" t="str">
        <f>IFERROR(__xludf.DUMMYFUNCTION("GOOGLETRANSLATE(B2775,""en"",""hy"")"),"Հենրի Ֆորդը հայտնի էր Ford Motor Company-ի հիմնադրմամբ և ավտոմոբիլային արդյունաբերության մեջ հեղափոխությամբ՝ հավաքման գծի և Model T ավտոմեքենայի ներդրմամբ:")</f>
        <v>Հենրի Ֆորդը հայտնի էր Ford Motor Company-ի հիմնադրմամբ և ավտոմոբիլային արդյունաբերության մեջ հեղափոխությամբ՝ հավաքման գծի և Model T ավտոմեքենայի ներդրմամբ:</v>
      </c>
    </row>
    <row r="2776">
      <c r="A2776" s="1" t="s">
        <v>5484</v>
      </c>
      <c r="B2776" s="2" t="s">
        <v>5485</v>
      </c>
      <c r="C2776" s="3" t="str">
        <f>IFERROR(__xludf.DUMMYFUNCTION("GOOGLETRANSLATE(A2776,""en"",""hy"")"),"ինչ երաժշտություն է երգել Մայքլ Ջեքսոնը:")</f>
        <v>ինչ երաժշտություն է երգել Մայքլ Ջեքսոնը:</v>
      </c>
      <c r="D2776" s="3" t="str">
        <f>IFERROR(__xludf.DUMMYFUNCTION("GOOGLETRANSLATE(B2776,""en"",""hy"")"),"Մայքլ Ջեքսոնը հայտնի էր փոփ երաժշտությամբ երգելով։")</f>
        <v>Մայքլ Ջեքսոնը հայտնի էր փոփ երաժշտությամբ երգելով։</v>
      </c>
    </row>
    <row r="2777">
      <c r="A2777" s="1" t="s">
        <v>5486</v>
      </c>
      <c r="B2777" s="2" t="s">
        <v>5487</v>
      </c>
      <c r="C2777" s="3" t="str">
        <f>IFERROR(__xludf.DUMMYFUNCTION("GOOGLETRANSLATE(A2777,""en"",""hy"")"),"ի՞նչ կրթություն ունի Ջեֆ Քորվինը:")</f>
        <v>ի՞նչ կրթություն ունի Ջեֆ Քորվինը:</v>
      </c>
      <c r="D2777" s="3" t="str">
        <f>IFERROR(__xludf.DUMMYFUNCTION("GOOGLETRANSLATE(B2777,""en"",""hy"")"),"Ջեֆ Քորվինը գիտության բակալավրի կոչում ունի կենսաբանության և մարդաբանության բնագավառում:")</f>
        <v>Ջեֆ Քորվինը գիտության բակալավրի կոչում ունի կենսաբանության և մարդաբանության բնագավառում:</v>
      </c>
    </row>
    <row r="2778">
      <c r="A2778" s="1" t="s">
        <v>5488</v>
      </c>
      <c r="B2778" s="2" t="s">
        <v>5489</v>
      </c>
      <c r="C2778" s="3" t="str">
        <f>IFERROR(__xludf.DUMMYFUNCTION("GOOGLETRANSLATE(A2778,""en"",""hy"")"),"ո՞ր ֆիլմերում է նկարահանվել Քրիս Քոլֆերը:")</f>
        <v>ո՞ր ֆիլմերում է նկարահանվել Քրիս Քոլֆերը:</v>
      </c>
      <c r="D2778" s="3" t="str">
        <f>IFERROR(__xludf.DUMMYFUNCTION("GOOGLETRANSLATE(B2778,""en"",""hy"")"),"Քրիս Քոլֆերը նկարահանվել է այնպիսի ֆիլմերում, ինչպիսիք են «Կայծակի հարվածը» և «Բացարձակ առասպելական: Ֆիլմը»:")</f>
        <v>Քրիս Քոլֆերը նկարահանվել է այնպիսի ֆիլմերում, ինչպիսիք են «Կայծակի հարվածը» և «Բացարձակ առասպելական: Ֆիլմը»:</v>
      </c>
    </row>
    <row r="2779">
      <c r="A2779" s="1" t="s">
        <v>5490</v>
      </c>
      <c r="B2779" s="2" t="s">
        <v>5491</v>
      </c>
      <c r="C2779" s="3" t="str">
        <f>IFERROR(__xludf.DUMMYFUNCTION("GOOGLETRANSLATE(A2779,""en"",""hy"")"),"որտեղ է ապրում Դանիայի թագուհին.")</f>
        <v>որտեղ է ապրում Դանիայի թագուհին.</v>
      </c>
      <c r="D2779" s="3" t="str">
        <f>IFERROR(__xludf.DUMMYFUNCTION("GOOGLETRANSLATE(B2779,""en"",""hy"")"),"Դանիայի թագուհին ապրում է Ամալիենբորգ պալատում։")</f>
        <v>Դանիայի թագուհին ապրում է Ամալիենբորգ պալատում։</v>
      </c>
    </row>
    <row r="2780">
      <c r="A2780" s="1" t="s">
        <v>5492</v>
      </c>
      <c r="B2780" s="2" t="s">
        <v>5493</v>
      </c>
      <c r="C2780" s="3" t="str">
        <f>IFERROR(__xludf.DUMMYFUNCTION("GOOGLETRANSLATE(A2780,""en"",""hy"")"),"ինչ է գրել Ռոալդ Դալը")</f>
        <v>ինչ է գրել Ռոալդ Դալը</v>
      </c>
      <c r="D2780" s="3" t="str">
        <f>IFERROR(__xludf.DUMMYFUNCTION("GOOGLETRANSLATE(B2780,""en"",""hy"")"),"Ռոալդ Դալը գրել է մանկական գրքեր։")</f>
        <v>Ռոալդ Դալը գրել է մանկական գրքեր։</v>
      </c>
    </row>
    <row r="2781">
      <c r="A2781" s="1" t="s">
        <v>5494</v>
      </c>
      <c r="B2781" s="2" t="s">
        <v>5495</v>
      </c>
      <c r="C2781" s="3" t="str">
        <f>IFERROR(__xludf.DUMMYFUNCTION("GOOGLETRANSLATE(A2781,""en"",""hy"")"),"ով էր իսկական Էրին Բրոկովիչը:")</f>
        <v>ով էր իսկական Էրին Բրոկովիչը:</v>
      </c>
      <c r="D2781" s="3" t="str">
        <f>IFERROR(__xludf.DUMMYFUNCTION("GOOGLETRANSLATE(B2781,""en"",""hy"")"),"Իսկական Էրին Բրոկովիչը ամերիկացի իրավաբան է և բնապահպան ակտիվիստ:")</f>
        <v>Իսկական Էրին Բրոկովիչը ամերիկացի իրավաբան է և բնապահպան ակտիվիստ:</v>
      </c>
    </row>
    <row r="2782">
      <c r="A2782" s="1" t="s">
        <v>5496</v>
      </c>
      <c r="B2782" s="2" t="s">
        <v>5497</v>
      </c>
      <c r="C2782" s="3" t="str">
        <f>IFERROR(__xludf.DUMMYFUNCTION("GOOGLETRANSLATE(A2782,""en"",""hy"")"),"որտեղ են արտադրվում riddell սաղավարտները:")</f>
        <v>որտեղ են արտադրվում riddell սաղավարտները:</v>
      </c>
      <c r="D2782" s="3" t="str">
        <f>IFERROR(__xludf.DUMMYFUNCTION("GOOGLETRANSLATE(B2782,""en"",""hy"")"),"Riddell սաղավարտներն արտադրվում են ԱՄՆ Օհայո նահանգի Հյուսիսային Ռիջվիլ քաղաքում։")</f>
        <v>Riddell սաղավարտներն արտադրվում են ԱՄՆ Օհայո նահանգի Հյուսիսային Ռիջվիլ քաղաքում։</v>
      </c>
    </row>
    <row r="2783">
      <c r="A2783" s="1" t="s">
        <v>5498</v>
      </c>
      <c r="B2783" s="2" t="s">
        <v>5499</v>
      </c>
      <c r="C2783" s="3" t="str">
        <f>IFERROR(__xludf.DUMMYFUNCTION("GOOGLETRANSLATE(A2783,""en"",""hy"")"),"ո՞ր կոմսությունում է գտնվում Տրոյը")</f>
        <v>ո՞ր կոմսությունում է գտնվում Տրոյը</v>
      </c>
      <c r="D2783" s="3" t="str">
        <f>IFERROR(__xludf.DUMMYFUNCTION("GOOGLETRANSLATE(B2783,""en"",""hy"")"),"Troy, IL գտնվում է Մեդիսոն կոմսությունում։")</f>
        <v>Troy, IL գտնվում է Մեդիսոն կոմսությունում։</v>
      </c>
    </row>
    <row r="2784">
      <c r="A2784" s="1" t="s">
        <v>5500</v>
      </c>
      <c r="B2784" s="2" t="s">
        <v>5501</v>
      </c>
      <c r="C2784" s="3" t="str">
        <f>IFERROR(__xludf.DUMMYFUNCTION("GOOGLETRANSLATE(A2784,""en"",""hy"")"),"ինչ պաշտոն է զբաղեցնում Միթ Ռոմնին:")</f>
        <v>ինչ պաշտոն է զբաղեցնում Միթ Ռոմնին:</v>
      </c>
      <c r="D2784" s="3" t="str">
        <f>IFERROR(__xludf.DUMMYFUNCTION("GOOGLETRANSLATE(B2784,""en"",""hy"")"),"Միթ Ռոմնին ներկայումս Միացյալ Նահանգների սենատոր է:")</f>
        <v>Միթ Ռոմնին ներկայումս Միացյալ Նահանգների սենատոր է:</v>
      </c>
    </row>
    <row r="2785">
      <c r="A2785" s="1" t="s">
        <v>5502</v>
      </c>
      <c r="B2785" s="2" t="s">
        <v>5503</v>
      </c>
      <c r="C2785" s="3" t="str">
        <f>IFERROR(__xludf.DUMMYFUNCTION("GOOGLETRANSLATE(A2785,""en"",""hy"")"),"ո՞ւմ հետ է ամուսնացած քանթրի երգչուհի Ջելին.")</f>
        <v>ո՞ւմ հետ է ամուսնացած քանթրի երգչուհի Ջելին.</v>
      </c>
      <c r="D2785" s="3" t="str">
        <f>IFERROR(__xludf.DUMMYFUNCTION("GOOGLETRANSLATE(B2785,""en"",""hy"")"),"Ջուելն ամուսնացած է պրոֆեսիոնալ ցուլ հեծյալ Թայ Մյուրեյի հետ։")</f>
        <v>Ջուելն ամուսնացած է պրոֆեսիոնալ ցուլ հեծյալ Թայ Մյուրեյի հետ։</v>
      </c>
    </row>
    <row r="2786">
      <c r="A2786" s="1" t="s">
        <v>5504</v>
      </c>
      <c r="B2786" s="2" t="s">
        <v>5505</v>
      </c>
      <c r="C2786" s="3" t="str">
        <f>IFERROR(__xludf.DUMMYFUNCTION("GOOGLETRANSLATE(A2786,""en"",""hy"")"),"ինչ ֆիլմերում է խաղում Թուփակը")</f>
        <v>ինչ ֆիլմերում է խաղում Թուփակը</v>
      </c>
      <c r="D2786" s="3" t="str">
        <f>IFERROR(__xludf.DUMMYFUNCTION("GOOGLETRANSLATE(B2786,""en"",""hy"")"),"Թուփակը նկարահանվել է այնպիսի ֆիլմերում, ինչպիսիք են «Juice»-ը և «Poetic Justice»-ը:")</f>
        <v>Թուփակը նկարահանվել է այնպիսի ֆիլմերում, ինչպիսիք են «Juice»-ը և «Poetic Justice»-ը:</v>
      </c>
    </row>
    <row r="2787">
      <c r="A2787" s="1" t="s">
        <v>5506</v>
      </c>
      <c r="B2787" s="2" t="s">
        <v>5507</v>
      </c>
      <c r="C2787" s="3" t="str">
        <f>IFERROR(__xludf.DUMMYFUNCTION("GOOGLETRANSLATE(A2787,""en"",""hy"")"),"ի՞նչ հայտնի գիրք է գրել Ադամ Սմիթը:")</f>
        <v>ի՞նչ հայտնի գիրք է գրել Ադամ Սմիթը:</v>
      </c>
      <c r="D2787" s="3" t="str">
        <f>IFERROR(__xludf.DUMMYFUNCTION("GOOGLETRANSLATE(B2787,""en"",""hy"")"),"Ադամ Սմիթը հայտնի է գրել «Ազգերի հարստությունը» գիրքը:")</f>
        <v>Ադամ Սմիթը հայտնի է գրել «Ազգերի հարստությունը» գիրքը:</v>
      </c>
    </row>
    <row r="2788">
      <c r="A2788" s="1" t="s">
        <v>5508</v>
      </c>
      <c r="B2788" s="2" t="s">
        <v>5509</v>
      </c>
      <c r="C2788" s="3" t="str">
        <f>IFERROR(__xludf.DUMMYFUNCTION("GOOGLETRANSLATE(A2788,""en"",""hy"")"),"որտեղով է անցնում ապալաչյան արահետը:")</f>
        <v>որտեղով է անցնում ապալաչյան արահետը:</v>
      </c>
      <c r="D2788" s="3" t="str">
        <f>IFERROR(__xludf.DUMMYFUNCTION("GOOGLETRANSLATE(B2788,""en"",""hy"")"),"Ապալաչյան արահետն անցնում է Միացյալ Նահանգների արևելյան շրջաններով:")</f>
        <v>Ապալաչյան արահետն անցնում է Միացյալ Նահանգների արևելյան շրջաններով:</v>
      </c>
    </row>
    <row r="2789">
      <c r="A2789" s="1" t="s">
        <v>5510</v>
      </c>
      <c r="B2789" s="2" t="s">
        <v>5511</v>
      </c>
      <c r="C2789" s="3" t="str">
        <f>IFERROR(__xludf.DUMMYFUNCTION("GOOGLETRANSLATE(A2789,""en"",""hy"")"),"որտեղ է գտնվում Բուրունդին քարտեզի վրա:")</f>
        <v>որտեղ է գտնվում Բուրունդին քարտեզի վրա:</v>
      </c>
      <c r="D2789" s="3" t="str">
        <f>IFERROR(__xludf.DUMMYFUNCTION("GOOGLETRANSLATE(B2789,""en"",""hy"")"),"Բուրունդին գտնվում է Արևելյան Աֆրիկայում։")</f>
        <v>Բուրունդին գտնվում է Արևելյան Աֆրիկայում։</v>
      </c>
    </row>
    <row r="2790">
      <c r="A2790" s="1" t="s">
        <v>5512</v>
      </c>
      <c r="B2790" s="2" t="s">
        <v>5513</v>
      </c>
      <c r="C2790" s="3" t="str">
        <f>IFERROR(__xludf.DUMMYFUNCTION("GOOGLETRANSLATE(A2790,""en"",""hy"")"),"Ո՞ր տարին է Mcfly-ն գնացել ապագա:")</f>
        <v>Ո՞ր տարին է Mcfly-ն գնացել ապագա:</v>
      </c>
      <c r="D2790" s="3" t="str">
        <f>IFERROR(__xludf.DUMMYFUNCTION("GOOGLETRANSLATE(B2790,""en"",""hy"")"),"Մակֆլայը դեպի ապագա գնաց 2015թ.")</f>
        <v>Մակֆլայը դեպի ապագա գնաց 2015թ.</v>
      </c>
    </row>
    <row r="2791">
      <c r="A2791" s="1" t="s">
        <v>5514</v>
      </c>
      <c r="B2791" s="2" t="s">
        <v>5515</v>
      </c>
      <c r="C2791" s="3" t="str">
        <f>IFERROR(__xludf.DUMMYFUNCTION("GOOGLETRANSLATE(A2791,""en"",""hy"")"),"ինչ է ներկայացնում unicef-ը")</f>
        <v>ինչ է ներկայացնում unicef-ը</v>
      </c>
      <c r="D2791" s="3" t="str">
        <f>IFERROR(__xludf.DUMMYFUNCTION("GOOGLETRANSLATE(B2791,""en"",""hy"")"),"ՅՈՒՆԻՍԵՖ-ը նշանակում է ՄԱԿ-ի Միջազգային Երեխաների շտապ օգնության հիմնադրամ:")</f>
        <v>ՅՈՒՆԻՍԵՖ-ը նշանակում է ՄԱԿ-ի Միջազգային Երեխաների շտապ օգնության հիմնադրամ:</v>
      </c>
    </row>
    <row r="2792">
      <c r="A2792" s="1" t="s">
        <v>5516</v>
      </c>
      <c r="B2792" s="2" t="s">
        <v>5517</v>
      </c>
      <c r="C2792" s="3" t="str">
        <f>IFERROR(__xludf.DUMMYFUNCTION("GOOGLETRANSLATE(A2792,""en"",""hy"")"),"ո՞ր ակումբներում է խաղացել Մեսսին.")</f>
        <v>ո՞ր ակումբներում է խաղացել Մեսսին.</v>
      </c>
      <c r="D2792" s="3" t="str">
        <f>IFERROR(__xludf.DUMMYFUNCTION("GOOGLETRANSLATE(B2792,""en"",""hy"")"),"Բարսելոնա ՖԱ.")</f>
        <v>Բարսելոնա ՖԱ.</v>
      </c>
    </row>
    <row r="2793">
      <c r="A2793" s="1" t="s">
        <v>5518</v>
      </c>
      <c r="B2793" s="2" t="s">
        <v>5519</v>
      </c>
      <c r="C2793" s="3" t="str">
        <f>IFERROR(__xludf.DUMMYFUNCTION("GOOGLETRANSLATE(A2793,""en"",""hy"")"),"որտեղ է Merell shoes-ի շտաբը:")</f>
        <v>որտեղ է Merell shoes-ի շտաբը:</v>
      </c>
      <c r="D2793" s="3" t="str">
        <f>IFERROR(__xludf.DUMMYFUNCTION("GOOGLETRANSLATE(B2793,""en"",""hy"")"),"Merrell Shoes-ի գլխամասային գրասենյակը գտնվում է Ռոքֆորդում, Միչիգան, ԱՄՆ:")</f>
        <v>Merrell Shoes-ի գլխամասային գրասենյակը գտնվում է Ռոքֆորդում, Միչիգան, ԱՄՆ:</v>
      </c>
    </row>
    <row r="2794">
      <c r="A2794" s="1" t="s">
        <v>5520</v>
      </c>
      <c r="B2794" s="2" t="s">
        <v>5521</v>
      </c>
      <c r="C2794" s="3" t="str">
        <f>IFERROR(__xludf.DUMMYFUNCTION("GOOGLETRANSLATE(A2794,""en"",""hy"")"),"ում հետ է Մեծ Բրիտանիան առևտուր անում")</f>
        <v>ում հետ է Մեծ Բրիտանիան առևտուր անում</v>
      </c>
      <c r="D2794" s="3" t="str">
        <f>IFERROR(__xludf.DUMMYFUNCTION("GOOGLETRANSLATE(B2794,""en"",""hy"")"),"Մեծ Բրիտանիան առևտուր է անում աշխարհի շատ երկրների հետ: Նրա որոշ առաջատար առևտրային գործընկերներից են Եվրամիությունը, Միացյալ Նահանգները, Չինաստանը և Ճապոնիան:")</f>
        <v>Մեծ Բրիտանիան առևտուր է անում աշխարհի շատ երկրների հետ: Նրա որոշ առաջատար առևտրային գործընկերներից են Եվրամիությունը, Միացյալ Նահանգները, Չինաստանը և Ճապոնիան:</v>
      </c>
    </row>
    <row r="2795">
      <c r="A2795" s="1" t="s">
        <v>5522</v>
      </c>
      <c r="B2795" s="2" t="s">
        <v>5523</v>
      </c>
      <c r="C2795" s="3" t="str">
        <f>IFERROR(__xludf.DUMMYFUNCTION("GOOGLETRANSLATE(A2795,""en"",""hy"")"),"ինչ գույնի են բալթիմորյան ագռավները:")</f>
        <v>ինչ գույնի են բալթիմորյան ագռավները:</v>
      </c>
      <c r="D2795" s="3" t="str">
        <f>IFERROR(__xludf.DUMMYFUNCTION("GOOGLETRANSLATE(B2795,""en"",""hy"")"),"Baltimore Ravens-ի գույներն են՝ մանուշակագույն, սև և ոսկեգույն։")</f>
        <v>Baltimore Ravens-ի գույներն են՝ մանուշակագույն, սև և ոսկեգույն։</v>
      </c>
    </row>
    <row r="2796">
      <c r="A2796" s="1" t="s">
        <v>5524</v>
      </c>
      <c r="B2796" s="2" t="s">
        <v>5525</v>
      </c>
      <c r="C2796" s="3" t="str">
        <f>IFERROR(__xludf.DUMMYFUNCTION("GOOGLETRANSLATE(A2796,""en"",""hy"")"),"ո՞ր երկրից են արտադրվել վոլվո մեքենաները.")</f>
        <v>ո՞ր երկրից են արտադրվել վոլվո մեքենաները.</v>
      </c>
      <c r="D2796" s="3" t="str">
        <f>IFERROR(__xludf.DUMMYFUNCTION("GOOGLETRANSLATE(B2796,""en"",""hy"")"),"Շվեդիա.")</f>
        <v>Շվեդիա.</v>
      </c>
    </row>
    <row r="2797">
      <c r="A2797" s="1" t="s">
        <v>5526</v>
      </c>
      <c r="B2797" s="2" t="s">
        <v>5527</v>
      </c>
      <c r="C2797" s="3" t="str">
        <f>IFERROR(__xludf.DUMMYFUNCTION("GOOGLETRANSLATE(A2797,""en"",""hy"")"),"ով է խաղում Կարեն Ջեքսոնի անամոթի վրա")</f>
        <v>ով է խաղում Կարեն Ջեքսոնի անամոթի վրա</v>
      </c>
      <c r="D2797" s="3" t="str">
        <f>IFERROR(__xludf.DUMMYFUNCTION("GOOGLETRANSLATE(B2797,""en"",""hy"")"),"Լաուրա Ուիգինս.")</f>
        <v>Լաուրա Ուիգինս.</v>
      </c>
    </row>
    <row r="2798">
      <c r="A2798" s="1" t="s">
        <v>5528</v>
      </c>
      <c r="B2798" s="2" t="s">
        <v>5529</v>
      </c>
      <c r="C2798" s="3" t="str">
        <f>IFERROR(__xludf.DUMMYFUNCTION("GOOGLETRANSLATE(A2798,""en"",""hy"")"),"ինչ է Թիմ Թեբոուի կրոնը:")</f>
        <v>ինչ է Թիմ Թեբոուի կրոնը:</v>
      </c>
      <c r="D2798" s="3" t="str">
        <f>IFERROR(__xludf.DUMMYFUNCTION("GOOGLETRANSLATE(B2798,""en"",""hy"")"),"Թիմ Թեբոուի կրոնը քրիստոնեությունն է:")</f>
        <v>Թիմ Թեբոուի կրոնը քրիստոնեությունն է:</v>
      </c>
    </row>
    <row r="2799">
      <c r="A2799" s="1" t="s">
        <v>5530</v>
      </c>
      <c r="B2799" s="2" t="s">
        <v>5531</v>
      </c>
      <c r="C2799" s="3" t="str">
        <f>IFERROR(__xludf.DUMMYFUNCTION("GOOGLETRANSLATE(A2799,""en"",""hy"")"),"ո՞ր երկրի կողքին է Սինգապուրը")</f>
        <v>ո՞ր երկրի կողքին է Սինգապուրը</v>
      </c>
      <c r="D2799" s="3" t="str">
        <f>IFERROR(__xludf.DUMMYFUNCTION("GOOGLETRANSLATE(B2799,""en"",""hy"")"),"Սինգապուրը Մալայզիայի կողքին է։")</f>
        <v>Սինգապուրը Մալայզիայի կողքին է։</v>
      </c>
    </row>
    <row r="2800">
      <c r="A2800" s="1" t="s">
        <v>5532</v>
      </c>
      <c r="B2800" s="2" t="s">
        <v>5533</v>
      </c>
      <c r="C2800" s="3" t="str">
        <f>IFERROR(__xludf.DUMMYFUNCTION("GOOGLETRANSLATE(A2800,""en"",""hy"")"),"ո՞ր տարին է Դետրոյթ Պիստոնսը հաղթել առաջնությունում:")</f>
        <v>ո՞ր տարին է Դետրոյթ Պիստոնսը հաղթել առաջնությունում:</v>
      </c>
      <c r="D2800" s="3" t="str">
        <f>IFERROR(__xludf.DUMMYFUNCTION("GOOGLETRANSLATE(B2800,""en"",""hy"")"),"«Դետրոյթ Փիստոնսը» չեմպիոն է դարձել 2004 թվականին։")</f>
        <v>«Դետրոյթ Փիստոնսը» չեմպիոն է դարձել 2004 թվականին։</v>
      </c>
    </row>
    <row r="2801">
      <c r="A2801" s="1" t="s">
        <v>5534</v>
      </c>
      <c r="B2801" s="2" t="s">
        <v>5535</v>
      </c>
      <c r="C2801" s="3" t="str">
        <f>IFERROR(__xludf.DUMMYFUNCTION("GOOGLETRANSLATE(A2801,""en"",""hy"")"),"ինչ է անում Անդերսոն Կուպերը")</f>
        <v>ինչ է անում Անդերսոն Կուպերը</v>
      </c>
      <c r="D2801" s="3" t="str">
        <f>IFERROR(__xludf.DUMMYFUNCTION("GOOGLETRANSLATE(B2801,""en"",""hy"")"),"Անդերսոն Կուպերը լրագրող և հեռուստատեսային անձնավորություն է:")</f>
        <v>Անդերսոն Կուպերը լրագրող և հեռուստատեսային անձնավորություն է:</v>
      </c>
    </row>
    <row r="2802">
      <c r="A2802" s="1" t="s">
        <v>5536</v>
      </c>
      <c r="B2802" s="2" t="s">
        <v>5537</v>
      </c>
      <c r="C2802" s="3" t="str">
        <f>IFERROR(__xludf.DUMMYFUNCTION("GOOGLETRANSLATE(A2802,""en"",""hy"")"),"ինչ ֆիլմերում է խաղացել Մեթ Բոմերը:")</f>
        <v>ինչ ֆիլմերում է խաղացել Մեթ Բոմերը:</v>
      </c>
      <c r="D2802" s="3" t="str">
        <f>IFERROR(__xludf.DUMMYFUNCTION("GOOGLETRANSLATE(B2802,""en"",""hy"")"),"Մեթ Բոմերը նկարահանվել է այնպիսի ֆիլմերում, ինչպիսիք են «Magic Mike», «The Nice Guys» և «In Time»-ը։")</f>
        <v>Մեթ Բոմերը նկարահանվել է այնպիսի ֆիլմերում, ինչպիսիք են «Magic Mike», «The Nice Guys» և «In Time»-ը։</v>
      </c>
    </row>
    <row r="2803">
      <c r="A2803" s="1" t="s">
        <v>5538</v>
      </c>
      <c r="B2803" s="2" t="s">
        <v>5539</v>
      </c>
      <c r="C2803" s="3" t="str">
        <f>IFERROR(__xludf.DUMMYFUNCTION("GOOGLETRANSLATE(A2803,""en"",""hy"")"),"ով է Էլեն Բերնշտեյնը")</f>
        <v>ով է Էլեն Բերնշտեյնը</v>
      </c>
      <c r="D2803" s="3" t="str">
        <f>IFERROR(__xludf.DUMMYFUNCTION("GOOGLETRANSLATE(B2803,""en"",""hy"")"),"Էլեն Բերնշտեյն անունով անձի մասին տեղեկություն չունեմ։")</f>
        <v>Էլեն Բերնշտեյն անունով անձի մասին տեղեկություն չունեմ։</v>
      </c>
    </row>
    <row r="2804">
      <c r="A2804" s="1" t="s">
        <v>5540</v>
      </c>
      <c r="B2804" s="2" t="s">
        <v>5541</v>
      </c>
      <c r="C2804" s="3" t="str">
        <f>IFERROR(__xludf.DUMMYFUNCTION("GOOGLETRANSLATE(A2804,""en"",""hy"")"),"Ե՞րբ են Ավստրալիայի բաց առաջնության տղամարդկանց եզրափակիչները:")</f>
        <v>Ե՞րբ են Ավստրալիայի բաց առաջնության տղամարդկանց եզրափակիչները:</v>
      </c>
      <c r="D2804" s="3" t="str">
        <f>IFERROR(__xludf.DUMMYFUNCTION("GOOGLETRANSLATE(B2804,""en"",""hy"")"),"Ավստրալիայի բաց առաջնության տղամարդկանց եզրափակիչները սովորաբար անցկացվում են հունվարի վերջին։")</f>
        <v>Ավստրալիայի բաց առաջնության տղամարդկանց եզրափակիչները սովորաբար անցկացվում են հունվարի վերջին։</v>
      </c>
    </row>
    <row r="2805">
      <c r="A2805" s="1" t="s">
        <v>5542</v>
      </c>
      <c r="B2805" s="2" t="s">
        <v>5543</v>
      </c>
      <c r="C2805" s="3" t="str">
        <f>IFERROR(__xludf.DUMMYFUNCTION("GOOGLETRANSLATE(A2805,""en"",""hy"")"),"Ե՞րբ է Ռեյգանի երդմնակալությունը:")</f>
        <v>Ե՞րբ է Ռեյգանի երդմնակալությունը:</v>
      </c>
      <c r="D2805" s="3" t="str">
        <f>IFERROR(__xludf.DUMMYFUNCTION("GOOGLETRANSLATE(B2805,""en"",""hy"")"),"Ռեյգանի երդմնակալությունը տեղի է ունեցել 1981 թվականի հունվարի 20-ին։")</f>
        <v>Ռեյգանի երդմնակալությունը տեղի է ունեցել 1981 թվականի հունվարի 20-ին։</v>
      </c>
    </row>
    <row r="2806">
      <c r="A2806" s="1" t="s">
        <v>5544</v>
      </c>
      <c r="B2806" s="2" t="s">
        <v>5545</v>
      </c>
      <c r="C2806" s="3" t="str">
        <f>IFERROR(__xludf.DUMMYFUNCTION("GOOGLETRANSLATE(A2806,""en"",""hy"")"),"որտեղ է դասավանդել Դմիտրի Մենդելեևը:")</f>
        <v>որտեղ է դասավանդել Դմիտրի Մենդելեևը:</v>
      </c>
      <c r="D2806" s="3" t="str">
        <f>IFERROR(__xludf.DUMMYFUNCTION("GOOGLETRANSLATE(B2806,""en"",""hy"")"),"Դմիտրի Մենդելեևը դասավանդել է Ռուսաստանի Սանկտ Պետերբուրգի համալսարանում։")</f>
        <v>Դմիտրի Մենդելեևը դասավանդել է Ռուսաստանի Սանկտ Պետերբուրգի համալսարանում։</v>
      </c>
    </row>
    <row r="2807">
      <c r="A2807" s="1" t="s">
        <v>5546</v>
      </c>
      <c r="B2807" s="2" t="s">
        <v>5547</v>
      </c>
      <c r="C2807" s="3" t="str">
        <f>IFERROR(__xludf.DUMMYFUNCTION("GOOGLETRANSLATE(A2807,""en"",""hy"")"),"ինչպիսի՞ կրթություն ուներ Բարաք Օբաման:")</f>
        <v>ինչպիսի՞ կրթություն ուներ Բարաք Օբաման:</v>
      </c>
      <c r="D2807" s="3" t="str">
        <f>IFERROR(__xludf.DUMMYFUNCTION("GOOGLETRANSLATE(B2807,""en"",""hy"")"),"Բարաք Օբաման ստացել է իրավաբանական դոկտորի (J.D.) աստիճան Հարվարդի իրավաբանական դպրոցից:")</f>
        <v>Բարաք Օբաման ստացել է իրավաբանական դոկտորի (J.D.) աստիճան Հարվարդի իրավաբանական դպրոցից:</v>
      </c>
    </row>
    <row r="2808">
      <c r="A2808" s="1" t="s">
        <v>5548</v>
      </c>
      <c r="B2808" s="2" t="s">
        <v>5549</v>
      </c>
      <c r="C2808" s="3" t="str">
        <f>IFERROR(__xludf.DUMMYFUNCTION("GOOGLETRANSLATE(A2808,""en"",""hy"")"),"ո՞րն էր վերջին անգամ, երբ Պիտսբուրգի ծովահենները հաղթական սեզոն ունեցան:")</f>
        <v>ո՞րն էր վերջին անգամ, երբ Պիտսբուրգի ծովահենները հաղթական սեզոն ունեցան:</v>
      </c>
      <c r="D2808" s="3" t="str">
        <f>IFERROR(__xludf.DUMMYFUNCTION("GOOGLETRANSLATE(B2808,""en"",""hy"")"),"Վերջին անգամ Pittsburgh Pirates-ը հաղթական մրցաշրջան է ունեցել 2015 թվականին:")</f>
        <v>Վերջին անգամ Pittsburgh Pirates-ը հաղթական մրցաշրջան է ունեցել 2015 թվականին:</v>
      </c>
    </row>
    <row r="2809">
      <c r="A2809" s="1" t="s">
        <v>5550</v>
      </c>
      <c r="B2809" s="2" t="s">
        <v>5551</v>
      </c>
      <c r="C2809" s="3" t="str">
        <f>IFERROR(__xludf.DUMMYFUNCTION("GOOGLETRANSLATE(A2809,""en"",""hy"")"),"ինչի՞ն էր հավատում Ջեյմս Ք Փոլքը:")</f>
        <v>ինչի՞ն էր հավատում Ջեյմս Ք Փոլքը:</v>
      </c>
      <c r="D2809" s="3" t="str">
        <f>IFERROR(__xludf.DUMMYFUNCTION("GOOGLETRANSLATE(B2809,""en"",""hy"")"),"Ջեյմս Ք. Փոլքը հավատում էր Միացյալ Նահանգների բացահայտ ճակատագրին և ընդլայնմանը:")</f>
        <v>Ջեյմս Ք. Փոլքը հավատում էր Միացյալ Նահանգների բացահայտ ճակատագրին և ընդլայնմանը:</v>
      </c>
    </row>
    <row r="2810">
      <c r="A2810" s="1" t="s">
        <v>5552</v>
      </c>
      <c r="B2810" s="2" t="s">
        <v>5553</v>
      </c>
      <c r="C2810" s="3" t="str">
        <f>IFERROR(__xludf.DUMMYFUNCTION("GOOGLETRANSLATE(A2810,""en"",""hy"")"),"ի՞նչ արժույթ ունի Հարավային Աֆրիկան:")</f>
        <v>ի՞նչ արժույթ ունի Հարավային Աֆրիկան:</v>
      </c>
      <c r="D2810" s="3" t="str">
        <f>IFERROR(__xludf.DUMMYFUNCTION("GOOGLETRANSLATE(B2810,""en"",""hy"")"),"Հարավային Աֆրիկայի արժույթը հարավաֆրիկյան ռանդն է։")</f>
        <v>Հարավային Աֆրիկայի արժույթը հարավաֆրիկյան ռանդն է։</v>
      </c>
    </row>
    <row r="2811">
      <c r="A2811" s="1" t="s">
        <v>5554</v>
      </c>
      <c r="B2811" s="2" t="s">
        <v>5555</v>
      </c>
      <c r="C2811" s="3" t="str">
        <f>IFERROR(__xludf.DUMMYFUNCTION("GOOGLETRANSLATE(A2811,""en"",""hy"")"),"որտեղ է մահացել Ջերոմ Դեյվիդ Սելինջերը")</f>
        <v>որտեղ է մահացել Ջերոմ Դեյվիդ Սելինջերը</v>
      </c>
      <c r="D2811" s="3" t="str">
        <f>IFERROR(__xludf.DUMMYFUNCTION("GOOGLETRANSLATE(B2811,""en"",""hy"")"),"Ջերոմ Դեյվիդ Սելինջերը մահացել է Նյու Հեմփշիր նահանգի Քորնիշ քաղաքում։")</f>
        <v>Ջերոմ Դեյվիդ Սելինջերը մահացել է Նյու Հեմփշիր նահանգի Քորնիշ քաղաքում։</v>
      </c>
    </row>
    <row r="2812">
      <c r="A2812" s="1" t="s">
        <v>5556</v>
      </c>
      <c r="B2812" s="2" t="s">
        <v>5557</v>
      </c>
      <c r="C2812" s="3" t="str">
        <f>IFERROR(__xludf.DUMMYFUNCTION("GOOGLETRANSLATE(A2812,""en"",""hy"")"),"ինչ կրոններ են ճանաչված Կանադայում:")</f>
        <v>ինչ կրոններ են ճանաչված Կանադայում:</v>
      </c>
      <c r="D2812" s="3" t="str">
        <f>IFERROR(__xludf.DUMMYFUNCTION("GOOGLETRANSLATE(B2812,""en"",""hy"")"),"Կանադայում պաշտոնական կրոն չկա, և երկիրը ճանաչում և պաշտպանում է կրոնի ազատությունը:")</f>
        <v>Կանադայում պաշտոնական կրոն չկա, և երկիրը ճանաչում և պաշտպանում է կրոնի ազատությունը:</v>
      </c>
    </row>
    <row r="2813">
      <c r="A2813" s="1" t="s">
        <v>5558</v>
      </c>
      <c r="B2813" s="2" t="s">
        <v>5559</v>
      </c>
      <c r="C2813" s="3" t="str">
        <f>IFERROR(__xludf.DUMMYFUNCTION("GOOGLETRANSLATE(A2813,""en"",""hy"")"),"Ո՞ր օդանավակայանն է ամենամոտ Կանկուն:")</f>
        <v>Ո՞ր օդանավակայանն է ամենամոտ Կանկուն:</v>
      </c>
      <c r="D2813" s="3" t="str">
        <f>IFERROR(__xludf.DUMMYFUNCTION("GOOGLETRANSLATE(B2813,""en"",""hy"")"),"Կանկունի միջազգային օդանավակայան.")</f>
        <v>Կանկունի միջազգային օդանավակայան.</v>
      </c>
    </row>
    <row r="2814">
      <c r="A2814" s="1" t="s">
        <v>5560</v>
      </c>
      <c r="B2814" s="2" t="s">
        <v>5561</v>
      </c>
      <c r="C2814" s="3" t="str">
        <f>IFERROR(__xludf.DUMMYFUNCTION("GOOGLETRANSLATE(A2814,""en"",""hy"")"),"որտեղ է գտնվում Սոմալին")</f>
        <v>որտեղ է գտնվում Սոմալին</v>
      </c>
      <c r="D2814" s="3" t="str">
        <f>IFERROR(__xludf.DUMMYFUNCTION("GOOGLETRANSLATE(B2814,""en"",""hy"")"),"Սոմալին գտնվում է Աֆրիկայի արևելյան ափին։")</f>
        <v>Սոմալին գտնվում է Աֆրիկայի արևելյան ափին։</v>
      </c>
    </row>
    <row r="2815">
      <c r="A2815" s="1" t="s">
        <v>5562</v>
      </c>
      <c r="B2815" s="2" t="s">
        <v>5563</v>
      </c>
      <c r="C2815" s="3" t="str">
        <f>IFERROR(__xludf.DUMMYFUNCTION("GOOGLETRANSLATE(A2815,""en"",""hy"")"),"ով է խաղացել lex luthor օրիգինալ սուպերմենում:")</f>
        <v>ով է խաղացել lex luthor օրիգինալ սուպերմենում:</v>
      </c>
      <c r="D2815" s="3" t="str">
        <f>IFERROR(__xludf.DUMMYFUNCTION("GOOGLETRANSLATE(B2815,""en"",""hy"")"),"Ջին Հեքմեն.")</f>
        <v>Ջին Հեքմեն.</v>
      </c>
    </row>
    <row r="2816">
      <c r="A2816" s="1" t="s">
        <v>5564</v>
      </c>
      <c r="B2816" s="2" t="s">
        <v>5565</v>
      </c>
      <c r="C2816" s="3" t="str">
        <f>IFERROR(__xludf.DUMMYFUNCTION("GOOGLETRANSLATE(A2816,""en"",""hy"")"),"ով է Չիկագո Բլեքհոքսի գլխավոր մարզիչը.")</f>
        <v>ով է Չիկագո Բլեքհոքսի գլխավոր մարզիչը.</v>
      </c>
      <c r="D2816" s="3" t="str">
        <f>IFERROR(__xludf.DUMMYFUNCTION("GOOGLETRANSLATE(B2816,""en"",""hy"")"),"Ջերեմի Կոլիտոն.")</f>
        <v>Ջերեմի Կոլիտոն.</v>
      </c>
    </row>
    <row r="2817">
      <c r="A2817" s="1" t="s">
        <v>5566</v>
      </c>
      <c r="B2817" s="2" t="s">
        <v>5567</v>
      </c>
      <c r="C2817" s="3" t="str">
        <f>IFERROR(__xludf.DUMMYFUNCTION("GOOGLETRANSLATE(A2817,""en"",""hy"")"),"որտեղ է մեծացել Ջոն Քենեդին:")</f>
        <v>որտեղ է մեծացել Ջոն Քենեդին:</v>
      </c>
      <c r="D2817" s="3" t="str">
        <f>IFERROR(__xludf.DUMMYFUNCTION("GOOGLETRANSLATE(B2817,""en"",""hy"")"),"Ջոն Քենեդին մեծացել է Բրուքլինում, Մասաչուսեթս:")</f>
        <v>Ջոն Քենեդին մեծացել է Բրուքլինում, Մասաչուսեթս:</v>
      </c>
    </row>
    <row r="2818">
      <c r="A2818" s="1" t="s">
        <v>5568</v>
      </c>
      <c r="B2818" s="2" t="s">
        <v>5569</v>
      </c>
      <c r="C2818" s="3" t="str">
        <f>IFERROR(__xludf.DUMMYFUNCTION("GOOGLETRANSLATE(A2818,""en"",""hy"")"),"ինչում է աստղը kat dennings-ը:")</f>
        <v>ինչում է աստղը kat dennings-ը:</v>
      </c>
      <c r="D2818" s="3" t="str">
        <f>IFERROR(__xludf.DUMMYFUNCTION("GOOGLETRANSLATE(B2818,""en"",""hy"")"),"Քեթ Դենինգսը նկարահանվում է «Dollface» հեռուստաշոուում և նաև նկարահանվել է այնպիսի ֆիլմերում, ինչպիսիք են «Thor» և «Nick and Norah's Infinite Playlist»-ը։")</f>
        <v>Քեթ Դենինգսը նկարահանվում է «Dollface» հեռուստաշոուում և նաև նկարահանվել է այնպիսի ֆիլմերում, ինչպիսիք են «Thor» և «Nick and Norah's Infinite Playlist»-ը։</v>
      </c>
    </row>
    <row r="2819">
      <c r="A2819" s="1" t="s">
        <v>5570</v>
      </c>
      <c r="B2819" s="2" t="s">
        <v>5571</v>
      </c>
      <c r="C2819" s="3" t="str">
        <f>IFERROR(__xludf.DUMMYFUNCTION("GOOGLETRANSLATE(A2819,""en"",""hy"")"),"ինչ արեց Հենրի Քիսինջերը")</f>
        <v>ինչ արեց Հենրի Քիսինջերը</v>
      </c>
      <c r="D2819" s="3" t="str">
        <f>IFERROR(__xludf.DUMMYFUNCTION("GOOGLETRANSLATE(B2819,""en"",""hy"")"),"Հենրի Քիսինջերը Միացյալ Նահանգների պետքարտուղարն էր 1973-1977 թվականներին։")</f>
        <v>Հենրի Քիսինջերը Միացյալ Նահանգների պետքարտուղարն էր 1973-1977 թվականներին։</v>
      </c>
    </row>
    <row r="2820">
      <c r="A2820" s="1" t="s">
        <v>5572</v>
      </c>
      <c r="B2820" s="2" t="s">
        <v>5573</v>
      </c>
      <c r="C2820" s="3" t="str">
        <f>IFERROR(__xludf.DUMMYFUNCTION("GOOGLETRANSLATE(A2820,""en"",""hy"")"),"որտեղից է սկիզբ առնում Վոլգա գետը")</f>
        <v>որտեղից է սկիզբ առնում Վոլգա գետը</v>
      </c>
      <c r="D2820" s="3" t="str">
        <f>IFERROR(__xludf.DUMMYFUNCTION("GOOGLETRANSLATE(B2820,""en"",""hy"")"),"Վոլգա գետը սկիզբ է առնում Ռուսաստանի կենտրոնական Վալդայ բլուրներից։")</f>
        <v>Վոլգա գետը սկիզբ է առնում Ռուսաստանի կենտրոնական Վալդայ բլուրներից։</v>
      </c>
    </row>
    <row r="2821">
      <c r="A2821" s="1" t="s">
        <v>5574</v>
      </c>
      <c r="B2821" s="2" t="s">
        <v>5575</v>
      </c>
      <c r="C2821" s="3" t="str">
        <f>IFERROR(__xludf.DUMMYFUNCTION("GOOGLETRANSLATE(A2821,""en"",""hy"")"),"որո՞նք են Վենեսուելայում խաղարկվող հիմնական մարզաձևերը:")</f>
        <v>որո՞նք են Վենեսուելայում խաղարկվող հիմնական մարզաձևերը:</v>
      </c>
      <c r="D2821" s="3" t="str">
        <f>IFERROR(__xludf.DUMMYFUNCTION("GOOGLETRANSLATE(B2821,""en"",""hy"")"),"Վենեսուելայում խաղարկվող հիմնական մարզաձևերն են բեյսբոլը և ֆուտբոլը (ֆուտբոլ):")</f>
        <v>Վենեսուելայում խաղարկվող հիմնական մարզաձևերն են բեյսբոլը և ֆուտբոլը (ֆուտբոլ):</v>
      </c>
    </row>
    <row r="2822">
      <c r="A2822" s="1" t="s">
        <v>5576</v>
      </c>
      <c r="B2822" s="2" t="s">
        <v>5577</v>
      </c>
      <c r="C2822" s="3" t="str">
        <f>IFERROR(__xludf.DUMMYFUNCTION("GOOGLETRANSLATE(A2822,""en"",""hy"")"),"ինչո՞վ էր ապրում Ռոջեր Շերմանը:")</f>
        <v>ինչո՞վ էր ապրում Ռոջեր Շերմանը:</v>
      </c>
      <c r="D2822" s="3" t="str">
        <f>IFERROR(__xludf.DUMMYFUNCTION("GOOGLETRANSLATE(B2822,""en"",""hy"")"),"Ռոջեր Շերմանը իրավաբան էր, դատավոր և քաղաքական գործիչ։")</f>
        <v>Ռոջեր Շերմանը իրավաբան էր, դատավոր և քաղաքական գործիչ։</v>
      </c>
    </row>
    <row r="2823">
      <c r="A2823" s="1" t="s">
        <v>5578</v>
      </c>
      <c r="B2823" s="2" t="s">
        <v>5579</v>
      </c>
      <c r="C2823" s="3" t="str">
        <f>IFERROR(__xludf.DUMMYFUNCTION("GOOGLETRANSLATE(A2823,""en"",""hy"")"),"ո՞ւմ համար է Ռայան Նյումենը մրցում:")</f>
        <v>ո՞ւմ համար է Ռայան Նյումենը մրցում:</v>
      </c>
      <c r="D2823" s="3" t="str">
        <f>IFERROR(__xludf.DUMMYFUNCTION("GOOGLETRANSLATE(B2823,""en"",""hy"")"),"Ռայան Նյումանը ներկայումս մրցում է Roush Fenway Racing-ի համար NASCAR Cup Series-ում:")</f>
        <v>Ռայան Նյումանը ներկայումս մրցում է Roush Fenway Racing-ի համար NASCAR Cup Series-ում:</v>
      </c>
    </row>
    <row r="2824">
      <c r="A2824" s="1" t="s">
        <v>5580</v>
      </c>
      <c r="B2824" s="2" t="s">
        <v>5581</v>
      </c>
      <c r="C2824" s="3" t="str">
        <f>IFERROR(__xludf.DUMMYFUNCTION("GOOGLETRANSLATE(A2824,""en"",""hy"")"),"ինչպիսի՞ն էր քաղաքական համակարգը Լիբիայում.")</f>
        <v>ինչպիսի՞ն էր քաղաքական համակարգը Լիբիայում.</v>
      </c>
      <c r="D2824" s="3" t="str">
        <f>IFERROR(__xludf.DUMMYFUNCTION("GOOGLETRANSLATE(B2824,""en"",""hy"")"),"Լիբիայի քաղաքական համակարգը բռնապետություն էր Մուամար Քադաֆիի իշխանության ներքո։")</f>
        <v>Լիբիայի քաղաքական համակարգը բռնապետություն էր Մուամար Քադաֆիի իշխանության ներքո։</v>
      </c>
    </row>
    <row r="2825">
      <c r="A2825" s="1" t="s">
        <v>5582</v>
      </c>
      <c r="B2825" s="2" t="s">
        <v>5583</v>
      </c>
      <c r="C2825" s="3" t="str">
        <f>IFERROR(__xludf.DUMMYFUNCTION("GOOGLETRANSLATE(A2825,""en"",""hy"")"),"ով է նվագում Լոյս Գրիֆինի ձայնը ընտանիքի տղայի վրա:")</f>
        <v>ով է նվագում Լոյս Գրիֆինի ձայնը ընտանիքի տղայի վրա:</v>
      </c>
      <c r="D2825" s="3" t="str">
        <f>IFERROR(__xludf.DUMMYFUNCTION("GOOGLETRANSLATE(B2825,""en"",""hy"")"),"Family Guy-ում Լոիս Գրիֆինի ձայնը Ալեքս Բորշտեյնն է:")</f>
        <v>Family Guy-ում Լոիս Գրիֆինի ձայնը Ալեքս Բորշտեյնն է:</v>
      </c>
    </row>
    <row r="2826">
      <c r="A2826" s="1" t="s">
        <v>5584</v>
      </c>
      <c r="B2826" s="2" t="s">
        <v>5585</v>
      </c>
      <c r="C2826" s="3" t="str">
        <f>IFERROR(__xludf.DUMMYFUNCTION("GOOGLETRANSLATE(A2826,""en"",""hy"")"),"ո՞ւմ հետ է Ալիսիա Քիզը երեխա ունեցել:")</f>
        <v>ո՞ւմ հետ է Ալիսիա Քիզը երեխա ունեցել:</v>
      </c>
      <c r="D2826" s="3" t="str">
        <f>IFERROR(__xludf.DUMMYFUNCTION("GOOGLETRANSLATE(B2826,""en"",""hy"")"),"Swizz Beatz.")</f>
        <v>Swizz Beatz.</v>
      </c>
    </row>
    <row r="2827">
      <c r="A2827" s="1" t="s">
        <v>5586</v>
      </c>
      <c r="B2827" s="2" t="s">
        <v>5587</v>
      </c>
      <c r="C2827" s="3" t="str">
        <f>IFERROR(__xludf.DUMMYFUNCTION("GOOGLETRANSLATE(A2827,""en"",""hy"")"),"ինչ արժույթ է Արգենտինայում")</f>
        <v>ինչ արժույթ է Արգենտինայում</v>
      </c>
      <c r="D2827" s="3" t="str">
        <f>IFERROR(__xludf.DUMMYFUNCTION("GOOGLETRANSLATE(B2827,""en"",""hy"")"),"Արգենտինայում արժույթը արգենտինական պեսոն է։")</f>
        <v>Արգենտինայում արժույթը արգենտինական պեսոն է։</v>
      </c>
    </row>
    <row r="2828">
      <c r="A2828" s="1" t="s">
        <v>5588</v>
      </c>
      <c r="B2828" s="2" t="s">
        <v>5589</v>
      </c>
      <c r="C2828" s="3" t="str">
        <f>IFERROR(__xludf.DUMMYFUNCTION("GOOGLETRANSLATE(A2828,""en"",""hy"")"),"որտեղ է դասավանդում Էդի Բրավոն")</f>
        <v>որտեղ է դասավանդում Էդի Բրավոն</v>
      </c>
      <c r="D2828" s="3" t="str">
        <f>IFERROR(__xludf.DUMMYFUNCTION("GOOGLETRANSLATE(B2828,""en"",""hy"")"),"Էդդի Բրավոն դասավանդում է 10th Planet Jiu Jitsu-ում Լոս Անջելեսում, Կալիֆորնիա:")</f>
        <v>Էդդի Բրավոն դասավանդում է 10th Planet Jiu Jitsu-ում Լոս Անջելեսում, Կալիֆորնիա:</v>
      </c>
    </row>
    <row r="2829">
      <c r="A2829" s="1" t="s">
        <v>5590</v>
      </c>
      <c r="B2829" s="2" t="s">
        <v>5591</v>
      </c>
      <c r="C2829" s="3" t="str">
        <f>IFERROR(__xludf.DUMMYFUNCTION("GOOGLETRANSLATE(A2829,""en"",""hy"")"),"Ե՞րբ է Միխայել Շումախերը նվաճել իր առաջին տիտղոսը:")</f>
        <v>Ե՞րբ է Միխայել Շումախերը նվաճել իր առաջին տիտղոսը:</v>
      </c>
      <c r="D2829" s="3" t="str">
        <f>IFERROR(__xludf.DUMMYFUNCTION("GOOGLETRANSLATE(B2829,""en"",""hy"")"),"Միխայել Շումախերը Ֆորմուլա 1-ի աշխարհի առաջնության իր առաջին տիտղոսը նվաճեց 1994 թվականին։")</f>
        <v>Միխայել Շումախերը Ֆորմուլա 1-ի աշխարհի առաջնության իր առաջին տիտղոսը նվաճեց 1994 թվականին։</v>
      </c>
    </row>
    <row r="2830">
      <c r="A2830" s="1" t="s">
        <v>5592</v>
      </c>
      <c r="B2830" s="2" t="s">
        <v>5593</v>
      </c>
      <c r="C2830" s="3" t="str">
        <f>IFERROR(__xludf.DUMMYFUNCTION("GOOGLETRANSLATE(A2830,""en"",""hy"")"),"որտեղ է ապրում Սալի Փիրսոնը")</f>
        <v>որտեղ է ապրում Սալի Փիրսոնը</v>
      </c>
      <c r="D2830" s="3" t="str">
        <f>IFERROR(__xludf.DUMMYFUNCTION("GOOGLETRANSLATE(B2830,""en"",""hy"")"),"Հայտնի չէ, թե ներկայումս որտեղ է ապրում Սալի Փիրսոնը:")</f>
        <v>Հայտնի չէ, թե ներկայումս որտեղ է ապրում Սալի Փիրսոնը:</v>
      </c>
    </row>
    <row r="2831">
      <c r="A2831" s="1" t="s">
        <v>5594</v>
      </c>
      <c r="B2831" s="2" t="s">
        <v>5595</v>
      </c>
      <c r="C2831" s="3" t="str">
        <f>IFERROR(__xludf.DUMMYFUNCTION("GOOGLETRANSLATE(A2831,""en"",""hy"")"),"ինչ քոլեջ է հաճախում Քրիս Փոլը:")</f>
        <v>ինչ քոլեջ է հաճախում Քրիս Փոլը:</v>
      </c>
      <c r="D2831" s="3" t="str">
        <f>IFERROR(__xludf.DUMMYFUNCTION("GOOGLETRANSLATE(B2831,""en"",""hy"")"),"Քրիս Փոլը հաճախել է Ուեյք Ֆորեստի համալսարան:")</f>
        <v>Քրիս Փոլը հաճախել է Ուեյք Ֆորեստի համալսարան:</v>
      </c>
    </row>
    <row r="2832">
      <c r="A2832" s="1" t="s">
        <v>5596</v>
      </c>
      <c r="B2832" s="2" t="s">
        <v>5597</v>
      </c>
      <c r="C2832" s="3" t="str">
        <f>IFERROR(__xludf.DUMMYFUNCTION("GOOGLETRANSLATE(A2832,""en"",""hy"")"),"որտեղ է Մադիրան")</f>
        <v>որտեղ է Մադիրան</v>
      </c>
      <c r="D2832" s="3" t="str">
        <f>IFERROR(__xludf.DUMMYFUNCTION("GOOGLETRANSLATE(B2832,""en"",""hy"")"),"Մադեյրան արշիպելագ է, որը գտնվում է Ատլանտյան օվկիանոսում՝ Պորտուգալիայի հարավ-արևմուտքում։")</f>
        <v>Մադեյրան արշիպելագ է, որը գտնվում է Ատլանտյան օվկիանոսում՝ Պորտուգալիայի հարավ-արևմուտքում։</v>
      </c>
    </row>
    <row r="2833">
      <c r="A2833" s="1" t="s">
        <v>5598</v>
      </c>
      <c r="B2833" s="2" t="s">
        <v>5599</v>
      </c>
      <c r="C2833" s="3" t="str">
        <f>IFERROR(__xludf.DUMMYFUNCTION("GOOGLETRANSLATE(A2833,""en"",""hy"")"),"ո՞ր երկրից է Ջոզեֆ Պրինսը")</f>
        <v>ո՞ր երկրից է Ջոզեֆ Պրինսը</v>
      </c>
      <c r="D2833" s="3" t="str">
        <f>IFERROR(__xludf.DUMMYFUNCTION("GOOGLETRANSLATE(B2833,""en"",""hy"")"),"Ջոզեֆ Պրինսը Սինգապուրից է։")</f>
        <v>Ջոզեֆ Պրինսը Սինգապուրից է։</v>
      </c>
    </row>
    <row r="2834">
      <c r="A2834" s="1" t="s">
        <v>5600</v>
      </c>
      <c r="B2834" s="2" t="s">
        <v>5601</v>
      </c>
      <c r="C2834" s="3" t="str">
        <f>IFERROR(__xludf.DUMMYFUNCTION("GOOGLETRANSLATE(A2834,""en"",""hy"")"),"Ե՞րբ է Դեմոկրիտը հայտնաբերել ատոմը:")</f>
        <v>Ե՞րբ է Դեմոկրիտը հայտնաբերել ատոմը:</v>
      </c>
      <c r="D2834" s="3" t="str">
        <f>IFERROR(__xludf.DUMMYFUNCTION("GOOGLETRANSLATE(B2834,""en"",""hy"")"),"Դեմոկրիտը հայտնաբերել է ատոմը մ.թ.ա 400 թվականին:")</f>
        <v>Դեմոկրիտը հայտնաբերել է ատոմը մ.թ.ա 400 թվականին:</v>
      </c>
    </row>
    <row r="2835">
      <c r="A2835" s="1" t="s">
        <v>5602</v>
      </c>
      <c r="B2835" s="2" t="s">
        <v>4928</v>
      </c>
      <c r="C2835" s="3" t="str">
        <f>IFERROR(__xludf.DUMMYFUNCTION("GOOGLETRANSLATE(A2835,""en"",""hy"")"),"ինչ են խոսում Ավստրիայում")</f>
        <v>ինչ են խոսում Ավստրիայում</v>
      </c>
      <c r="D2835" s="3" t="str">
        <f>IFERROR(__xludf.DUMMYFUNCTION("GOOGLETRANSLATE(B2835,""en"",""hy"")"),"գերմաներեն.")</f>
        <v>գերմաներեն.</v>
      </c>
    </row>
    <row r="2836">
      <c r="A2836" s="1" t="s">
        <v>5603</v>
      </c>
      <c r="B2836" s="2" t="s">
        <v>5604</v>
      </c>
      <c r="C2836" s="3" t="str">
        <f>IFERROR(__xludf.DUMMYFUNCTION("GOOGLETRANSLATE(A2836,""en"",""hy"")"),"որո՞նք են հիմնական կրոնները Միացյալ Նահանգներում:")</f>
        <v>որո՞նք են հիմնական կրոնները Միացյալ Նահանգներում:</v>
      </c>
      <c r="D2836" s="3" t="str">
        <f>IFERROR(__xludf.DUMMYFUNCTION("GOOGLETRANSLATE(B2836,""en"",""hy"")"),"Քրիստոնեություն, հուդայականություն, իսլամ, բուդդիզմ, հինդուիզմ և սիկհիզմ:")</f>
        <v>Քրիստոնեություն, հուդայականություն, իսլամ, բուդդիզմ, հինդուիզմ և սիկհիզմ:</v>
      </c>
    </row>
    <row r="2837">
      <c r="A2837" s="1" t="s">
        <v>5605</v>
      </c>
      <c r="B2837" s="2" t="s">
        <v>5606</v>
      </c>
      <c r="C2837" s="3" t="str">
        <f>IFERROR(__xludf.DUMMYFUNCTION("GOOGLETRANSLATE(A2837,""en"",""hy"")"),"ի՞նչ բաներ է հորինել Թոմաս Էդիսոնը:")</f>
        <v>ի՞նչ բաներ է հորինել Թոմաս Էդիսոնը:</v>
      </c>
      <c r="D2837" s="3" t="str">
        <f>IFERROR(__xludf.DUMMYFUNCTION("GOOGLETRANSLATE(B2837,""en"",""hy"")"),"Թոմաս Էդիսոնը առավել հայտնի է գործնական շիկացած լամպի հայտնագործմամբ: Այնուամենայնիվ, նա հորինեց նաև այլ նշանակալից գյուտեր, ինչպիսիք են ֆոնոգրաֆը և կինոխցիկը:")</f>
        <v>Թոմաս Էդիսոնը առավել հայտնի է գործնական շիկացած լամպի հայտնագործմամբ: Այնուամենայնիվ, նա հորինեց նաև այլ նշանակալից գյուտեր, ինչպիսիք են ֆոնոգրաֆը և կինոխցիկը:</v>
      </c>
    </row>
    <row r="2838">
      <c r="A2838" s="1" t="s">
        <v>5607</v>
      </c>
      <c r="B2838" s="2" t="s">
        <v>5608</v>
      </c>
      <c r="C2838" s="3" t="str">
        <f>IFERROR(__xludf.DUMMYFUNCTION("GOOGLETRANSLATE(A2838,""en"",""hy"")"),"որտեղ է Միքելանջելոյի Սիքստինյան մատուռը:")</f>
        <v>որտեղ է Միքելանջելոյի Սիքստինյան մատուռը:</v>
      </c>
      <c r="D2838" s="3" t="str">
        <f>IFERROR(__xludf.DUMMYFUNCTION("GOOGLETRANSLATE(B2838,""en"",""hy"")"),"Միքելանջելոյի Սիքստինյան կապելլան գտնվում է Վատիկանում։")</f>
        <v>Միքելանջելոյի Սիքստինյան կապելլան գտնվում է Վատիկանում։</v>
      </c>
    </row>
    <row r="2839">
      <c r="A2839" s="1" t="s">
        <v>5609</v>
      </c>
      <c r="B2839" s="2" t="s">
        <v>5610</v>
      </c>
      <c r="C2839" s="3" t="str">
        <f>IFERROR(__xludf.DUMMYFUNCTION("GOOGLETRANSLATE(A2839,""en"",""hy"")"),"Ո՞վ է խաղացել Էդվարդ Քորթմեյնի գլխավոր հիվանդանոցում:")</f>
        <v>Ո՞վ է խաղացել Էդվարդ Քորթմեյնի գլխավոր հիվանդանոցում:</v>
      </c>
      <c r="D2839" s="3" t="str">
        <f>IFERROR(__xludf.DUMMYFUNCTION("GOOGLETRANSLATE(B2839,""en"",""hy"")"),"Լեսլի Չարլսոնը գլխավոր հիվանդանոցում մարմնավորել է Էդվարդ Քուարթմեյնին:")</f>
        <v>Լեսլի Չարլսոնը գլխավոր հիվանդանոցում մարմնավորել է Էդվարդ Քուարթմեյնին:</v>
      </c>
    </row>
    <row r="2840">
      <c r="A2840" s="1" t="s">
        <v>5611</v>
      </c>
      <c r="B2840" s="2">
        <v>8830.0</v>
      </c>
      <c r="C2840" s="3" t="str">
        <f>IFERROR(__xludf.DUMMYFUNCTION("GOOGLETRANSLATE(A2840,""en"",""hy"")"),"ո՞րն է iselin nj-ի փոստային կոդը:")</f>
        <v>ո՞րն է iselin nj-ի փոստային կոդը:</v>
      </c>
      <c r="D2840" s="3" t="str">
        <f>IFERROR(__xludf.DUMMYFUNCTION("GOOGLETRANSLATE(B2840,""en"",""hy"")"),"8830 թ")</f>
        <v>8830 թ</v>
      </c>
    </row>
    <row r="2841">
      <c r="A2841" s="1" t="s">
        <v>5612</v>
      </c>
      <c r="B2841" s="2" t="s">
        <v>5613</v>
      </c>
      <c r="C2841" s="3" t="str">
        <f>IFERROR(__xludf.DUMMYFUNCTION("GOOGLETRANSLATE(A2841,""en"",""hy"")"),"ինչ լեզվով է խոսում Շվեյցարիան")</f>
        <v>ինչ լեզվով է խոսում Շվեյցարիան</v>
      </c>
      <c r="D2841" s="3" t="str">
        <f>IFERROR(__xludf.DUMMYFUNCTION("GOOGLETRANSLATE(B2841,""en"",""hy"")"),"Շվեյցարիան ունի չորս ազգային լեզու՝ գերմաներեն, ֆրանսերեն, իտալերեն և ռոմանշերեն:")</f>
        <v>Շվեյցարիան ունի չորս ազգային լեզու՝ գերմաներեն, ֆրանսերեն, իտալերեն և ռոմանշերեն:</v>
      </c>
    </row>
    <row r="2842">
      <c r="A2842" s="1" t="s">
        <v>5614</v>
      </c>
      <c r="B2842" s="2" t="s">
        <v>5615</v>
      </c>
      <c r="C2842" s="3" t="str">
        <f>IFERROR(__xludf.DUMMYFUNCTION("GOOGLETRANSLATE(A2842,""en"",""hy"")"),"որտեղից է Քրիստինա Ագիլերան")</f>
        <v>որտեղից է Քրիստինա Ագիլերան</v>
      </c>
      <c r="D2842" s="3" t="str">
        <f>IFERROR(__xludf.DUMMYFUNCTION("GOOGLETRANSLATE(B2842,""en"",""hy"")"),"Քրիստինա Ագիլերան ԱՄՆ-ից է։")</f>
        <v>Քրիստինա Ագիլերան ԱՄՆ-ից է։</v>
      </c>
    </row>
    <row r="2843">
      <c r="A2843" s="1" t="s">
        <v>5616</v>
      </c>
      <c r="B2843" s="2" t="s">
        <v>5617</v>
      </c>
      <c r="C2843" s="3" t="str">
        <f>IFERROR(__xludf.DUMMYFUNCTION("GOOGLETRANSLATE(A2843,""en"",""hy"")"),"ինչ զվարճալի բաներ կան Ֆիլադելֆիայում:")</f>
        <v>ինչ զվարճալի բաներ կան Ֆիլադելֆիայում:</v>
      </c>
      <c r="D2843" s="3" t="str">
        <f>IFERROR(__xludf.DUMMYFUNCTION("GOOGLETRANSLATE(B2843,""en"",""hy"")"),"Ֆիլադելֆիայում կատարվող որոշ զվարճալի բաներ ներառում են այցելել պատմական վայրեր, ինչպիսիք են Liberty Bell-ը և Independence Hall-ը, ուսումնասիրել այնպիսի թանգարաններ, ինչպիսիք են Ֆիլադելֆիայի արվեստի թանգարանը և Ֆրանկլինի ինստիտուտը, համեղ ուտելիքներ փորձե"&amp;"լ Reading Terminal Market-ում և զբոսնել Fairmount Park-ում:")</f>
        <v>Ֆիլադելֆիայում կատարվող որոշ զվարճալի բաներ ներառում են այցելել պատմական վայրեր, ինչպիսիք են Liberty Bell-ը և Independence Hall-ը, ուսումնասիրել այնպիսի թանգարաններ, ինչպիսիք են Ֆիլադելֆիայի արվեստի թանգարանը և Ֆրանկլինի ինստիտուտը, համեղ ուտելիքներ փորձել Reading Terminal Market-ում և զբոսնել Fairmount Park-ում:</v>
      </c>
    </row>
    <row r="2844">
      <c r="A2844" s="1" t="s">
        <v>5618</v>
      </c>
      <c r="B2844" s="2" t="s">
        <v>5619</v>
      </c>
      <c r="C2844" s="3" t="str">
        <f>IFERROR(__xludf.DUMMYFUNCTION("GOOGLETRANSLATE(A2844,""en"",""hy"")"),"ո՞ւմ համար է խաղում Դեյվիդ Կարը")</f>
        <v>ո՞ւմ համար է խաղում Դեյվիդ Կարը</v>
      </c>
      <c r="D2844" s="3" t="str">
        <f>IFERROR(__xludf.DUMMYFUNCTION("GOOGLETRANSLATE(B2844,""en"",""hy"")"),"Ցավում եմ, բայց ես չունեմ այն ​​տեղեկատվությունը, որը դուք փնտրում եք։")</f>
        <v>Ցավում եմ, բայց ես չունեմ այն ​​տեղեկատվությունը, որը դուք փնտրում եք։</v>
      </c>
    </row>
    <row r="2845">
      <c r="A2845" s="1" t="s">
        <v>5620</v>
      </c>
      <c r="B2845" s="2" t="s">
        <v>5621</v>
      </c>
      <c r="C2845" s="3" t="str">
        <f>IFERROR(__xludf.DUMMYFUNCTION("GOOGLETRANSLATE(A2845,""en"",""hy"")"),"որտե՞ղ է Ջեքի Ռոբինսոնը դպրոց հաճախել:")</f>
        <v>որտե՞ղ է Ջեքի Ռոբինսոնը դպրոց հաճախել:</v>
      </c>
      <c r="D2845" s="3" t="str">
        <f>IFERROR(__xludf.DUMMYFUNCTION("GOOGLETRANSLATE(B2845,""en"",""hy"")"),"Ջեքի Ռոբինսոնը հաճախել է UCLA քոլեջ:")</f>
        <v>Ջեքի Ռոբինսոնը հաճախել է UCLA քոլեջ:</v>
      </c>
    </row>
    <row r="2846">
      <c r="A2846" s="1" t="s">
        <v>5622</v>
      </c>
      <c r="B2846" s="2" t="s">
        <v>5623</v>
      </c>
      <c r="C2846" s="3" t="str">
        <f>IFERROR(__xludf.DUMMYFUNCTION("GOOGLETRANSLATE(A2846,""en"",""hy"")"),"որտեղ է թաղված Ջեք Դանիելը")</f>
        <v>որտեղ է թաղված Ջեք Դանիելը</v>
      </c>
      <c r="D2846" s="3" t="str">
        <f>IFERROR(__xludf.DUMMYFUNCTION("GOOGLETRANSLATE(B2846,""en"",""hy"")"),"Jack Daniel's Tennessee Whisky ապրանքանիշի հիմնադիր Ջեք Դենիելը թաղված է ԱՄՆ Թենեսի նահանգի Լինչբուրգ քաղաքում։")</f>
        <v>Jack Daniel's Tennessee Whisky ապրանքանիշի հիմնադիր Ջեք Դենիելը թաղված է ԱՄՆ Թենեսի նահանգի Լինչբուրգ քաղաքում։</v>
      </c>
    </row>
    <row r="2847">
      <c r="A2847" s="1" t="s">
        <v>5624</v>
      </c>
      <c r="B2847" s="2" t="s">
        <v>5625</v>
      </c>
      <c r="C2847" s="3" t="str">
        <f>IFERROR(__xludf.DUMMYFUNCTION("GOOGLETRANSLATE(A2847,""en"",""hy"")"),"ինչ լարեր է անում Ջոն Մայերը")</f>
        <v>ինչ լարեր է անում Ջոն Մայերը</v>
      </c>
      <c r="D2847" s="3" t="str">
        <f>IFERROR(__xludf.DUMMYFUNCTION("GOOGLETRANSLATE(B2847,""en"",""hy"")"),"Ջոն Մայերը սովորաբար օգտագործում է Ernie Ball լարերը:")</f>
        <v>Ջոն Մայերը սովորաբար օգտագործում է Ernie Ball լարերը:</v>
      </c>
    </row>
    <row r="2848">
      <c r="A2848" s="1" t="s">
        <v>5626</v>
      </c>
      <c r="B2848" s="2" t="s">
        <v>5627</v>
      </c>
      <c r="C2848" s="3" t="str">
        <f>IFERROR(__xludf.DUMMYFUNCTION("GOOGLETRANSLATE(A2848,""en"",""hy"")"),"ով է խաղում Սթեյսի Զոյ 101-ում:")</f>
        <v>ով է խաղում Սթեյսի Զոյ 101-ում:</v>
      </c>
      <c r="D2848" s="3" t="str">
        <f>IFERROR(__xludf.DUMMYFUNCTION("GOOGLETRANSLATE(B2848,""en"",""hy"")"),"Սթեյսիին Zoey 101-ում մարմնավորում է Էբի Ուայլդը:")</f>
        <v>Սթեյսիին Zoey 101-ում մարմնավորում է Էբի Ուայլդը:</v>
      </c>
    </row>
    <row r="2849">
      <c r="A2849" s="1" t="s">
        <v>5628</v>
      </c>
      <c r="B2849" s="2" t="s">
        <v>5629</v>
      </c>
      <c r="C2849" s="3" t="str">
        <f>IFERROR(__xludf.DUMMYFUNCTION("GOOGLETRANSLATE(A2849,""en"",""hy"")"),"ե՞րբ է Սանչեսը լքել ԱՄՆ-ը:")</f>
        <v>ե՞րբ է Սանչեսը լքել ԱՄՆ-ը:</v>
      </c>
      <c r="D2849" s="3" t="str">
        <f>IFERROR(__xludf.DUMMYFUNCTION("GOOGLETRANSLATE(B2849,""en"",""hy"")"),"Սանչեսը լքել է USC-ն 2017 թվականի հունվարին։")</f>
        <v>Սանչեսը լքել է USC-ն 2017 թվականի հունվարին։</v>
      </c>
    </row>
    <row r="2850">
      <c r="A2850" s="1" t="s">
        <v>5630</v>
      </c>
      <c r="B2850" s="2" t="s">
        <v>5631</v>
      </c>
      <c r="C2850" s="3" t="str">
        <f>IFERROR(__xludf.DUMMYFUNCTION("GOOGLETRANSLATE(A2850,""en"",""hy"")"),"ով է Սթիվեն Սիգալի քույրը")</f>
        <v>ով է Սթիվեն Սիգալի քույրը</v>
      </c>
      <c r="D2850" s="3" t="str">
        <f>IFERROR(__xludf.DUMMYFUNCTION("GOOGLETRANSLATE(B2850,""en"",""hy"")"),"Սթիվեն Սիգալը քույր չունի")</f>
        <v>Սթիվեն Սիգալը քույր չունի</v>
      </c>
    </row>
    <row r="2851">
      <c r="A2851" s="1" t="s">
        <v>5632</v>
      </c>
      <c r="B2851" s="2" t="s">
        <v>5633</v>
      </c>
      <c r="C2851" s="3" t="str">
        <f>IFERROR(__xludf.DUMMYFUNCTION("GOOGLETRANSLATE(A2851,""en"",""hy"")"),"որտեղ էր Ֆ Սքոթ Ֆիցջերալդի կրթությունը:")</f>
        <v>որտեղ էր Ֆ Սքոթ Ֆիցջերալդի կրթությունը:</v>
      </c>
      <c r="D2851" s="3" t="str">
        <f>IFERROR(__xludf.DUMMYFUNCTION("GOOGLETRANSLATE(B2851,""en"",""hy"")"),"Ֆ. Սքոթ Ֆիցջերալդը իր կրթության համար հաճախել է Փրինսթոնի համալսարան:")</f>
        <v>Ֆ. Սքոթ Ֆիցջերալդը իր կրթության համար հաճախել է Փրինսթոնի համալսարան:</v>
      </c>
    </row>
    <row r="2852">
      <c r="A2852" s="1" t="s">
        <v>5634</v>
      </c>
      <c r="B2852" s="2" t="s">
        <v>1627</v>
      </c>
      <c r="C2852" s="3" t="str">
        <f>IFERROR(__xludf.DUMMYFUNCTION("GOOGLETRANSLATE(A2852,""en"",""hy"")"),"Ո՞ր մայրցամաքում է գտնվում Կանադան:")</f>
        <v>Ո՞ր մայրցամաքում է գտնվում Կանադան:</v>
      </c>
      <c r="D2852" s="3" t="str">
        <f>IFERROR(__xludf.DUMMYFUNCTION("GOOGLETRANSLATE(B2852,""en"",""hy"")"),"Հյուսիսային Ամերիկա.")</f>
        <v>Հյուսիսային Ամերիկա.</v>
      </c>
    </row>
    <row r="2853">
      <c r="A2853" s="1" t="s">
        <v>5635</v>
      </c>
      <c r="B2853" s="2" t="s">
        <v>5636</v>
      </c>
      <c r="C2853" s="3" t="str">
        <f>IFERROR(__xludf.DUMMYFUNCTION("GOOGLETRANSLATE(A2853,""en"",""hy"")"),"ո՞րն է Իսրայելի հիմնական լեզուն:")</f>
        <v>ո՞րն է Իսրայելի հիմնական լեզուն:</v>
      </c>
      <c r="D2853" s="3" t="str">
        <f>IFERROR(__xludf.DUMMYFUNCTION("GOOGLETRANSLATE(B2853,""en"",""hy"")"),"Եբրայերենը Իսրայելի հիմնական լեզուն է։")</f>
        <v>Եբրայերենը Իսրայելի հիմնական լեզուն է։</v>
      </c>
    </row>
    <row r="2854">
      <c r="A2854" s="1" t="s">
        <v>5637</v>
      </c>
      <c r="B2854" s="2" t="s">
        <v>5638</v>
      </c>
      <c r="C2854" s="3" t="str">
        <f>IFERROR(__xludf.DUMMYFUNCTION("GOOGLETRANSLATE(A2854,""en"",""hy"")"),"ով է ամուսնացած Ժանե Կրակովսկու հետ")</f>
        <v>ով է ամուսնացած Ժանե Կրակովսկու հետ</v>
      </c>
      <c r="D2854" s="3" t="str">
        <f>IFERROR(__xludf.DUMMYFUNCTION("GOOGLETRANSLATE(B2854,""en"",""hy"")"),"Ջեյն Կրակովսկին ներկայումս ամուսնացած չէ։")</f>
        <v>Ջեյն Կրակովսկին ներկայումս ամուսնացած չէ։</v>
      </c>
    </row>
    <row r="2855">
      <c r="A2855" s="1" t="s">
        <v>5639</v>
      </c>
      <c r="B2855" s="2" t="s">
        <v>5640</v>
      </c>
      <c r="C2855" s="3" t="str">
        <f>IFERROR(__xludf.DUMMYFUNCTION("GOOGLETRANSLATE(A2855,""en"",""hy"")"),"ի՞նչ դեր խաղաց Թոմ Քրուզը անվերջ սիրո մեջ:")</f>
        <v>ի՞նչ դեր խաղաց Թոմ Քրուզը անվերջ սիրո մեջ:</v>
      </c>
      <c r="D2855" s="3" t="str">
        <f>IFERROR(__xludf.DUMMYFUNCTION("GOOGLETRANSLATE(B2855,""en"",""hy"")"),"Թոմ Քրուզը դեր չի ունեցել «Անվերջ սեր» ֆիլմում։")</f>
        <v>Թոմ Քրուզը դեր չի ունեցել «Անվերջ սեր» ֆիլմում։</v>
      </c>
    </row>
    <row r="2856">
      <c r="A2856" s="1" t="s">
        <v>5641</v>
      </c>
      <c r="B2856" s="2" t="s">
        <v>5642</v>
      </c>
      <c r="C2856" s="3" t="str">
        <f>IFERROR(__xludf.DUMMYFUNCTION("GOOGLETRANSLATE(A2856,""en"",""hy"")"),"ուր գնալ Պնոմպեն Կամբոջա:")</f>
        <v>ուր գնալ Պնոմպեն Կամբոջա:</v>
      </c>
      <c r="D2856" s="3" t="str">
        <f>IFERROR(__xludf.DUMMYFUNCTION("GOOGLETRANSLATE(B2856,""en"",""hy"")"),"Կամբոջայի Պնոմպենում այցելելու որոշ հայտնի վայրերից են Թագավորական պալատը, Ազգային թանգարանը, Կիլինգ Ֆիլդսը և Վաթ Պնոմը:")</f>
        <v>Կամբոջայի Պնոմպենում այցելելու որոշ հայտնի վայրերից են Թագավորական պալատը, Ազգային թանգարանը, Կիլինգ Ֆիլդսը և Վաթ Պնոմը:</v>
      </c>
    </row>
    <row r="2857">
      <c r="A2857" s="1" t="s">
        <v>5643</v>
      </c>
      <c r="B2857" s="2" t="s">
        <v>5644</v>
      </c>
      <c r="C2857" s="3" t="str">
        <f>IFERROR(__xludf.DUMMYFUNCTION("GOOGLETRANSLATE(A2857,""en"",""hy"")"),"Ո՞ր քաղաքում է ծնվել Ռոնալդ Ռեյգանը.")</f>
        <v>Ո՞ր քաղաքում է ծնվել Ռոնալդ Ռեյգանը.</v>
      </c>
      <c r="D2857" s="3" t="str">
        <f>IFERROR(__xludf.DUMMYFUNCTION("GOOGLETRANSLATE(B2857,""en"",""hy"")"),"Ռոնալդ Ռեյգանը ծնվել է Իլինոյս նահանգի Տամպիկո քաղաքում։")</f>
        <v>Ռոնալդ Ռեյգանը ծնվել է Իլինոյս նահանգի Տամպիկո քաղաքում։</v>
      </c>
    </row>
    <row r="2858">
      <c r="A2858" s="1" t="s">
        <v>5645</v>
      </c>
      <c r="B2858" s="2" t="s">
        <v>5646</v>
      </c>
      <c r="C2858" s="3" t="str">
        <f>IFERROR(__xludf.DUMMYFUNCTION("GOOGLETRANSLATE(A2858,""en"",""hy"")"),"աշխարհի ո՞ր երկրներն են խոսում արաբերեն:")</f>
        <v>աշխարհի ո՞ր երկրներն են խոսում արաբերեն:</v>
      </c>
      <c r="D2858" s="3" t="str">
        <f>IFERROR(__xludf.DUMMYFUNCTION("GOOGLETRANSLATE(B2858,""en"",""hy"")"),"Աշխարհի մի քանի երկրներ խոսում են արաբերեն, այդ թվում՝ Եգիպտոսը, Սաուդյան Արաբիան, Իրաքը, Հորդանանը, Լիբանանը, Մարոկկոն և շատ ուրիշներ։")</f>
        <v>Աշխարհի մի քանի երկրներ խոսում են արաբերեն, այդ թվում՝ Եգիպտոսը, Սաուդյան Արաբիան, Իրաքը, Հորդանանը, Լիբանանը, Մարոկկոն և շատ ուրիշներ։</v>
      </c>
    </row>
    <row r="2859">
      <c r="A2859" s="1" t="s">
        <v>5647</v>
      </c>
      <c r="B2859" s="2" t="s">
        <v>5648</v>
      </c>
      <c r="C2859" s="3" t="str">
        <f>IFERROR(__xludf.DUMMYFUNCTION("GOOGLETRANSLATE(A2859,""en"",""hy"")"),"Ո՞ր 4 նահանգները սահմանակից են Խաղաղ օվկիանոսին:")</f>
        <v>Ո՞ր 4 նահանգները սահմանակից են Խաղաղ օվկիանոսին:</v>
      </c>
      <c r="D2859" s="3" t="str">
        <f>IFERROR(__xludf.DUMMYFUNCTION("GOOGLETRANSLATE(B2859,""en"",""hy"")"),"Կալիֆորնիա, Օրեգոն, Վաշինգտոն և Ալյասկա:")</f>
        <v>Կալիֆորնիա, Օրեգոն, Վաշինգտոն և Ալյասկա:</v>
      </c>
    </row>
    <row r="2860">
      <c r="A2860" s="1" t="s">
        <v>5649</v>
      </c>
      <c r="B2860" s="2" t="s">
        <v>5650</v>
      </c>
      <c r="C2860" s="3" t="str">
        <f>IFERROR(__xludf.DUMMYFUNCTION("GOOGLETRANSLATE(A2860,""en"",""hy"")"),"ինչ անել Նադի Ֆիջիում:")</f>
        <v>ինչ անել Նադի Ֆիջիում:</v>
      </c>
      <c r="D2860" s="3" t="str">
        <f>IFERROR(__xludf.DUMMYFUNCTION("GOOGLETRANSLATE(B2860,""en"",""hy"")"),"Ֆիջի նահանգի Նադի քաղաքում կան բազմաթիվ գործողություններ: Որոշ հանրաճանաչ տարբերակներ ներառում են Քնած հսկայի այգին ուսումնասիրելը, Սաբետո տաք աղբյուրները և ցեխի լողավազան այցելելը, նավով շրջագայություն կատարել դեպի ցնցող Մամանուկա կղզիներ և ֆիջիական ավան"&amp;"դական մշակույթը տեղական գյուղում:")</f>
        <v>Ֆիջի նահանգի Նադի քաղաքում կան բազմաթիվ գործողություններ: Որոշ հանրաճանաչ տարբերակներ ներառում են Քնած հսկայի այգին ուսումնասիրելը, Սաբետո տաք աղբյուրները և ցեխի լողավազան այցելելը, նավով շրջագայություն կատարել դեպի ցնցող Մամանուկա կղզիներ և ֆիջիական ավանդական մշակույթը տեղական գյուղում:</v>
      </c>
    </row>
    <row r="2861">
      <c r="A2861" s="1" t="s">
        <v>5651</v>
      </c>
      <c r="B2861" s="2" t="s">
        <v>5652</v>
      </c>
      <c r="C2861" s="3" t="str">
        <f>IFERROR(__xludf.DUMMYFUNCTION("GOOGLETRANSLATE(A2861,""en"",""hy"")"),"ով է Ֆրենսիս Բեկոնը և ինչ է արել:")</f>
        <v>ով է Ֆրենսիս Բեկոնը և ինչ է արել:</v>
      </c>
      <c r="D2861" s="3" t="str">
        <f>IFERROR(__xludf.DUMMYFUNCTION("GOOGLETRANSLATE(B2861,""en"",""hy"")"),"Ֆրենսիս Բեկոնը անգլիացի փիլիսոփա, պետական ​​գործիչ և գիտնական էր։ Նա առավել հայտնի է գիտական ​​մեթոդի մշակման և էմպիրիկ դիտարկումների և փորձերի առաջմղման աշխատանքներով:")</f>
        <v>Ֆրենսիս Բեկոնը անգլիացի փիլիսոփա, պետական ​​գործիչ և գիտնական էր։ Նա առավել հայտնի է գիտական ​​մեթոդի մշակման և էմպիրիկ դիտարկումների և փորձերի առաջմղման աշխատանքներով:</v>
      </c>
    </row>
    <row r="2862">
      <c r="A2862" s="1" t="s">
        <v>5653</v>
      </c>
      <c r="B2862" s="2" t="s">
        <v>5654</v>
      </c>
      <c r="C2862" s="3" t="str">
        <f>IFERROR(__xludf.DUMMYFUNCTION("GOOGLETRANSLATE(A2862,""en"",""hy"")"),"ո՞րն է Ջամայկայի գերիշխող լեզուն:")</f>
        <v>ո՞րն է Ջամայկայի գերիշխող լեզուն:</v>
      </c>
      <c r="D2862" s="3" t="str">
        <f>IFERROR(__xludf.DUMMYFUNCTION("GOOGLETRANSLATE(B2862,""en"",""hy"")"),"Ճամայկայի գերիշխող լեզուն անգլերենն է։")</f>
        <v>Ճամայկայի գերիշխող լեզուն անգլերենն է։</v>
      </c>
    </row>
    <row r="2863">
      <c r="A2863" s="1" t="s">
        <v>5655</v>
      </c>
      <c r="B2863" s="2" t="s">
        <v>5656</v>
      </c>
      <c r="C2863" s="3" t="str">
        <f>IFERROR(__xludf.DUMMYFUNCTION("GOOGLETRANSLATE(A2863,""en"",""hy"")"),"երբ է սկսվում medicare մասը d-ը:")</f>
        <v>երբ է սկսվում medicare մասը d-ը:</v>
      </c>
      <c r="D2863" s="3" t="str">
        <f>IFERROR(__xludf.DUMMYFUNCTION("GOOGLETRANSLATE(B2863,""en"",""hy"")"),"Medicare Մաս Դ-ն սովորաբար սկսվում է անհատի գրանցման ամսվա առաջին օրը:")</f>
        <v>Medicare Մաս Դ-ն սովորաբար սկսվում է անհատի գրանցման ամսվա առաջին օրը:</v>
      </c>
    </row>
    <row r="2864">
      <c r="A2864" s="1" t="s">
        <v>5657</v>
      </c>
      <c r="B2864" s="2" t="s">
        <v>5658</v>
      </c>
      <c r="C2864" s="3" t="str">
        <f>IFERROR(__xludf.DUMMYFUNCTION("GOOGLETRANSLATE(A2864,""en"",""hy"")"),"ո՞րն է Սեուլի հարավային Կորեայի փոստային կոդը:")</f>
        <v>ո՞րն է Սեուլի հարավային Կորեայի փոստային կոդը:</v>
      </c>
      <c r="D2864" s="3" t="str">
        <f>IFERROR(__xludf.DUMMYFUNCTION("GOOGLETRANSLATE(B2864,""en"",""hy"")"),"Հարավային Կորեայի Սեուլի փոստային ինդեքսը տատանվում է՝ կախված կոնկրետ տարածքից կամ շրջանից:")</f>
        <v>Հարավային Կորեայի Սեուլի փոստային ինդեքսը տատանվում է՝ կախված կոնկրետ տարածքից կամ շրջանից:</v>
      </c>
    </row>
    <row r="2865">
      <c r="A2865" s="1" t="s">
        <v>5659</v>
      </c>
      <c r="B2865" s="2" t="s">
        <v>2485</v>
      </c>
      <c r="C2865" s="3" t="str">
        <f>IFERROR(__xludf.DUMMYFUNCTION("GOOGLETRANSLATE(A2865,""en"",""hy"")"),"ի՞նչ տիպի կառավարություն ունեն Բահամյան կղզիները:")</f>
        <v>ի՞նչ տիպի կառավարություն ունեն Բահամյան կղզիները:</v>
      </c>
      <c r="D2865" s="3" t="str">
        <f>IFERROR(__xludf.DUMMYFUNCTION("GOOGLETRANSLATE(B2865,""en"",""hy"")"),"Բահամյան կղզիներում խորհրդարանական ժողովրդավարություն է:")</f>
        <v>Բահամյան կղզիներում խորհրդարանական ժողովրդավարություն է:</v>
      </c>
    </row>
    <row r="2866">
      <c r="A2866" s="1" t="s">
        <v>5660</v>
      </c>
      <c r="B2866" s="2" t="s">
        <v>5661</v>
      </c>
      <c r="C2866" s="3" t="str">
        <f>IFERROR(__xludf.DUMMYFUNCTION("GOOGLETRANSLATE(A2866,""en"",""hy"")"),"ո՞ր համալսարան է սովորել Թոնի Ռոմոն")</f>
        <v>ո՞ր համալսարան է սովորել Թոնի Ռոմոն</v>
      </c>
      <c r="D2866" s="3" t="str">
        <f>IFERROR(__xludf.DUMMYFUNCTION("GOOGLETRANSLATE(B2866,""en"",""hy"")"),"Թոնի Ռոմոն հաճախել է Արևելյան Իլինոյսի համալսարան:")</f>
        <v>Թոնի Ռոմոն հաճախել է Արևելյան Իլինոյսի համալսարան:</v>
      </c>
    </row>
    <row r="2867">
      <c r="A2867" s="1" t="s">
        <v>5662</v>
      </c>
      <c r="B2867" s="2" t="s">
        <v>5663</v>
      </c>
      <c r="C2867" s="3" t="str">
        <f>IFERROR(__xludf.DUMMYFUNCTION("GOOGLETRANSLATE(A2867,""en"",""hy"")"),"որտեղ է Բոսնիան")</f>
        <v>որտեղ է Բոսնիան</v>
      </c>
      <c r="D2867" s="3" t="str">
        <f>IFERROR(__xludf.DUMMYFUNCTION("GOOGLETRANSLATE(B2867,""en"",""hy"")"),"Բոսնիան գտնվում է հարավ-արևելյան Եվրոպայում՝ Բալկանյան թերակղզում։")</f>
        <v>Բոսնիան գտնվում է հարավ-արևելյան Եվրոպայում՝ Բալկանյան թերակղզում։</v>
      </c>
    </row>
    <row r="2868">
      <c r="A2868" s="1" t="s">
        <v>5664</v>
      </c>
      <c r="B2868" s="2" t="s">
        <v>5665</v>
      </c>
      <c r="C2868" s="3" t="str">
        <f>IFERROR(__xludf.DUMMYFUNCTION("GOOGLETRANSLATE(A2868,""en"",""hy"")"),"ո՞ր երկրներն են խոսում գերմաներենը որպես առաջին լեզու:")</f>
        <v>ո՞ր երկրներն են խոսում գերմաներենը որպես առաջին լեզու:</v>
      </c>
      <c r="D2868" s="3" t="str">
        <f>IFERROR(__xludf.DUMMYFUNCTION("GOOGLETRANSLATE(B2868,""en"",""hy"")"),"Գերմանիա, Ավստրիա, Շվեյցարիա, Լիխտենշտեյն և Լյուքսեմբուրգ:")</f>
        <v>Գերմանիա, Ավստրիա, Շվեյցարիա, Լիխտենշտեյն և Լյուքսեմբուրգ:</v>
      </c>
    </row>
    <row r="2869">
      <c r="A2869" s="1" t="s">
        <v>5666</v>
      </c>
      <c r="B2869" s="2" t="s">
        <v>5667</v>
      </c>
      <c r="C2869" s="3" t="str">
        <f>IFERROR(__xludf.DUMMYFUNCTION("GOOGLETRANSLATE(A2869,""en"",""hy"")"),"որտեղի՞ց է հիմնված Amazon-ը:")</f>
        <v>որտեղի՞ց է հիմնված Amazon-ը:</v>
      </c>
      <c r="D2869" s="3" t="str">
        <f>IFERROR(__xludf.DUMMYFUNCTION("GOOGLETRANSLATE(B2869,""en"",""hy"")"),"Սիեթլ, Վաշինգտոն")</f>
        <v>Սիեթլ, Վաշինգտոն</v>
      </c>
    </row>
    <row r="2870">
      <c r="A2870" s="1" t="s">
        <v>5668</v>
      </c>
      <c r="B2870" s="2" t="s">
        <v>5669</v>
      </c>
      <c r="C2870" s="3" t="str">
        <f>IFERROR(__xludf.DUMMYFUNCTION("GOOGLETRANSLATE(A2870,""en"",""hy"")"),"Ո՞ր թիմում է Մայք Պիացան ավարտել կարիերան:")</f>
        <v>Ո՞ր թիմում է Մայք Պիացան ավարտել կարիերան:</v>
      </c>
      <c r="D2870" s="3" t="str">
        <f>IFERROR(__xludf.DUMMYFUNCTION("GOOGLETRANSLATE(B2870,""en"",""hy"")"),"Մայք Պիացան թոշակի անցավ Սան Դիեգո Պադրեսում:")</f>
        <v>Մայք Պիացան թոշակի անցավ Սան Դիեգո Պադրեսում:</v>
      </c>
    </row>
    <row r="2871">
      <c r="A2871" s="1" t="s">
        <v>5670</v>
      </c>
      <c r="B2871" s="2" t="s">
        <v>5671</v>
      </c>
      <c r="C2871" s="3" t="str">
        <f>IFERROR(__xludf.DUMMYFUNCTION("GOOGLETRANSLATE(A2871,""en"",""hy"")"),"ինչ է Իլինոյսի պետական ​​կենդանին:")</f>
        <v>ինչ է Իլինոյսի պետական ​​կենդանին:</v>
      </c>
      <c r="D2871" s="3" t="str">
        <f>IFERROR(__xludf.DUMMYFUNCTION("GOOGLETRANSLATE(B2871,""en"",""hy"")"),"Իլինոյսի նահանգի կենդանին սպիտակապոչ եղնիկն է։")</f>
        <v>Իլինոյսի նահանգի կենդանին սպիտակապոչ եղնիկն է։</v>
      </c>
    </row>
    <row r="2872">
      <c r="A2872" s="1" t="s">
        <v>5672</v>
      </c>
      <c r="B2872" s="2" t="s">
        <v>5673</v>
      </c>
      <c r="C2872" s="3" t="str">
        <f>IFERROR(__xludf.DUMMYFUNCTION("GOOGLETRANSLATE(A2872,""en"",""hy"")"),"որտեղ է սովորել Ռոբերտ Բոյլը")</f>
        <v>որտեղ է սովորել Ռոբերտ Բոյլը</v>
      </c>
      <c r="D2872" s="3" t="str">
        <f>IFERROR(__xludf.DUMMYFUNCTION("GOOGLETRANSLATE(B2872,""en"",""hy"")"),"Ռոբերտ Բոյլը սովորել է Օքսֆորդի համալսարանում։")</f>
        <v>Ռոբերտ Բոյլը սովորել է Օքսֆորդի համալսարանում։</v>
      </c>
    </row>
    <row r="2873">
      <c r="A2873" s="1" t="s">
        <v>5674</v>
      </c>
      <c r="B2873" s="2" t="s">
        <v>5675</v>
      </c>
      <c r="C2873" s="3" t="str">
        <f>IFERROR(__xludf.DUMMYFUNCTION("GOOGLETRANSLATE(A2873,""en"",""hy"")"),"ինչ կա տեսնելու Գրանդ կիրճի մոտ:")</f>
        <v>ինչ կա տեսնելու Գրանդ կիրճի մոտ:</v>
      </c>
      <c r="D2873" s="3" t="str">
        <f>IFERROR(__xludf.DUMMYFUNCTION("GOOGLETRANSLATE(B2873,""en"",""hy"")"),"Գրանդ կանիոնի մոտ կան մի քանի տեսարժան վայրեր, ներառյալ Horseshoe Bend-ը, Antelope Canyon-ը և Կոլորադո գետը:")</f>
        <v>Գրանդ կանիոնի մոտ կան մի քանի տեսարժան վայրեր, ներառյալ Horseshoe Bend-ը, Antelope Canyon-ը և Կոլորադո գետը:</v>
      </c>
    </row>
    <row r="2874">
      <c r="A2874" s="1" t="s">
        <v>5676</v>
      </c>
      <c r="B2874" s="2" t="s">
        <v>5677</v>
      </c>
      <c r="C2874" s="3" t="str">
        <f>IFERROR(__xludf.DUMMYFUNCTION("GOOGLETRANSLATE(A2874,""en"",""hy"")"),"որտեղի՞ց է FDA-ն ստանում իր հեղինակությունը:")</f>
        <v>որտեղի՞ց է FDA-ն ստանում իր հեղինակությունը:</v>
      </c>
      <c r="D2874" s="3" t="str">
        <f>IFERROR(__xludf.DUMMYFUNCTION("GOOGLETRANSLATE(B2874,""en"",""hy"")"),"FDA-ն իր լիազորությունները ստանում է Միացյալ Նահանգների կառավարությունից:")</f>
        <v>FDA-ն իր լիազորությունները ստանում է Միացյալ Նահանգների կառավարությունից:</v>
      </c>
    </row>
    <row r="2875">
      <c r="A2875" s="1" t="s">
        <v>5678</v>
      </c>
      <c r="B2875" s="2" t="s">
        <v>5679</v>
      </c>
      <c r="C2875" s="3" t="str">
        <f>IFERROR(__xludf.DUMMYFUNCTION("GOOGLETRANSLATE(A2875,""en"",""hy"")"),"որտեղ է ապրում Հեկտոր Կամաչոն")</f>
        <v>որտեղ է ապրում Հեկտոր Կամաչոն</v>
      </c>
      <c r="D2875" s="3" t="str">
        <f>IFERROR(__xludf.DUMMYFUNCTION("GOOGLETRANSLATE(B2875,""en"",""hy"")"),"Հեկտոր Կամաչոն մահացել է 2012թ.")</f>
        <v>Հեկտոր Կամաչոն մահացել է 2012թ.</v>
      </c>
    </row>
    <row r="2876">
      <c r="A2876" s="1" t="s">
        <v>5680</v>
      </c>
      <c r="B2876" s="2" t="s">
        <v>5681</v>
      </c>
      <c r="C2876" s="3" t="str">
        <f>IFERROR(__xludf.DUMMYFUNCTION("GOOGLETRANSLATE(A2876,""en"",""hy"")"),"ով էր Վլադիմիր Լենինը և ինչու էր նա կարևոր.")</f>
        <v>ով էր Վլադիմիր Լենինը և ինչու էր նա կարևոր.</v>
      </c>
      <c r="D2876" s="3" t="str">
        <f>IFERROR(__xludf.DUMMYFUNCTION("GOOGLETRANSLATE(B2876,""en"",""hy"")"),"Վլադիմիր Լենինը ռուս կոմունիստ հեղափոխական և քաղաքական առաջնորդ էր, ով ստեղծեց Խորհրդային Միությունը: Նա կարևոր էր, քանի որ նա ղեկավարում էր բոլշևիկյան կուսակցությունը 1917 թվականի Հոկտեմբերյան հեղափոխության ժամանակ և առանցքային դեր խաղաց խորհրդային իշխան"&amp;"ության սկզբնական տարիներին՝ իրականացնելով սոցիալիստական ​​քաղաքականություն և առաջնորդելով երկրի անցումը դեպի կոմունիզմ:")</f>
        <v>Վլադիմիր Լենինը ռուս կոմունիստ հեղափոխական և քաղաքական առաջնորդ էր, ով ստեղծեց Խորհրդային Միությունը: Նա կարևոր էր, քանի որ նա ղեկավարում էր բոլշևիկյան կուսակցությունը 1917 թվականի Հոկտեմբերյան հեղափոխության ժամանակ և առանցքային դեր խաղաց խորհրդային իշխանության սկզբնական տարիներին՝ իրականացնելով սոցիալիստական ​​քաղաքականություն և առաջնորդելով երկրի անցումը դեպի կոմունիզմ:</v>
      </c>
    </row>
    <row r="2877">
      <c r="A2877" s="1" t="s">
        <v>5682</v>
      </c>
      <c r="B2877" s="2" t="s">
        <v>5683</v>
      </c>
      <c r="C2877" s="3" t="str">
        <f>IFERROR(__xludf.DUMMYFUNCTION("GOOGLETRANSLATE(A2877,""en"",""hy"")"),"ինչ լեզվով են խոսում Կիպրոսը")</f>
        <v>ինչ լեզվով են խոսում Կիպրոսը</v>
      </c>
      <c r="D2877" s="3" t="str">
        <f>IFERROR(__xludf.DUMMYFUNCTION("GOOGLETRANSLATE(B2877,""en"",""hy"")"),"Կիպրոսում խոսվող պաշտոնական լեզուներն են հունարենը և թուրքերենը։")</f>
        <v>Կիպրոսում խոսվող պաշտոնական լեզուներն են հունարենը և թուրքերենը։</v>
      </c>
    </row>
    <row r="2878">
      <c r="A2878" s="1" t="s">
        <v>5684</v>
      </c>
      <c r="B2878" s="2" t="s">
        <v>5685</v>
      </c>
      <c r="C2878" s="3" t="str">
        <f>IFERROR(__xludf.DUMMYFUNCTION("GOOGLETRANSLATE(A2878,""en"",""hy"")"),"որտեղ է խաղում Ֆաբիո Աուրելիոն")</f>
        <v>որտեղ է խաղում Ֆաբիո Աուրելիոն</v>
      </c>
      <c r="D2878" s="3" t="str">
        <f>IFERROR(__xludf.DUMMYFUNCTION("GOOGLETRANSLATE(B2878,""en"",""hy"")"),"Ֆաբիո Աուրելիոն բրազիլացի նախկին պրոֆեսիոնալ ֆուտբոլիստ է, ով հիմնականում խաղացել է որպես ձախ պաշտպան կամ ձախ եզրային հարձակվող։")</f>
        <v>Ֆաբիո Աուրելիոն բրազիլացի նախկին պրոֆեսիոնալ ֆուտբոլիստ է, ով հիմնականում խաղացել է որպես ձախ պաշտպան կամ ձախ եզրային հարձակվող։</v>
      </c>
    </row>
    <row r="2879">
      <c r="A2879" s="1" t="s">
        <v>5686</v>
      </c>
      <c r="B2879" s="2" t="s">
        <v>5687</v>
      </c>
      <c r="C2879" s="3" t="str">
        <f>IFERROR(__xludf.DUMMYFUNCTION("GOOGLETRANSLATE(A2879,""en"",""hy"")"),"ո՞ր պատերազմն օգնեց հաղթել Ջորջ Վաշինգթոնին:")</f>
        <v>ո՞ր պատերազմն օգնեց հաղթել Ջորջ Վաշինգթոնին:</v>
      </c>
      <c r="D2879" s="3" t="str">
        <f>IFERROR(__xludf.DUMMYFUNCTION("GOOGLETRANSLATE(B2879,""en"",""hy"")"),"Ամերիկյան հեղափոխական պատերազմ.")</f>
        <v>Ամերիկյան հեղափոխական պատերազմ.</v>
      </c>
    </row>
    <row r="2880">
      <c r="A2880" s="1" t="s">
        <v>5688</v>
      </c>
      <c r="B2880" s="2" t="s">
        <v>5689</v>
      </c>
      <c r="C2880" s="3" t="str">
        <f>IFERROR(__xludf.DUMMYFUNCTION("GOOGLETRANSLATE(A2880,""en"",""hy"")"),"որտեղ է ապրում Դենի Աինգը")</f>
        <v>որտեղ է ապրում Դենի Աինգը</v>
      </c>
      <c r="D2880" s="3" t="str">
        <f>IFERROR(__xludf.DUMMYFUNCTION("GOOGLETRANSLATE(B2880,""en"",""hy"")"),"Որպես արհեստական ​​ինտելեկտի լեզվի մոդել՝ ես մուտք չունեմ անհատների մասին անձնական տվյալներ, քանի դեռ դրանք չեն կիսվել ինձ հետ մեր զրույցի ընթացքում: Ես ստեղծված եմ հարգելու օգտատերերի գաղտնիությունը և գաղտնիությունը: Հետևաբար, ես չեմ կարող տեղեկատվությու"&amp;"ն տրամադրել այն մասին, թե որտեղ է ապրում NBA-ի նախկին խաղացող և գործադիր տնօրեն Դենի Էյնջը:")</f>
        <v>Որպես արհեստական ​​ինտելեկտի լեզվի մոդել՝ ես մուտք չունեմ անհատների մասին անձնական տվյալներ, քանի դեռ դրանք չեն կիսվել ինձ հետ մեր զրույցի ընթացքում: Ես ստեղծված եմ հարգելու օգտատերերի գաղտնիությունը և գաղտնիությունը: Հետևաբար, ես չեմ կարող տեղեկատվություն տրամադրել այն մասին, թե որտեղ է ապրում NBA-ի նախկին խաղացող և գործադիր տնօրեն Դենի Էյնջը:</v>
      </c>
    </row>
    <row r="2881">
      <c r="A2881" s="1" t="s">
        <v>5690</v>
      </c>
      <c r="B2881" s="2" t="s">
        <v>5691</v>
      </c>
      <c r="C2881" s="3" t="str">
        <f>IFERROR(__xludf.DUMMYFUNCTION("GOOGLETRANSLATE(A2881,""en"",""hy"")"),"ո՞ր քոլեջն է հաճախել Սթիվ Ջոբսը:")</f>
        <v>ո՞ր քոլեջն է հաճախել Սթիվ Ջոբսը:</v>
      </c>
      <c r="D2881" s="3" t="str">
        <f>IFERROR(__xludf.DUMMYFUNCTION("GOOGLETRANSLATE(B2881,""en"",""hy"")"),"Սթիվ Ջոբսը սովորել է Ռիդ քոլեջում։")</f>
        <v>Սթիվ Ջոբսը սովորել է Ռիդ քոլեջում։</v>
      </c>
    </row>
    <row r="2882">
      <c r="A2882" s="1" t="s">
        <v>5692</v>
      </c>
      <c r="B2882" s="2" t="s">
        <v>5693</v>
      </c>
      <c r="C2882" s="3" t="str">
        <f>IFERROR(__xludf.DUMMYFUNCTION("GOOGLETRANSLATE(A2882,""en"",""hy"")"),"որտեղ է ծնվել Անն Ֆրանկը")</f>
        <v>որտեղ է ծնվել Անն Ֆրանկը</v>
      </c>
      <c r="D2882" s="3" t="str">
        <f>IFERROR(__xludf.DUMMYFUNCTION("GOOGLETRANSLATE(B2882,""en"",""hy"")"),"Աննա Ֆրանկը ծնվել է Մայնի Ֆրանկֆուրտում, Գերմանիա:")</f>
        <v>Աննա Ֆրանկը ծնվել է Մայնի Ֆրանկֆուրտում, Գերմանիա:</v>
      </c>
    </row>
    <row r="2883">
      <c r="A2883" s="1" t="s">
        <v>5694</v>
      </c>
      <c r="B2883" s="2" t="s">
        <v>5695</v>
      </c>
      <c r="C2883" s="3" t="str">
        <f>IFERROR(__xludf.DUMMYFUNCTION("GOOGLETRANSLATE(A2883,""en"",""hy"")"),"ո՞վ է խաղում երիտասարդ Ջո կեղտը:")</f>
        <v>ո՞վ է խաղում երիտասարդ Ջո կեղտը:</v>
      </c>
      <c r="D2883" s="3" t="str">
        <f>IFERROR(__xludf.DUMMYFUNCTION("GOOGLETRANSLATE(B2883,""en"",""hy"")"),"Դեյվիդ Սփեյդ.")</f>
        <v>Դեյվիդ Սփեյդ.</v>
      </c>
    </row>
    <row r="2884">
      <c r="A2884" s="1" t="s">
        <v>5696</v>
      </c>
      <c r="B2884" s="2" t="s">
        <v>5697</v>
      </c>
      <c r="C2884" s="3" t="str">
        <f>IFERROR(__xludf.DUMMYFUNCTION("GOOGLETRANSLATE(A2884,""en"",""hy"")"),"ինչ ընկերություն է եղել նախկինում Verizon-ը:")</f>
        <v>ինչ ընկերություն է եղել նախկինում Verizon-ը:</v>
      </c>
      <c r="D2884" s="3" t="str">
        <f>IFERROR(__xludf.DUMMYFUNCTION("GOOGLETRANSLATE(B2884,""en"",""hy"")"),"Verizon-ը նախկինում հայտնի էր որպես Bell Atlantic Corporation:")</f>
        <v>Verizon-ը նախկինում հայտնի էր որպես Bell Atlantic Corporation:</v>
      </c>
    </row>
    <row r="2885">
      <c r="A2885" s="1" t="s">
        <v>5698</v>
      </c>
      <c r="B2885" s="2" t="s">
        <v>5699</v>
      </c>
      <c r="C2885" s="3" t="str">
        <f>IFERROR(__xludf.DUMMYFUNCTION("GOOGLETRANSLATE(A2885,""en"",""hy"")"),"ով էր Թութ թագավորի կինը")</f>
        <v>ով էր Թութ թագավորի կինը</v>
      </c>
      <c r="D2885" s="3" t="str">
        <f>IFERROR(__xludf.DUMMYFUNCTION("GOOGLETRANSLATE(B2885,""en"",""hy"")"),"Թութ թագավորի կինը Անխեսենամունն էր։")</f>
        <v>Թութ թագավորի կինը Անխեսենամունն էր։</v>
      </c>
    </row>
    <row r="2886">
      <c r="A2886" s="1" t="s">
        <v>5700</v>
      </c>
      <c r="B2886" s="2" t="s">
        <v>5701</v>
      </c>
      <c r="C2886" s="3" t="str">
        <f>IFERROR(__xludf.DUMMYFUNCTION("GOOGLETRANSLATE(A2886,""en"",""hy"")"),"Ո՞ր թիմում է խաղացել Մեջիք Ջոնսոնը:")</f>
        <v>Ո՞ր թիմում է խաղացել Մեջիք Ջոնսոնը:</v>
      </c>
      <c r="D2886" s="3" t="str">
        <f>IFERROR(__xludf.DUMMYFUNCTION("GOOGLETRANSLATE(B2886,""en"",""hy"")"),"Լոս Անջելես Լեյքերս.")</f>
        <v>Լոս Անջելես Լեյքերս.</v>
      </c>
    </row>
    <row r="2887">
      <c r="A2887" s="1" t="s">
        <v>5702</v>
      </c>
      <c r="B2887" s="2" t="s">
        <v>5703</v>
      </c>
      <c r="C2887" s="3" t="str">
        <f>IFERROR(__xludf.DUMMYFUNCTION("GOOGLETRANSLATE(A2887,""en"",""hy"")"),"ինչ են Քենեդիները")</f>
        <v>ինչ են Քենեդիները</v>
      </c>
      <c r="D2887" s="3" t="str">
        <f>IFERROR(__xludf.DUMMYFUNCTION("GOOGLETRANSLATE(B2887,""en"",""hy"")"),"Քենեդիները ամերիկյան հայտնի քաղաքական ընտանիք են:")</f>
        <v>Քենեդիները ամերիկյան հայտնի քաղաքական ընտանիք են:</v>
      </c>
    </row>
    <row r="2888">
      <c r="A2888" s="1" t="s">
        <v>5704</v>
      </c>
      <c r="B2888" s="2" t="s">
        <v>5705</v>
      </c>
      <c r="C2888" s="3" t="str">
        <f>IFERROR(__xludf.DUMMYFUNCTION("GOOGLETRANSLATE(A2888,""en"",""hy"")"),"որտեղից է գալիս քուրդ ժողովուրդը")</f>
        <v>որտեղից է գալիս քուրդ ժողովուրդը</v>
      </c>
      <c r="D2888" s="3" t="str">
        <f>IFERROR(__xludf.DUMMYFUNCTION("GOOGLETRANSLATE(B2888,""en"",""hy"")"),"Քուրդ ժողովուրդը ծագում է Մերձավոր Արևելքի շրջաններից, հիմնականում Թուրքիայի, Իրանի, Իրաքի և Սիրիայի որոշ մասերից:")</f>
        <v>Քուրդ ժողովուրդը ծագում է Մերձավոր Արևելքի շրջաններից, հիմնականում Թուրքիայի, Իրանի, Իրաքի և Սիրիայի որոշ մասերից:</v>
      </c>
    </row>
    <row r="2889">
      <c r="A2889" s="1" t="s">
        <v>5706</v>
      </c>
      <c r="B2889" s="2" t="s">
        <v>5707</v>
      </c>
      <c r="C2889" s="3" t="str">
        <f>IFERROR(__xludf.DUMMYFUNCTION("GOOGLETRANSLATE(A2889,""en"",""hy"")"),"որտեղ է գտնվում Սարաևոն")</f>
        <v>որտեղ է գտնվում Սարաևոն</v>
      </c>
      <c r="D2889" s="3" t="str">
        <f>IFERROR(__xludf.DUMMYFUNCTION("GOOGLETRANSLATE(B2889,""en"",""hy"")"),"Սարաևոն գտնվում է Բոսնիա և Հերցեգովինայում։")</f>
        <v>Սարաևոն գտնվում է Բոսնիա և Հերցեգովինայում։</v>
      </c>
    </row>
    <row r="2890">
      <c r="A2890" s="1" t="s">
        <v>5708</v>
      </c>
      <c r="B2890" s="2" t="s">
        <v>5709</v>
      </c>
      <c r="C2890" s="3" t="str">
        <f>IFERROR(__xludf.DUMMYFUNCTION("GOOGLETRANSLATE(A2890,""en"",""hy"")"),"ո՞րն է պաշտոնական լեզուն Չինաստանում:")</f>
        <v>ո՞րն է պաշտոնական լեզուն Չինաստանում:</v>
      </c>
      <c r="D2890" s="3" t="str">
        <f>IFERROR(__xludf.DUMMYFUNCTION("GOOGLETRANSLATE(B2890,""en"",""hy"")"),"Չինաստանում պաշտոնական լեզուն մանդարին չինարենն է։")</f>
        <v>Չինաստանում պաշտոնական լեզուն մանդարին չինարենն է։</v>
      </c>
    </row>
    <row r="2891">
      <c r="A2891" s="1" t="s">
        <v>5710</v>
      </c>
      <c r="B2891" s="2" t="s">
        <v>2251</v>
      </c>
      <c r="C2891" s="3" t="str">
        <f>IFERROR(__xludf.DUMMYFUNCTION("GOOGLETRANSLATE(A2891,""en"",""hy"")"),"ով է ձայնը Kitt է Knight Rider.")</f>
        <v>ով է ձայնը Kitt է Knight Rider.</v>
      </c>
      <c r="D2891" s="3" t="str">
        <f>IFERROR(__xludf.DUMMYFUNCTION("GOOGLETRANSLATE(B2891,""en"",""hy"")"),"Ուիլյամ Դենիելս.")</f>
        <v>Ուիլյամ Դենիելս.</v>
      </c>
    </row>
    <row r="2892">
      <c r="A2892" s="1" t="s">
        <v>5711</v>
      </c>
      <c r="B2892" s="2" t="s">
        <v>5712</v>
      </c>
      <c r="C2892" s="3" t="str">
        <f>IFERROR(__xludf.DUMMYFUNCTION("GOOGLETRANSLATE(A2892,""en"",""hy"")"),"ինչ թիմեր են մնացել nfl-ում:")</f>
        <v>ինչ թիմեր են մնացել nfl-ում:</v>
      </c>
      <c r="D2892" s="3" t="str">
        <f>IFERROR(__xludf.DUMMYFUNCTION("GOOGLETRANSLATE(B2892,""en"",""hy"")"),"2021 թվականի սեզոնի տվյալներով՝ NFL-ում կա 32 թիմ։")</f>
        <v>2021 թվականի սեզոնի տվյալներով՝ NFL-ում կա 32 թիմ։</v>
      </c>
    </row>
    <row r="2893">
      <c r="A2893" s="1" t="s">
        <v>5713</v>
      </c>
      <c r="B2893" s="2" t="s">
        <v>5714</v>
      </c>
      <c r="C2893" s="3" t="str">
        <f>IFERROR(__xludf.DUMMYFUNCTION("GOOGLETRANSLATE(A2893,""en"",""hy"")"),"Արվեստի ո՞ր շարժման մաս էր կազմում Պաբլո Պիկասոն:")</f>
        <v>Արվեստի ո՞ր շարժման մաս էր կազմում Պաբլո Պիկասոն:</v>
      </c>
      <c r="D2893" s="3" t="str">
        <f>IFERROR(__xludf.DUMMYFUNCTION("GOOGLETRANSLATE(B2893,""en"",""hy"")"),"Պաբլո Պիկասոն կուբիզմ արվեստի շարժման մի մասն էր։")</f>
        <v>Պաբլո Պիկասոն կուբիզմ արվեստի շարժման մի մասն էր։</v>
      </c>
    </row>
    <row r="2894">
      <c r="A2894" s="1" t="s">
        <v>5715</v>
      </c>
      <c r="B2894" s="2" t="s">
        <v>5716</v>
      </c>
      <c r="C2894" s="3" t="str">
        <f>IFERROR(__xludf.DUMMYFUNCTION("GOOGLETRANSLATE(A2894,""en"",""hy"")"),"ինչ տեսակի բիզնեսում է Միթ Ռոմնին:")</f>
        <v>ինչ տեսակի բիզնեսում է Միթ Ռոմնին:</v>
      </c>
      <c r="D2894" s="3" t="str">
        <f>IFERROR(__xludf.DUMMYFUNCTION("GOOGLETRANSLATE(B2894,""en"",""hy"")"),"Միթ Ռոմնին հիմնականում ներգրավված է մասնավոր կապիտալի ոլորտում:")</f>
        <v>Միթ Ռոմնին հիմնականում ներգրավված է մասնավոր կապիտալի ոլորտում:</v>
      </c>
    </row>
    <row r="2895">
      <c r="A2895" s="1" t="s">
        <v>5717</v>
      </c>
      <c r="B2895" s="2" t="s">
        <v>4032</v>
      </c>
      <c r="C2895" s="3" t="str">
        <f>IFERROR(__xludf.DUMMYFUNCTION("GOOGLETRANSLATE(A2895,""en"",""hy"")"),"ի՞նչ լեզվով են խոսում եգիպտերեն։")</f>
        <v>ի՞նչ լեզվով են խոսում եգիպտերեն։</v>
      </c>
      <c r="D2895" s="3" t="str">
        <f>IFERROR(__xludf.DUMMYFUNCTION("GOOGLETRANSLATE(B2895,""en"",""hy"")"),"արաբերեն.")</f>
        <v>արաբերեն.</v>
      </c>
    </row>
    <row r="2896">
      <c r="A2896" s="1" t="s">
        <v>5718</v>
      </c>
      <c r="B2896" s="2" t="s">
        <v>5719</v>
      </c>
      <c r="C2896" s="3" t="str">
        <f>IFERROR(__xludf.DUMMYFUNCTION("GOOGLETRANSLATE(A2896,""en"",""hy"")"),"Որո՞նք են պատմական վայրերը Նյու Յորքում:")</f>
        <v>Որո՞նք են պատմական վայրերը Նյու Յորքում:</v>
      </c>
      <c r="D2896" s="3" t="str">
        <f>IFERROR(__xludf.DUMMYFUNCTION("GOOGLETRANSLATE(B2896,""en"",""hy"")"),"Նյու Յորքի որոշ պատմական վայրեր ներառում են Ազատության արձանը, Էլիս կղզին, Թայմս Սքվերը, Կենտրոնական այգին և Էմփայր Սթեյթ Բիլդինգը:")</f>
        <v>Նյու Յորքի որոշ պատմական վայրեր ներառում են Ազատության արձանը, Էլիս կղզին, Թայմս Սքվերը, Կենտրոնական այգին և Էմփայր Սթեյթ Բիլդինգը:</v>
      </c>
    </row>
    <row r="2897">
      <c r="A2897" s="1" t="s">
        <v>5720</v>
      </c>
      <c r="B2897" s="2">
        <v>1492.0</v>
      </c>
      <c r="C2897" s="3" t="str">
        <f>IFERROR(__xludf.DUMMYFUNCTION("GOOGLETRANSLATE(A2897,""en"",""hy"")"),"Ո՞ր թվականին է Կոլումբոսը նավարկել դեպի նոր աշխարհ:")</f>
        <v>Ո՞ր թվականին է Կոլումբոսը նավարկել դեպի նոր աշխարհ:</v>
      </c>
      <c r="D2897" s="3" t="str">
        <f>IFERROR(__xludf.DUMMYFUNCTION("GOOGLETRANSLATE(B2897,""en"",""hy"")"),"1492 թ")</f>
        <v>1492 թ</v>
      </c>
    </row>
    <row r="2898">
      <c r="A2898" s="1" t="s">
        <v>5721</v>
      </c>
      <c r="B2898" s="2" t="s">
        <v>5722</v>
      </c>
      <c r="C2898" s="3" t="str">
        <f>IFERROR(__xludf.DUMMYFUNCTION("GOOGLETRANSLATE(A2898,""en"",""hy"")"),"Ո՞ր երկրներն են ընդգրկված Ասիա մայրցամաքում:")</f>
        <v>Ո՞ր երկրներն են ընդգրկված Ասիա մայրցամաքում:</v>
      </c>
      <c r="D2898" s="3" t="str">
        <f>IFERROR(__xludf.DUMMYFUNCTION("GOOGLETRANSLATE(B2898,""en"",""hy"")"),"Ասիա մայրցամաքում ընդգրկված երկրներն են՝ Աֆղանստանը, Հայաստանը, Ադրբեջանը, Բահրեյնը, Բանգլադեշը, Բութանը, Բրունեյը, Կամբոջան, Չինաստանը, Կիպրոսը, Արևելյան Թիմորը, Վրաստանը, Հնդկաստանը, Ինդոնեզիան, Իրանը, Իրաքը, Իսրայելը, Ճապոնիան, Հորդանանը, Ղազախստանը, Ք"&amp;"ուվեյթ, Ղրղզստան, Լաոս, Լիբանան, Մալայզիա, Մալդիվներ, Մոնղոլիա, Մյանմար (Բիրմա), Նեպալ, Հյուսիսային Կորեա, Օման, Պակիստան, Պաղեստին, Ֆիլիպիններ, Կատար, Ռուսաստան, Սաուդյան Արաբիա, Սինգապուր, Հարավային Կորեա, Շրի Լանկա, Սիրիա, Թայվան , Տաջիկստան, Թաիլանդ, "&amp;"Թուրքիա, Թուրքմենստան, Արաբական Միացյալ Էմիրություններ (ԱՄԷ), Ուզբեկստան, Վիետնամ և Եմեն։")</f>
        <v>Ասիա մայրցամաքում ընդգրկված երկրներն են՝ Աֆղանստանը, Հայաստանը, Ադրբեջանը, Բահրեյնը, Բանգլադեշը, Բութանը, Բրունեյը, Կամբոջան, Չինաստանը, Կիպրոսը, Արևելյան Թիմորը, Վրաստանը, Հնդկաստանը, Ինդոնեզիան, Իրանը, Իրաքը, Իսրայելը, Ճապոնիան, Հորդանանը, Ղազախստանը, Քուվեյթ, Ղրղզստան, Լաոս, Լիբանան, Մալայզիա, Մալդիվներ, Մոնղոլիա, Մյանմար (Բիրմա), Նեպալ, Հյուսիսային Կորեա, Օման, Պակիստան, Պաղեստին, Ֆիլիպիններ, Կատար, Ռուսաստան, Սաուդյան Արաբիա, Սինգապուր, Հարավային Կորեա, Շրի Լանկա, Սիրիա, Թայվան , Տաջիկստան, Թաիլանդ, Թուրքիա, Թուրքմենստան, Արաբական Միացյալ Էմիրություններ (ԱՄԷ), Ուզբեկստան, Վիետնամ և Եմեն։</v>
      </c>
    </row>
    <row r="2899">
      <c r="A2899" s="1" t="s">
        <v>5723</v>
      </c>
      <c r="B2899" s="2" t="s">
        <v>5724</v>
      </c>
      <c r="C2899" s="3" t="str">
        <f>IFERROR(__xludf.DUMMYFUNCTION("GOOGLETRANSLATE(A2899,""en"",""hy"")"),"ով է wikimedia հիմնադրամի սեփականատերը:")</f>
        <v>ով է wikimedia հիմնադրամի սեփականատերը:</v>
      </c>
      <c r="D2899" s="3" t="str">
        <f>IFERROR(__xludf.DUMMYFUNCTION("GOOGLETRANSLATE(B2899,""en"",""hy"")"),"Վիքիմեդիա հիմնադրամը պատկանում է նրա հոգաբարձուների խորհրդին, որը պատասխանատու է կազմակերպության վերահսկման համար։")</f>
        <v>Վիքիմեդիա հիմնադրամը պատկանում է նրա հոգաբարձուների խորհրդին, որը պատասխանատու է կազմակերպության վերահսկման համար։</v>
      </c>
    </row>
    <row r="2900">
      <c r="A2900" s="1" t="s">
        <v>5725</v>
      </c>
      <c r="B2900" s="2" t="s">
        <v>5726</v>
      </c>
      <c r="C2900" s="3" t="str">
        <f>IFERROR(__xludf.DUMMYFUNCTION("GOOGLETRANSLATE(A2900,""en"",""hy"")"),"Ո՞ր պատերազմի ժամանակ էր Ջորջ Վաշինգտոնի նախագահը.")</f>
        <v>Ո՞ր պատերազմի ժամանակ էր Ջորջ Վաշինգտոնի նախագահը.</v>
      </c>
      <c r="D2900" s="3" t="str">
        <f>IFERROR(__xludf.DUMMYFUNCTION("GOOGLETRANSLATE(B2900,""en"",""hy"")"),"Ջորջ Վաշինգտոնը նախագահ էր Ամերիկյան հեղափոխական պատերազմի ժամանակ։")</f>
        <v>Ջորջ Վաշինգտոնը նախագահ էր Ամերիկյան հեղափոխական պատերազմի ժամանակ։</v>
      </c>
    </row>
    <row r="2901">
      <c r="A2901" s="1" t="s">
        <v>5727</v>
      </c>
      <c r="B2901" s="2" t="s">
        <v>5728</v>
      </c>
      <c r="C2901" s="3" t="str">
        <f>IFERROR(__xludf.DUMMYFUNCTION("GOOGLETRANSLATE(A2901,""en"",""hy"")"),"Ե՞րբ են Մայամիի դելֆինները հաղթել սուպեր գավաթում:")</f>
        <v>Ե՞րբ են Մայամիի դելֆինները հաղթել սուպեր գավաթում:</v>
      </c>
      <c r="D2901" s="3" t="str">
        <f>IFERROR(__xludf.DUMMYFUNCTION("GOOGLETRANSLATE(B2901,""en"",""hy"")"),"Miami Dolphins-ը հաղթել է Super Bowl-ում 1972 և 1973 թվականներին:")</f>
        <v>Miami Dolphins-ը հաղթել է Super Bowl-ում 1972 և 1973 թվականներին:</v>
      </c>
    </row>
    <row r="2902">
      <c r="A2902" s="1" t="s">
        <v>5729</v>
      </c>
      <c r="B2902" s="2" t="s">
        <v>5730</v>
      </c>
      <c r="C2902" s="3" t="str">
        <f>IFERROR(__xludf.DUMMYFUNCTION("GOOGLETRANSLATE(A2902,""en"",""hy"")"),"Ո՞ր ժամային գոտում է գտնվում Մինեսոտան:")</f>
        <v>Ո՞ր ժամային գոտում է գտնվում Մինեսոտան:</v>
      </c>
      <c r="D2902" s="3" t="str">
        <f>IFERROR(__xludf.DUMMYFUNCTION("GOOGLETRANSLATE(B2902,""en"",""hy"")"),"Մինեսոտան գտնվում է Կենտրոնական ժամային գոտում։")</f>
        <v>Մինեսոտան գտնվում է Կենտրոնական ժամային գոտում։</v>
      </c>
    </row>
    <row r="2903">
      <c r="A2903" s="1" t="s">
        <v>5731</v>
      </c>
      <c r="B2903" s="2" t="s">
        <v>5732</v>
      </c>
      <c r="C2903" s="3" t="str">
        <f>IFERROR(__xludf.DUMMYFUNCTION("GOOGLETRANSLATE(A2903,""en"",""hy"")"),"Ո՞ր օդանավակայանն է թռչում Օսլոյում:")</f>
        <v>Ո՞ր օդանավակայանն է թռչում Օսլոյում:</v>
      </c>
      <c r="D2903" s="3" t="str">
        <f>IFERROR(__xludf.DUMMYFUNCTION("GOOGLETRANSLATE(B2903,""en"",""hy"")"),"Լոնդոնի Հիթրոու օդանավակայան (LHR)")</f>
        <v>Լոնդոնի Հիթրոու օդանավակայան (LHR)</v>
      </c>
    </row>
    <row r="2904">
      <c r="A2904" s="1" t="s">
        <v>5733</v>
      </c>
      <c r="B2904" s="2" t="s">
        <v>5734</v>
      </c>
      <c r="C2904" s="3" t="str">
        <f>IFERROR(__xludf.DUMMYFUNCTION("GOOGLETRANSLATE(A2904,""en"",""hy"")"),"ի՞նչ կարող են անել երեխաները Մայամիում:")</f>
        <v>ի՞նչ կարող են անել երեխաները Մայամիում:</v>
      </c>
      <c r="D2904" s="3" t="str">
        <f>IFERROR(__xludf.DUMMYFUNCTION("GOOGLETRANSLATE(B2904,""en"",""hy"")"),"Երեխաների համար Մայամիում շատ գործողություններ կան, օրինակ՝ այցելել Մայամիի մանկական թանգարան, գնալ Մայամիի կենդանաբանական այգի, վայելել լողափերը, ուսումնասիրել Ջունգլի կղզին և այցելել Մայամիի ծովային ակվարիում:")</f>
        <v>Երեխաների համար Մայամիում շատ գործողություններ կան, օրինակ՝ այցելել Մայամիի մանկական թանգարան, գնալ Մայամիի կենդանաբանական այգի, վայելել լողափերը, ուսումնասիրել Ջունգլի կղզին և այցելել Մայամիի ծովային ակվարիում:</v>
      </c>
    </row>
    <row r="2905">
      <c r="A2905" s="1" t="s">
        <v>5735</v>
      </c>
      <c r="B2905" s="2" t="s">
        <v>5736</v>
      </c>
      <c r="C2905" s="3" t="str">
        <f>IFERROR(__xludf.DUMMYFUNCTION("GOOGLETRANSLATE(A2905,""en"",""hy"")"),"Ո՞ր երկրում է ծնվել Կոլումբոսը:")</f>
        <v>Ո՞ր երկրում է ծնվել Կոլումբոսը:</v>
      </c>
      <c r="D2905" s="3" t="str">
        <f>IFERROR(__xludf.DUMMYFUNCTION("GOOGLETRANSLATE(B2905,""en"",""hy"")"),"Կոլումբոսը ծնվել է Իտալիայում։")</f>
        <v>Կոլումբոսը ծնվել է Իտալիայում։</v>
      </c>
    </row>
    <row r="2906">
      <c r="A2906" s="1" t="s">
        <v>5737</v>
      </c>
      <c r="B2906" s="2" t="s">
        <v>5738</v>
      </c>
      <c r="C2906" s="3" t="str">
        <f>IFERROR(__xludf.DUMMYFUNCTION("GOOGLETRANSLATE(A2906,""en"",""hy"")"),"որտեղ էր ապրում Լորեն Կոնրադը")</f>
        <v>որտեղ էր ապրում Լորեն Կոնրադը</v>
      </c>
      <c r="D2906" s="3" t="str">
        <f>IFERROR(__xludf.DUMMYFUNCTION("GOOGLETRANSLATE(B2906,""en"",""hy"")"),"Լորեն Կոնրադը ծագումով Կալիֆորնիայի Լագունա Բիչից է:")</f>
        <v>Լորեն Կոնրադը ծագումով Կալիֆորնիայի Լագունա Բիչից է:</v>
      </c>
    </row>
    <row r="2907">
      <c r="A2907" s="1" t="s">
        <v>5739</v>
      </c>
      <c r="B2907" s="2" t="s">
        <v>5740</v>
      </c>
      <c r="C2907" s="3" t="str">
        <f>IFERROR(__xludf.DUMMYFUNCTION("GOOGLETRANSLATE(A2907,""en"",""hy"")"),"Բելլա ինչ անուն կտա իր երեխային")</f>
        <v>Բելլա ինչ անուն կտա իր երեխային</v>
      </c>
      <c r="D2907" s="3" t="str">
        <f>IFERROR(__xludf.DUMMYFUNCTION("GOOGLETRANSLATE(B2907,""en"",""hy"")"),"Բելլան իր երեխային անվանել է Ռենեսմի։")</f>
        <v>Բելլան իր երեխային անվանել է Ռենեսմի։</v>
      </c>
    </row>
    <row r="2908">
      <c r="A2908" s="1" t="s">
        <v>5741</v>
      </c>
      <c r="B2908" s="2" t="s">
        <v>5742</v>
      </c>
      <c r="C2908" s="3" t="str">
        <f>IFERROR(__xludf.DUMMYFUNCTION("GOOGLETRANSLATE(A2908,""en"",""hy"")"),"ո՞րն է Հյուսթոնի հրթիռների թալիսմանը:")</f>
        <v>ո՞րն է Հյուսթոնի հրթիռների թալիսմանը:</v>
      </c>
      <c r="D2908" s="3" t="str">
        <f>IFERROR(__xludf.DUMMYFUNCTION("GOOGLETRANSLATE(B2908,""en"",""hy"")"),"Houston Rockets-ի թալիսմանը Clutch the Bear-ն է:")</f>
        <v>Houston Rockets-ի թալիսմանը Clutch the Bear-ն է:</v>
      </c>
    </row>
    <row r="2909">
      <c r="A2909" s="1" t="s">
        <v>5743</v>
      </c>
      <c r="B2909" s="2" t="s">
        <v>5744</v>
      </c>
      <c r="C2909" s="3" t="str">
        <f>IFERROR(__xludf.DUMMYFUNCTION("GOOGLETRANSLATE(A2909,""en"",""hy"")"),"ի՞նչ զվարճալի բան կա Սան Դիեգոյում:")</f>
        <v>ի՞նչ զվարճալի բան կա Սան Դիեգոյում:</v>
      </c>
      <c r="D2909" s="3" t="str">
        <f>IFERROR(__xludf.DUMMYFUNCTION("GOOGLETRANSLATE(B2909,""en"",""hy"")"),"Սան Դիեգոյում շատ զվարճալի գործողություններ կան, ինչպիսիք են՝ այցելելով լողափեր, ուսումնասիրել կենդանաբանական այգին, այցելել Բալբոա այգի և վայելել գիշերային կյանքը Gaslamp Quarter-ում:")</f>
        <v>Սան Դիեգոյում շատ զվարճալի գործողություններ կան, ինչպիսիք են՝ այցելելով լողափեր, ուսումնասիրել կենդանաբանական այգին, այցելել Բալբոա այգի և վայելել գիշերային կյանքը Gaslamp Quarter-ում:</v>
      </c>
    </row>
    <row r="2910">
      <c r="A2910" s="1" t="s">
        <v>5745</v>
      </c>
      <c r="B2910" s="2" t="s">
        <v>5746</v>
      </c>
      <c r="C2910" s="3" t="str">
        <f>IFERROR(__xludf.DUMMYFUNCTION("GOOGLETRANSLATE(A2910,""en"",""hy"")"),"ինչ ֆիլմերում է Ջոնի Դեփը")</f>
        <v>ինչ ֆիլմերում է Ջոնի Դեփը</v>
      </c>
      <c r="D2910" s="3" t="str">
        <f>IFERROR(__xludf.DUMMYFUNCTION("GOOGLETRANSLATE(B2910,""en"",""hy"")"),"Ջոնի Դեփը հայտնի է որոշ ֆիլմերից՝ «Կարիբյան ծովի ծովահենները», «Էդվարդ մկրատի ձեռքերը» և «Ալիսը հրաշքների աշխարհում» սերիալները։")</f>
        <v>Ջոնի Դեփը հայտնի է որոշ ֆիլմերից՝ «Կարիբյան ծովի ծովահենները», «Էդվարդ մկրատի ձեռքերը» և «Ալիսը հրաշքների աշխարհում» սերիալները։</v>
      </c>
    </row>
    <row r="2911">
      <c r="A2911" s="1" t="s">
        <v>5747</v>
      </c>
      <c r="B2911" s="2" t="s">
        <v>5748</v>
      </c>
      <c r="C2911" s="3" t="str">
        <f>IFERROR(__xludf.DUMMYFUNCTION("GOOGLETRANSLATE(A2911,""en"",""hy"")"),"որտե՞ղ է իր աշխատանքը կատարել Մաթիաս Շլայդենը:")</f>
        <v>որտե՞ղ է իր աշխատանքը կատարել Մաթիաս Շլայդենը:</v>
      </c>
      <c r="D2911" s="3" t="str">
        <f>IFERROR(__xludf.DUMMYFUNCTION("GOOGLETRANSLATE(B2911,""en"",""hy"")"),"Մաթիաս Շլայդենն իր աշխատանքն արել է Գերմանիայում։")</f>
        <v>Մաթիաս Շլայդենն իր աշխատանքն արել է Գերմանիայում։</v>
      </c>
    </row>
    <row r="2912">
      <c r="A2912" s="1" t="s">
        <v>5749</v>
      </c>
      <c r="B2912" s="2" t="s">
        <v>5750</v>
      </c>
      <c r="C2912" s="3" t="str">
        <f>IFERROR(__xludf.DUMMYFUNCTION("GOOGLETRANSLATE(A2912,""en"",""hy"")"),"Ո՞ր երկրներում է աշխատել Էնդի Ուորհոլը:")</f>
        <v>Ո՞ր երկրներում է աշխատել Էնդի Ուորհոլը:</v>
      </c>
      <c r="D2912" s="3" t="str">
        <f>IFERROR(__xludf.DUMMYFUNCTION("GOOGLETRANSLATE(B2912,""en"",""hy"")"),"Էնդի Ուորհոլը հիմնականում աշխատել է ԱՄՆ-ում։")</f>
        <v>Էնդի Ուորհոլը հիմնականում աշխատել է ԱՄՆ-ում։</v>
      </c>
    </row>
    <row r="2913">
      <c r="A2913" s="1" t="s">
        <v>5751</v>
      </c>
      <c r="B2913" s="2" t="s">
        <v>5752</v>
      </c>
      <c r="C2913" s="3" t="str">
        <f>IFERROR(__xludf.DUMMYFUNCTION("GOOGLETRANSLATE(A2913,""en"",""hy"")"),"Ի՞նչ երգեր է երգում Քեթրին Ջենկինսը:")</f>
        <v>Ի՞նչ երգեր է երգում Քեթրին Ջենկինսը:</v>
      </c>
      <c r="D2913" s="3" t="str">
        <f>IFERROR(__xludf.DUMMYFUNCTION("GOOGLETRANSLATE(B2913,""en"",""hy"")"),"Քեթրին Ջենքինսը երգում է դասական, փոփ և քրոսովեր երգերի միքս։")</f>
        <v>Քեթրին Ջենքինսը երգում է դասական, փոփ և քրոսովեր երգերի միքս։</v>
      </c>
    </row>
    <row r="2914">
      <c r="A2914" s="1" t="s">
        <v>5753</v>
      </c>
      <c r="B2914" s="2" t="s">
        <v>5754</v>
      </c>
      <c r="C2914" s="3" t="str">
        <f>IFERROR(__xludf.DUMMYFUNCTION("GOOGLETRANSLATE(A2914,""en"",""hy"")"),"ինչո՞վ է հայտնի Ռայան Սիքրեստը:")</f>
        <v>ինչո՞վ է հայտնի Ռայան Սիքրեստը:</v>
      </c>
      <c r="D2914" s="3" t="str">
        <f>IFERROR(__xludf.DUMMYFUNCTION("GOOGLETRANSLATE(B2914,""en"",""hy"")"),"Ռայան Սիքրեստը հայտնի է որպես հեռուստահաղորդավար և պրոդյուսեր:")</f>
        <v>Ռայան Սիքրեստը հայտնի է որպես հեռուստահաղորդավար և պրոդյուսեր:</v>
      </c>
    </row>
    <row r="2915">
      <c r="A2915" s="1" t="s">
        <v>5755</v>
      </c>
      <c r="B2915" s="2" t="s">
        <v>5756</v>
      </c>
      <c r="C2915" s="3" t="str">
        <f>IFERROR(__xludf.DUMMYFUNCTION("GOOGLETRANSLATE(A2915,""en"",""hy"")"),"ո՞րն է Ճապոնիայի ներկայիս առաջնորդը.")</f>
        <v>ո՞րն է Ճապոնիայի ներկայիս առաջնորդը.</v>
      </c>
      <c r="D2915" s="3" t="str">
        <f>IFERROR(__xludf.DUMMYFUNCTION("GOOGLETRANSLATE(B2915,""en"",""hy"")"),"Յոսիհիդե Շուգա.")</f>
        <v>Յոսիհիդե Շուգա.</v>
      </c>
    </row>
    <row r="2916">
      <c r="A2916" s="1" t="s">
        <v>5757</v>
      </c>
      <c r="B2916" s="2" t="s">
        <v>5758</v>
      </c>
      <c r="C2916" s="3" t="str">
        <f>IFERROR(__xludf.DUMMYFUNCTION("GOOGLETRANSLATE(A2916,""en"",""hy"")"),"քանի՞ Ինդիանա Ջոնսի ֆիլմ կա:")</f>
        <v>քանի՞ Ինդիանա Ջոնսի ֆիլմ կա:</v>
      </c>
      <c r="D2916" s="3" t="str">
        <f>IFERROR(__xludf.DUMMYFUNCTION("GOOGLETRANSLATE(B2916,""en"",""hy"")"),"Կան չորս Ինդիանա Ջոնսի ֆիլմեր:")</f>
        <v>Կան չորս Ինդիանա Ջոնսի ֆիլմեր:</v>
      </c>
    </row>
    <row r="2917">
      <c r="A2917" s="1" t="s">
        <v>5759</v>
      </c>
      <c r="B2917" s="2" t="s">
        <v>5760</v>
      </c>
      <c r="C2917" s="3" t="str">
        <f>IFERROR(__xludf.DUMMYFUNCTION("GOOGLETRANSLATE(A2917,""en"",""hy"")"),"ինչ է պատկանում Ջորջ Սորոսը.")</f>
        <v>ինչ է պատկանում Ջորջ Սորոսը.</v>
      </c>
      <c r="D2917" s="3" t="str">
        <f>IFERROR(__xludf.DUMMYFUNCTION("GOOGLETRANSLATE(B2917,""en"",""hy"")"),"Ջորջ Սորոսն ունի մի շարք ներդրումներ, այդ թվում՝ բաժնետոմսեր, պարտատոմսեր և անշարժ գույք: Այնուամենայնիվ, կարևոր է նշել, որ նրա կոնկրետ ունեցվածքը կարող է փոխվել ժամանակի ընթացքում:")</f>
        <v>Ջորջ Սորոսն ունի մի շարք ներդրումներ, այդ թվում՝ բաժնետոմսեր, պարտատոմսեր և անշարժ գույք: Այնուամենայնիվ, կարևոր է նշել, որ նրա կոնկրետ ունեցվածքը կարող է փոխվել ժամանակի ընթացքում:</v>
      </c>
    </row>
    <row r="2918">
      <c r="A2918" s="1" t="s">
        <v>5761</v>
      </c>
      <c r="B2918" s="2" t="s">
        <v>5762</v>
      </c>
      <c r="C2918" s="3" t="str">
        <f>IFERROR(__xludf.DUMMYFUNCTION("GOOGLETRANSLATE(A2918,""en"",""hy"")"),"ինչ գումար պետք է բերեմ դոմինիկացիներին:")</f>
        <v>ինչ գումար պետք է բերեմ դոմինիկացիներին:</v>
      </c>
      <c r="D2918" s="3" t="str">
        <f>IFERROR(__xludf.DUMMYFUNCTION("GOOGLETRANSLATE(B2918,""en"",""hy"")"),"Դոմինիկյան Հանրապետություն մեկնելիս խորհուրդ է տրվում բերել Դոմինիկյան պեսո (DOP):")</f>
        <v>Դոմինիկյան Հանրապետություն մեկնելիս խորհուրդ է տրվում բերել Դոմինիկյան պեսո (DOP):</v>
      </c>
    </row>
    <row r="2919">
      <c r="A2919" s="1" t="s">
        <v>5763</v>
      </c>
      <c r="B2919" s="2" t="s">
        <v>5764</v>
      </c>
      <c r="C2919" s="3" t="str">
        <f>IFERROR(__xludf.DUMMYFUNCTION("GOOGLETRANSLATE(A2919,""en"",""hy"")"),"ով է Էկվադորի նախագահը 2012թ.")</f>
        <v>ով է Էկվադորի նախագահը 2012թ.</v>
      </c>
      <c r="D2919" s="3" t="str">
        <f>IFERROR(__xludf.DUMMYFUNCTION("GOOGLETRANSLATE(B2919,""en"",""hy"")"),"2012 թվականին Էկվադորի նախագահը Ռաֆայել Կորեան էր։")</f>
        <v>2012 թվականին Էկվադորի նախագահը Ռաֆայել Կորեան էր։</v>
      </c>
    </row>
    <row r="2920">
      <c r="A2920" s="1" t="s">
        <v>5765</v>
      </c>
      <c r="B2920" s="2" t="s">
        <v>5766</v>
      </c>
      <c r="C2920" s="3" t="str">
        <f>IFERROR(__xludf.DUMMYFUNCTION("GOOGLETRANSLATE(A2920,""en"",""hy"")"),"ո՞ր քաղաքը դարձավ ասորական կայսրության մայրաքաղաքը.")</f>
        <v>ո՞ր քաղաքը դարձավ ասորական կայսրության մայրաքաղաքը.</v>
      </c>
      <c r="D2920" s="3" t="str">
        <f>IFERROR(__xludf.DUMMYFUNCTION("GOOGLETRANSLATE(B2920,""en"",""hy"")"),"Աշուր քաղաքը դարձավ Ասորեստանի կայսրության մայրաքաղաքը։")</f>
        <v>Աշուր քաղաքը դարձավ Ասորեստանի կայսրության մայրաքաղաքը։</v>
      </c>
    </row>
    <row r="2921">
      <c r="A2921" s="1" t="s">
        <v>5767</v>
      </c>
      <c r="B2921" s="2" t="s">
        <v>5768</v>
      </c>
      <c r="C2921" s="3" t="str">
        <f>IFERROR(__xludf.DUMMYFUNCTION("GOOGLETRANSLATE(A2921,""en"",""hy"")"),"Ո՞ր ժամային գոտին է Մերիվիլ tn:")</f>
        <v>Ո՞ր ժամային գոտին է Մերիվիլ tn:</v>
      </c>
      <c r="D2921" s="3" t="str">
        <f>IFERROR(__xludf.DUMMYFUNCTION("GOOGLETRANSLATE(B2921,""en"",""hy"")"),"Մերիվիլ, TN գտնվում է Արևելյան ժամային գոտում (ET):")</f>
        <v>Մերիվիլ, TN գտնվում է Արևելյան ժամային գոտում (ET):</v>
      </c>
    </row>
    <row r="2922">
      <c r="A2922" s="1" t="s">
        <v>5769</v>
      </c>
      <c r="B2922" s="2" t="s">
        <v>5770</v>
      </c>
      <c r="C2922" s="3" t="str">
        <f>IFERROR(__xludf.DUMMYFUNCTION("GOOGLETRANSLATE(A2922,""en"",""hy"")"),"որտեղ է այժմ ապրում Ֆրիդա Կալոն:")</f>
        <v>որտեղ է այժմ ապրում Ֆրիդա Կալոն:</v>
      </c>
      <c r="D2922" s="3" t="str">
        <f>IFERROR(__xludf.DUMMYFUNCTION("GOOGLETRANSLATE(B2922,""en"",""hy"")"),"Ֆրիդա Կալոն մահացել է, ուստի այժմ ոչ մի տեղ չի ապրում:")</f>
        <v>Ֆրիդա Կալոն մահացել է, ուստի այժմ ոչ մի տեղ չի ապրում:</v>
      </c>
    </row>
    <row r="2923">
      <c r="A2923" s="1" t="s">
        <v>5771</v>
      </c>
      <c r="B2923" s="2" t="s">
        <v>5772</v>
      </c>
      <c r="C2923" s="3" t="str">
        <f>IFERROR(__xludf.DUMMYFUNCTION("GOOGLETRANSLATE(A2923,""en"",""hy"")"),"ով է հիմնադրել դաշնային պահուստային խորհուրդը:")</f>
        <v>ով է հիմնադրել դաշնային պահուստային խորհուրդը:</v>
      </c>
      <c r="D2923" s="3" t="str">
        <f>IFERROR(__xludf.DUMMYFUNCTION("GOOGLETRANSLATE(B2923,""en"",""hy"")"),"Դաշնային պահուստային խորհուրդը ստեղծվել է ԱՄՆ Կոնգրեսի կողմից 1913 թվականին Դաշնային պահուստային ակտի ընդունմամբ:")</f>
        <v>Դաշնային պահուստային խորհուրդը ստեղծվել է ԱՄՆ Կոնգրեսի կողմից 1913 թվականին Դաշնային պահուստային ակտի ընդունմամբ:</v>
      </c>
    </row>
    <row r="2924">
      <c r="A2924" s="1" t="s">
        <v>5773</v>
      </c>
      <c r="B2924" s="2" t="s">
        <v>5774</v>
      </c>
      <c r="C2924" s="3" t="str">
        <f>IFERROR(__xludf.DUMMYFUNCTION("GOOGLETRANSLATE(A2924,""en"",""hy"")"),"որտե՞ղ է Մարկո Ռուբիոն գնացել քոլեջ:")</f>
        <v>որտե՞ղ է Մարկո Ռուբիոն գնացել քոլեջ:</v>
      </c>
      <c r="D2924" s="3" t="str">
        <f>IFERROR(__xludf.DUMMYFUNCTION("GOOGLETRANSLATE(B2924,""en"",""hy"")"),"Մարկո Ռուբիոն սովորել է Ֆլորիդայի համալսարանում բակալավրիատի համար:")</f>
        <v>Մարկո Ռուբիոն սովորել է Ֆլորիդայի համալսարանում բակալավրիատի համար:</v>
      </c>
    </row>
    <row r="2925">
      <c r="A2925" s="1" t="s">
        <v>5775</v>
      </c>
      <c r="B2925" s="2" t="s">
        <v>5776</v>
      </c>
      <c r="C2925" s="3" t="str">
        <f>IFERROR(__xludf.DUMMYFUNCTION("GOOGLETRANSLATE(A2925,""en"",""hy"")"),"որտեղ են Թենեսիում ծխագույն լեռները:")</f>
        <v>որտեղ են Թենեսիում ծխագույն լեռները:</v>
      </c>
      <c r="D2925" s="3" t="str">
        <f>IFERROR(__xludf.DUMMYFUNCTION("GOOGLETRANSLATE(B2925,""en"",""hy"")"),"Սմոքի լեռները գտնվում են Թենեսիի արևելքում։")</f>
        <v>Սմոքի լեռները գտնվում են Թենեսիի արևելքում։</v>
      </c>
    </row>
    <row r="2926">
      <c r="A2926" s="1" t="s">
        <v>5777</v>
      </c>
      <c r="B2926" s="2" t="s">
        <v>5778</v>
      </c>
      <c r="C2926" s="3" t="str">
        <f>IFERROR(__xludf.DUMMYFUNCTION("GOOGLETRANSLATE(A2926,""en"",""hy"")"),"ինչ ձուկ եք բռնում Ֆլորիդայում:")</f>
        <v>ինչ ձուկ եք բռնում Ֆլորիդայում:</v>
      </c>
      <c r="D2926" s="3" t="str">
        <f>IFERROR(__xludf.DUMMYFUNCTION("GOOGLETRANSLATE(B2926,""en"",""hy"")"),"Ֆլորիդայում բռնված որոշ սովորական ձկներ ներառում են կարմրաձուկը, սնուկը, թարփոնը, գրուպը և սնապերը:")</f>
        <v>Ֆլորիդայում բռնված որոշ սովորական ձկներ ներառում են կարմրաձուկը, սնուկը, թարփոնը, գրուպը և սնապերը:</v>
      </c>
    </row>
    <row r="2927">
      <c r="A2927" s="1" t="s">
        <v>5779</v>
      </c>
      <c r="B2927" s="2" t="s">
        <v>5780</v>
      </c>
      <c r="C2927" s="3" t="str">
        <f>IFERROR(__xludf.DUMMYFUNCTION("GOOGLETRANSLATE(A2927,""en"",""hy"")"),"որտեղ է ծնվել Տիբերիոս կայսրը.")</f>
        <v>որտեղ է ծնվել Տիբերիոս կայսրը.</v>
      </c>
      <c r="D2927" s="3" t="str">
        <f>IFERROR(__xludf.DUMMYFUNCTION("GOOGLETRANSLATE(B2927,""en"",""hy"")"),"Տիբերիոս կայսրը ծնվել է Իտալիայի Հռոմ քաղաքում։")</f>
        <v>Տիբերիոս կայսրը ծնվել է Իտալիայի Հռոմ քաղաքում։</v>
      </c>
    </row>
    <row r="2928">
      <c r="A2928" s="1" t="s">
        <v>5781</v>
      </c>
      <c r="B2928" s="2" t="s">
        <v>5782</v>
      </c>
      <c r="C2928" s="3" t="str">
        <f>IFERROR(__xludf.DUMMYFUNCTION("GOOGLETRANSLATE(A2928,""en"",""hy"")"),"ում կողմից է Ռոնալդ Ռեյգանը գնդակահարվել.")</f>
        <v>ում կողմից է Ռոնալդ Ռեյգանը գնդակահարվել.</v>
      </c>
      <c r="D2928" s="3" t="str">
        <f>IFERROR(__xludf.DUMMYFUNCTION("GOOGLETRANSLATE(B2928,""en"",""hy"")"),"Ռոնալդ Ռեյգանը գնդակահարվել է Ջոն Հինքլի կրտսերի կողմից:")</f>
        <v>Ռոնալդ Ռեյգանը գնդակահարվել է Ջոն Հինքլի կրտսերի կողմից:</v>
      </c>
    </row>
    <row r="2929">
      <c r="A2929" s="1" t="s">
        <v>5783</v>
      </c>
      <c r="B2929" s="2" t="s">
        <v>5784</v>
      </c>
      <c r="C2929" s="3" t="str">
        <f>IFERROR(__xludf.DUMMYFUNCTION("GOOGLETRANSLATE(A2929,""en"",""hy"")"),"ո՞ր շրջանում է գտնվում Նովատոն:")</f>
        <v>ո՞ր շրջանում է գտնվում Նովատոն:</v>
      </c>
      <c r="D2929" s="3" t="str">
        <f>IFERROR(__xludf.DUMMYFUNCTION("GOOGLETRANSLATE(B2929,""en"",""hy"")"),"Նովատոն Մարին կոմսությունում է։")</f>
        <v>Նովատոն Մարին կոմսությունում է։</v>
      </c>
    </row>
    <row r="2930">
      <c r="A2930" s="1" t="s">
        <v>5785</v>
      </c>
      <c r="B2930" s="2" t="s">
        <v>5786</v>
      </c>
      <c r="C2930" s="3" t="str">
        <f>IFERROR(__xludf.DUMMYFUNCTION("GOOGLETRANSLATE(A2930,""en"",""hy"")"),"ում հետ ամուսնացավ նախագահ Քենեդին.")</f>
        <v>ում հետ ամուսնացավ նախագահ Քենեդին.</v>
      </c>
      <c r="D2930" s="3" t="str">
        <f>IFERROR(__xludf.DUMMYFUNCTION("GOOGLETRANSLATE(B2930,""en"",""hy"")"),"Նախագահ Քենեդին ամուսնացել է Ժակլին Քենեդու հետ:")</f>
        <v>Նախագահ Քենեդին ամուսնացել է Ժակլին Քենեդու հետ:</v>
      </c>
    </row>
    <row r="2931">
      <c r="A2931" s="1" t="s">
        <v>5787</v>
      </c>
      <c r="B2931" s="2" t="s">
        <v>5788</v>
      </c>
      <c r="C2931" s="3" t="str">
        <f>IFERROR(__xludf.DUMMYFUNCTION("GOOGLETRANSLATE(A2931,""en"",""hy"")"),"որտեղ ապրել Սիեթլ Վայի մոտ:")</f>
        <v>որտեղ ապրել Սիեթլ Վայի մոտ:</v>
      </c>
      <c r="D2931" s="3" t="str">
        <f>IFERROR(__xludf.DUMMYFUNCTION("GOOGLETRANSLATE(B2931,""en"",""hy"")"),"Bellevue, Redmond, Kirkland կամ Issaquah:")</f>
        <v>Bellevue, Redmond, Kirkland կամ Issaquah:</v>
      </c>
    </row>
    <row r="2932">
      <c r="A2932" s="1" t="s">
        <v>5789</v>
      </c>
      <c r="B2932" s="2" t="s">
        <v>5790</v>
      </c>
      <c r="C2932" s="3" t="str">
        <f>IFERROR(__xludf.DUMMYFUNCTION("GOOGLETRANSLATE(A2932,""en"",""hy"")"),"Ո՞ր ֆիլմերում է խաղացել Զոի Սալդանան:")</f>
        <v>Ո՞ր ֆիլմերում է խաղացել Զոի Սալդանան:</v>
      </c>
      <c r="D2932" s="3" t="str">
        <f>IFERROR(__xludf.DUMMYFUNCTION("GOOGLETRANSLATE(B2932,""en"",""hy"")"),"Զոի Սալդանան խաղացել է այնպիսի ֆիլմերում, ինչպիսիք են «Ավատարը», «Գալակտիկայի պահապանները», «Աստղային ճանապարհը»։")</f>
        <v>Զոի Սալդանան խաղացել է այնպիսի ֆիլմերում, ինչպիսիք են «Ավատարը», «Գալակտիկայի պահապանները», «Աստղային ճանապարհը»։</v>
      </c>
    </row>
    <row r="2933">
      <c r="A2933" s="1" t="s">
        <v>5791</v>
      </c>
      <c r="B2933" s="2" t="s">
        <v>5792</v>
      </c>
      <c r="C2933" s="3" t="str">
        <f>IFERROR(__xludf.DUMMYFUNCTION("GOOGLETRANSLATE(A2933,""en"",""hy"")"),"որտե՞ղ գնալ Մեքսիկայում հանգստանալու:")</f>
        <v>որտե՞ղ գնալ Մեքսիկայում հանգստանալու:</v>
      </c>
      <c r="D2933" s="3" t="str">
        <f>IFERROR(__xludf.DUMMYFUNCTION("GOOGLETRANSLATE(B2933,""en"",""hy"")"),"Մեքսիկայում հանգստի որոշ հայտնի ուղղություններ ներառում են Կանկուն, Մեխիկոյ Սիթի, Պուերտո Վալարտա, Պլայա դել Կարմեն և Թուլում:")</f>
        <v>Մեքսիկայում հանգստի որոշ հայտնի ուղղություններ ներառում են Կանկուն, Մեխիկոյ Սիթի, Պուերտո Վալարտա, Պլայա դել Կարմեն և Թուլում:</v>
      </c>
    </row>
    <row r="2934">
      <c r="A2934" s="1" t="s">
        <v>5793</v>
      </c>
      <c r="B2934" s="2" t="s">
        <v>5794</v>
      </c>
      <c r="C2934" s="3" t="str">
        <f>IFERROR(__xludf.DUMMYFUNCTION("GOOGLETRANSLATE(A2934,""en"",""hy"")"),"Ո՞վ է խաղում Նիկի Ռիդը «Մթնշաղ» ֆիլմում:")</f>
        <v>Ո՞վ է խաղում Նիկի Ռիդը «Մթնշաղ» ֆիլմում:</v>
      </c>
      <c r="D2934" s="3" t="str">
        <f>IFERROR(__xludf.DUMMYFUNCTION("GOOGLETRANSLATE(B2934,""en"",""hy"")"),"Նիկի Ռիդը մարմնավորում է Ռոզալի Հեյլի կերպարը «Մթնշաղ» ֆիլմում։")</f>
        <v>Նիկի Ռիդը մարմնավորում է Ռոզալի Հեյլի կերպարը «Մթնշաղ» ֆիլմում։</v>
      </c>
    </row>
    <row r="2935">
      <c r="A2935" s="1" t="s">
        <v>5795</v>
      </c>
      <c r="B2935" s="2" t="s">
        <v>5796</v>
      </c>
      <c r="C2935" s="3" t="str">
        <f>IFERROR(__xludf.DUMMYFUNCTION("GOOGLETRANSLATE(A2935,""en"",""hy"")"),"ի՞նչ է անում այժմ matt Dallas-ը:")</f>
        <v>ի՞նչ է անում այժմ matt Dallas-ը:</v>
      </c>
      <c r="D2935" s="3" t="str">
        <f>IFERROR(__xludf.DUMMYFUNCTION("GOOGLETRANSLATE(B2935,""en"",""hy"")"),"Ցավում եմ, ես չեմ կարող իրական ժամանակում տեղեկատվություն տրամադրել անհատների մասին:")</f>
        <v>Ցավում եմ, ես չեմ կարող իրական ժամանակում տեղեկատվություն տրամադրել անհատների մասին:</v>
      </c>
    </row>
    <row r="2936">
      <c r="A2936" s="1" t="s">
        <v>5797</v>
      </c>
      <c r="B2936" s="2" t="s">
        <v>5798</v>
      </c>
      <c r="C2936" s="3" t="str">
        <f>IFERROR(__xludf.DUMMYFUNCTION("GOOGLETRANSLATE(A2936,""en"",""hy"")"),"որտեղ է թաղվել Աբրահամը")</f>
        <v>որտեղ է թաղվել Աբրահամը</v>
      </c>
      <c r="D2936" s="3" t="str">
        <f>IFERROR(__xludf.DUMMYFUNCTION("GOOGLETRANSLATE(B2936,""en"",""hy"")"),"Աբրահամը թաղվել է Իսրայելի Քեբրոն քաղաքի Մաքփելայի քարայրում։")</f>
        <v>Աբրահամը թաղվել է Իսրայելի Քեբրոն քաղաքի Մաքփելայի քարայրում։</v>
      </c>
    </row>
    <row r="2937">
      <c r="A2937" s="1" t="s">
        <v>5799</v>
      </c>
      <c r="B2937" s="2" t="s">
        <v>5800</v>
      </c>
      <c r="C2937" s="3" t="str">
        <f>IFERROR(__xludf.DUMMYFUNCTION("GOOGLETRANSLATE(A2937,""en"",""hy"")"),"որտեղ էր ապրում Ֆրենկ Բրունոն")</f>
        <v>որտեղ էր ապրում Ֆրենկ Բրունոն</v>
      </c>
      <c r="D2937" s="3" t="str">
        <f>IFERROR(__xludf.DUMMYFUNCTION("GOOGLETRANSLATE(B2937,""en"",""hy"")"),"Ֆրենկ Բրունոն ապրում էր Անգլիայում։")</f>
        <v>Ֆրենկ Բրունոն ապրում էր Անգլիայում։</v>
      </c>
    </row>
    <row r="2938">
      <c r="A2938" s="1" t="s">
        <v>5801</v>
      </c>
      <c r="B2938" s="2" t="s">
        <v>5802</v>
      </c>
      <c r="C2938" s="3" t="str">
        <f>IFERROR(__xludf.DUMMYFUNCTION("GOOGLETRANSLATE(A2938,""en"",""hy"")"),"քաղցկեղի ո՞ր տեսակից է մահացել Դոննա Սամառը.")</f>
        <v>քաղցկեղի ո՞ր տեսակից է մահացել Դոննա Սամառը.</v>
      </c>
      <c r="D2938" s="3" t="str">
        <f>IFERROR(__xludf.DUMMYFUNCTION("GOOGLETRANSLATE(B2938,""en"",""hy"")"),"Դոննա Սամերը մահացել է թոքերի քաղցկեղից։")</f>
        <v>Դոննա Սամերը մահացել է թոքերի քաղցկեղից։</v>
      </c>
    </row>
    <row r="2939">
      <c r="A2939" s="1" t="s">
        <v>5803</v>
      </c>
      <c r="B2939" s="2" t="s">
        <v>5804</v>
      </c>
      <c r="C2939" s="3" t="str">
        <f>IFERROR(__xludf.DUMMYFUNCTION("GOOGLETRANSLATE(A2939,""en"",""hy"")"),"որտեղ է Հադսոն գետը")</f>
        <v>որտեղ է Հադսոն գետը</v>
      </c>
      <c r="D2939" s="3" t="str">
        <f>IFERROR(__xludf.DUMMYFUNCTION("GOOGLETRANSLATE(B2939,""en"",""hy"")"),"Հադսոն գետը գտնվում է Միացյալ Նահանգների արևելքում՝ հոսելով հիմնականում Նյու Յորք նահանգի միջով:")</f>
        <v>Հադսոն գետը գտնվում է Միացյալ Նահանգների արևելքում՝ հոսելով հիմնականում Նյու Յորք նահանգի միջով:</v>
      </c>
    </row>
    <row r="2940">
      <c r="A2940" s="1" t="s">
        <v>5805</v>
      </c>
      <c r="B2940" s="2" t="s">
        <v>5806</v>
      </c>
      <c r="C2940" s="3" t="str">
        <f>IFERROR(__xludf.DUMMYFUNCTION("GOOGLETRANSLATE(A2940,""en"",""hy"")"),"Որքա՞ն է տևում թագուհի Վիկտորիայի թագավորությունը:")</f>
        <v>Որքա՞ն է տևում թագուհի Վիկտորիայի թագավորությունը:</v>
      </c>
      <c r="D2940" s="3" t="str">
        <f>IFERROR(__xludf.DUMMYFUNCTION("GOOGLETRANSLATE(B2940,""en"",""hy"")"),"Վիկտորիա թագուհու գահակալությունը 63 տարի էր։")</f>
        <v>Վիկտորիա թագուհու գահակալությունը 63 տարի էր։</v>
      </c>
    </row>
    <row r="2941">
      <c r="A2941" s="1" t="s">
        <v>5807</v>
      </c>
      <c r="B2941" s="2" t="s">
        <v>5808</v>
      </c>
      <c r="C2941" s="3" t="str">
        <f>IFERROR(__xludf.DUMMYFUNCTION("GOOGLETRANSLATE(A2941,""en"",""hy"")"),"ի՞նչ արեց Ջերի Սանդուսկին երեխաներին.")</f>
        <v>ի՞նչ արեց Ջերի Սանդուսկին երեխաներին.</v>
      </c>
      <c r="D2941" s="3" t="str">
        <f>IFERROR(__xludf.DUMMYFUNCTION("GOOGLETRANSLATE(B2941,""en"",""hy"")"),"Ջերի Սանդուսկին սեռական բռնության է ենթարկել երեխաներին.")</f>
        <v>Ջերի Սանդուսկին սեռական բռնության է ենթարկել երեխաներին.</v>
      </c>
    </row>
    <row r="2942">
      <c r="A2942" s="1" t="s">
        <v>5809</v>
      </c>
      <c r="B2942" s="2" t="s">
        <v>5810</v>
      </c>
      <c r="C2942" s="3" t="str">
        <f>IFERROR(__xludf.DUMMYFUNCTION("GOOGLETRANSLATE(A2942,""en"",""hy"")"),"որտեղ է ավարտվում Հորդանան գետը.")</f>
        <v>որտեղ է ավարտվում Հորդանան գետը.</v>
      </c>
      <c r="D2942" s="3" t="str">
        <f>IFERROR(__xludf.DUMMYFUNCTION("GOOGLETRANSLATE(B2942,""en"",""hy"")"),"Հորդանան գետն ավարտվում է Մեռյալ ծովով։")</f>
        <v>Հորդանան գետն ավարտվում է Մեռյալ ծովով։</v>
      </c>
    </row>
    <row r="2943">
      <c r="A2943" s="1" t="s">
        <v>5811</v>
      </c>
      <c r="B2943" s="2" t="s">
        <v>5812</v>
      </c>
      <c r="C2943" s="3" t="str">
        <f>IFERROR(__xludf.DUMMYFUNCTION("GOOGLETRANSLATE(A2943,""en"",""hy"")"),"ո՞րն է Փենսիլվանիայի պետական ​​ծաղիկը:")</f>
        <v>ո՞րն է Փենսիլվանիայի պետական ​​ծաղիկը:</v>
      </c>
      <c r="D2943" s="3" t="str">
        <f>IFERROR(__xludf.DUMMYFUNCTION("GOOGLETRANSLATE(B2943,""en"",""hy"")"),"Փենսիլվանիայի պետական ​​ծաղիկը լեռնային դափնին է:")</f>
        <v>Փենսիլվանիայի պետական ​​ծաղիկը լեռնային դափնին է:</v>
      </c>
    </row>
    <row r="2944">
      <c r="A2944" s="1" t="s">
        <v>5813</v>
      </c>
      <c r="B2944" s="2" t="s">
        <v>5814</v>
      </c>
      <c r="C2944" s="3" t="str">
        <f>IFERROR(__xludf.DUMMYFUNCTION("GOOGLETRANSLATE(A2944,""en"",""hy"")"),"ինչ դպրոց է հաճախել Մայքլ Ջեքսոնը")</f>
        <v>ինչ դպրոց է հաճախել Մայքլ Ջեքսոնը</v>
      </c>
      <c r="D2944" s="3" t="str">
        <f>IFERROR(__xludf.DUMMYFUNCTION("GOOGLETRANSLATE(B2944,""en"",""hy"")"),"Մայքլ Ջեքսոնը հաճախել է Գարդներ փողոցի տարրական դպրոցը Լոս Անջելեսում, Կալիֆորնիա:")</f>
        <v>Մայքլ Ջեքսոնը հաճախել է Գարդներ փողոցի տարրական դպրոցը Լոս Անջելեսում, Կալիֆորնիա:</v>
      </c>
    </row>
    <row r="2945">
      <c r="A2945" s="1" t="s">
        <v>5815</v>
      </c>
      <c r="B2945" s="2" t="s">
        <v>5816</v>
      </c>
      <c r="C2945" s="3" t="str">
        <f>IFERROR(__xludf.DUMMYFUNCTION("GOOGLETRANSLATE(A2945,""en"",""hy"")"),"ինչով է ապրում Քենյա Մուրը:")</f>
        <v>ինչով է ապրում Քենյա Մուրը:</v>
      </c>
      <c r="D2945" s="3" t="str">
        <f>IFERROR(__xludf.DUMMYFUNCTION("GOOGLETRANSLATE(B2945,""en"",""hy"")"),"Քենյա Մուրը ռեալիթի հեռուստաաստղ է, դերասանուհի և ձեռնարկատեր:")</f>
        <v>Քենյա Մուրը ռեալիթի հեռուստաաստղ է, դերասանուհի և ձեռնարկատեր:</v>
      </c>
    </row>
    <row r="2946">
      <c r="A2946" s="1" t="s">
        <v>5817</v>
      </c>
      <c r="B2946" s="2" t="s">
        <v>5818</v>
      </c>
      <c r="C2946" s="3" t="str">
        <f>IFERROR(__xludf.DUMMYFUNCTION("GOOGLETRANSLATE(A2946,""en"",""hy"")"),"ո՞ր երկրից է Բարաք Օբաման")</f>
        <v>ո՞ր երկրից է Բարաք Օբաման</v>
      </c>
      <c r="D2946" s="3" t="str">
        <f>IFERROR(__xludf.DUMMYFUNCTION("GOOGLETRANSLATE(B2946,""en"",""hy"")"),"Միացյալ Նահանգներ.")</f>
        <v>Միացյալ Նահանգներ.</v>
      </c>
    </row>
    <row r="2947">
      <c r="A2947" s="1" t="s">
        <v>5819</v>
      </c>
      <c r="B2947" s="2" t="s">
        <v>5820</v>
      </c>
      <c r="C2947" s="3" t="str">
        <f>IFERROR(__xludf.DUMMYFUNCTION("GOOGLETRANSLATE(A2947,""en"",""hy"")"),"ում հետ է ստորագրվել Ուելսը")</f>
        <v>ում հետ է ստորագրվել Ուելսը</v>
      </c>
      <c r="D2947" s="3" t="str">
        <f>IFERROR(__xludf.DUMMYFUNCTION("GOOGLETRANSLATE(B2947,""en"",""hy"")"),"Ուեյլը պայմանագիր է կնքել Interscope Records-ի հետ:")</f>
        <v>Ուեյլը պայմանագիր է կնքել Interscope Records-ի հետ:</v>
      </c>
    </row>
    <row r="2948">
      <c r="A2948" s="1" t="s">
        <v>5821</v>
      </c>
      <c r="B2948" s="2" t="s">
        <v>5822</v>
      </c>
      <c r="C2948" s="3" t="str">
        <f>IFERROR(__xludf.DUMMYFUNCTION("GOOGLETRANSLATE(A2948,""en"",""hy"")"),"ո՞ւմ համար է խաղացել Թայսոն Չենդլերը")</f>
        <v>ո՞ւմ համար է խաղացել Թայսոն Չենդլերը</v>
      </c>
      <c r="D2948" s="3" t="str">
        <f>IFERROR(__xludf.DUMMYFUNCTION("GOOGLETRANSLATE(B2948,""en"",""hy"")"),"Թայսոն Չենդլերը խաղացել է NBA-ի բազմաթիվ թիմերում, այդ թվում՝ Չիկագո Բուլզ, Նյու Օռլեան Հորնեթս, Դալաս Մավերիքս, Նյու Յորք Նիքս, Ֆենիքս Սանս, Լոս Անջելես Լեյքերս և Հյուսթոն Ռոքեթս։")</f>
        <v>Թայսոն Չենդլերը խաղացել է NBA-ի բազմաթիվ թիմերում, այդ թվում՝ Չիկագո Բուլզ, Նյու Օռլեան Հորնեթս, Դալաս Մավերիքս, Նյու Յորք Նիքս, Ֆենիքս Սանս, Լոս Անջելես Լեյքերս և Հյուսթոն Ռոքեթս։</v>
      </c>
    </row>
    <row r="2949">
      <c r="A2949" s="1" t="s">
        <v>5823</v>
      </c>
      <c r="B2949" s="2" t="s">
        <v>5824</v>
      </c>
      <c r="C2949" s="3" t="str">
        <f>IFERROR(__xludf.DUMMYFUNCTION("GOOGLETRANSLATE(A2949,""en"",""hy"")"),"Ո՞ր կերպարն է խաղացել Լիվ Թայլերը օղակների տիրակալում:")</f>
        <v>Ո՞ր կերպարն է խաղացել Լիվ Թայլերը օղակների տիրակալում:</v>
      </c>
      <c r="D2949" s="3" t="str">
        <f>IFERROR(__xludf.DUMMYFUNCTION("GOOGLETRANSLATE(B2949,""en"",""hy"")"),"Լիվ Թայլերը մարմնավորել է Արվեն Ունդոմիելի կերպարը Մատանիների տիրակալում։")</f>
        <v>Լիվ Թայլերը մարմնավորել է Արվեն Ունդոմիելի կերպարը Մատանիների տիրակալում։</v>
      </c>
    </row>
    <row r="2950">
      <c r="A2950" s="1" t="s">
        <v>5825</v>
      </c>
      <c r="B2950" s="2" t="s">
        <v>2360</v>
      </c>
      <c r="C2950" s="3" t="str">
        <f>IFERROR(__xludf.DUMMYFUNCTION("GOOGLETRANSLATE(A2950,""en"",""hy"")"),"ով է խաղացել արքայադուստր Լեյայի դերը աստղային պատերազմների ֆիլմերում:")</f>
        <v>ով է խաղացել արքայադուստր Լեյայի դերը աստղային պատերազմների ֆիլմերում:</v>
      </c>
      <c r="D2950" s="3" t="str">
        <f>IFERROR(__xludf.DUMMYFUNCTION("GOOGLETRANSLATE(B2950,""en"",""hy"")"),"Քերի Ֆիշեր.")</f>
        <v>Քերի Ֆիշեր.</v>
      </c>
    </row>
    <row r="2951">
      <c r="A2951" s="1" t="s">
        <v>5826</v>
      </c>
      <c r="B2951" s="2" t="s">
        <v>5827</v>
      </c>
      <c r="C2951" s="3" t="str">
        <f>IFERROR(__xludf.DUMMYFUNCTION("GOOGLETRANSLATE(A2951,""en"",""hy"")"),"Ե՞րբ է Ռոմնին առաջին անգամ առաջադրվել նախագահի պաշտոնում:")</f>
        <v>Ե՞րբ է Ռոմնին առաջին անգամ առաջադրվել նախագահի պաշտոնում:</v>
      </c>
      <c r="D2951" s="3" t="str">
        <f>IFERROR(__xludf.DUMMYFUNCTION("GOOGLETRANSLATE(B2951,""en"",""hy"")"),"Ռոմնին առաջին անգամ առաջադրվել է նախագահի պաշտոնում 2008 թվականին։")</f>
        <v>Ռոմնին առաջին անգամ առաջադրվել է նախագահի պաշտոնում 2008 թվականին։</v>
      </c>
    </row>
    <row r="2952">
      <c r="A2952" s="1" t="s">
        <v>5828</v>
      </c>
      <c r="B2952" s="2" t="s">
        <v>5829</v>
      </c>
      <c r="C2952" s="3" t="str">
        <f>IFERROR(__xludf.DUMMYFUNCTION("GOOGLETRANSLATE(A2952,""en"",""hy"")"),"ի՞նչ է արել Բարաք Օբաման մինչև պաշտոնը ստանձնելը.")</f>
        <v>ի՞նչ է արել Բարաք Օբաման մինչև պաշտոնը ստանձնելը.</v>
      </c>
      <c r="D2952" s="3" t="str">
        <f>IFERROR(__xludf.DUMMYFUNCTION("GOOGLETRANSLATE(B2952,""en"",""hy"")"),"Մինչև ԱՄՆ նախագահի պաշտոնը ստանձնելը Բարաք Օբաման սենատոր էր Իլինոյսից։")</f>
        <v>Մինչև ԱՄՆ նախագահի պաշտոնը ստանձնելը Բարաք Օբաման սենատոր էր Իլինոյսից։</v>
      </c>
    </row>
    <row r="2953">
      <c r="A2953" s="1" t="s">
        <v>5830</v>
      </c>
      <c r="B2953" s="2" t="s">
        <v>5831</v>
      </c>
      <c r="C2953" s="3" t="str">
        <f>IFERROR(__xludf.DUMMYFUNCTION("GOOGLETRANSLATE(A2953,""en"",""hy"")"),"որտեղից էր սուրբ Հովսեփը")</f>
        <v>որտեղից էր սուրբ Հովսեփը</v>
      </c>
      <c r="D2953" s="3" t="str">
        <f>IFERROR(__xludf.DUMMYFUNCTION("GOOGLETRANSLATE(B2953,""en"",""hy"")"),"Սուրբ Հովսեփը Նազարեթից էր, որը գտնվում է ներկայիս Իսրայելում։")</f>
        <v>Սուրբ Հովսեփը Նազարեթից էր, որը գտնվում է ներկայիս Իսրայելում։</v>
      </c>
    </row>
    <row r="2954">
      <c r="A2954" s="1" t="s">
        <v>5832</v>
      </c>
      <c r="B2954" s="2" t="s">
        <v>5833</v>
      </c>
      <c r="C2954" s="3" t="str">
        <f>IFERROR(__xludf.DUMMYFUNCTION("GOOGLETRANSLATE(A2954,""en"",""hy"")"),"որտեղի՞ց է Քենյա Մուրը ստանում իր գումարը:")</f>
        <v>որտեղի՞ց է Քենյա Մուրը ստանում իր գումարը:</v>
      </c>
      <c r="D2954" s="3" t="str">
        <f>IFERROR(__xludf.DUMMYFUNCTION("GOOGLETRANSLATE(B2954,""en"",""hy"")"),"Քենյա Մուրն իր գումարները ստանում է տարբեր աղբյուրներից, ներառյալ իր կարիերան որպես դերասանուհի, ռեալիթի հեռուստատեսային աստղ, պրոդյուսեր և ձեռնարկատեր:")</f>
        <v>Քենյա Մուրն իր գումարները ստանում է տարբեր աղբյուրներից, ներառյալ իր կարիերան որպես դերասանուհի, ռեալիթի հեռուստատեսային աստղ, պրոդյուսեր և ձեռնարկատեր:</v>
      </c>
    </row>
    <row r="2955">
      <c r="A2955" s="1" t="s">
        <v>5834</v>
      </c>
      <c r="B2955" s="2" t="s">
        <v>5835</v>
      </c>
      <c r="C2955" s="3" t="str">
        <f>IFERROR(__xludf.DUMMYFUNCTION("GOOGLETRANSLATE(A2955,""en"",""hy"")"),"ո՞ր փուլում հաղթեց Մաննի Պակյաոն:")</f>
        <v>ո՞ր փուլում հաղթեց Մաննի Պակյաոն:</v>
      </c>
      <c r="D2955" s="3" t="str">
        <f>IFERROR(__xludf.DUMMYFUNCTION("GOOGLETRANSLATE(B2955,""en"",""hy"")"),"Դա կախված է կոնկրետ մենամարտից, որին ակնարկում եք: Մեննի Պակյաոն իր կարիերայի ընթացքում հաղթել է մենամարտերում մի քանի տարբեր ռաունդներում:")</f>
        <v>Դա կախված է կոնկրետ մենամարտից, որին ակնարկում եք: Մեննի Պակյաոն իր կարիերայի ընթացքում հաղթել է մենամարտերում մի քանի տարբեր ռաունդներում:</v>
      </c>
    </row>
    <row r="2956">
      <c r="A2956" s="1" t="s">
        <v>5836</v>
      </c>
      <c r="B2956" s="2" t="s">
        <v>5837</v>
      </c>
      <c r="C2956" s="3" t="str">
        <f>IFERROR(__xludf.DUMMYFUNCTION("GOOGLETRANSLATE(A2956,""en"",""hy"")"),"ինչ աշխատանք ուներ Ջորջ Բուշը")</f>
        <v>ինչ աշխատանք ուներ Ջորջ Բուշը</v>
      </c>
      <c r="D2956" s="3" t="str">
        <f>IFERROR(__xludf.DUMMYFUNCTION("GOOGLETRANSLATE(B2956,""en"",""hy"")"),"Ջորջ Բուշը Միացյալ Նահանգների 43-րդ նախագահն էր։")</f>
        <v>Ջորջ Բուշը Միացյալ Նահանգների 43-րդ նախագահն էր։</v>
      </c>
    </row>
    <row r="2957">
      <c r="A2957" s="1" t="s">
        <v>5838</v>
      </c>
      <c r="B2957" s="2" t="s">
        <v>5839</v>
      </c>
      <c r="C2957" s="3" t="str">
        <f>IFERROR(__xludf.DUMMYFUNCTION("GOOGLETRANSLATE(A2957,""en"",""hy"")"),"որո՞նք են Հարավային Ասիայի երկրները:")</f>
        <v>որո՞նք են Հարավային Ասիայի երկրները:</v>
      </c>
      <c r="D2957" s="3" t="str">
        <f>IFERROR(__xludf.DUMMYFUNCTION("GOOGLETRANSLATE(B2957,""en"",""hy"")"),"Հարավային Ասիայի երկրներն են Աֆղանստանը, Բանգլադեշը, Բութանը, Մալդիվները, Նեպալը, Հնդկաստանը, Պակիստանը և Շրի Լանկան:")</f>
        <v>Հարավային Ասիայի երկրներն են Աֆղանստանը, Բանգլադեշը, Բութանը, Մալդիվները, Նեպալը, Հնդկաստանը, Պակիստանը և Շրի Լանկան:</v>
      </c>
    </row>
    <row r="2958">
      <c r="A2958" s="1" t="s">
        <v>5840</v>
      </c>
      <c r="B2958" s="2" t="s">
        <v>5841</v>
      </c>
      <c r="C2958" s="3" t="str">
        <f>IFERROR(__xludf.DUMMYFUNCTION("GOOGLETRANSLATE(A2958,""en"",""hy"")"),"որտեղ է գտնվում Կարիբյան ավազանն աշխարհագրորեն:")</f>
        <v>որտեղ է գտնվում Կարիբյան ավազանն աշխարհագրորեն:</v>
      </c>
      <c r="D2958" s="3" t="str">
        <f>IFERROR(__xludf.DUMMYFUNCTION("GOOGLETRANSLATE(B2958,""en"",""hy"")"),"Կարիբյան ավազանն աշխարհագրորեն գտնվում է Կարիբյան ծովում, որը մտնում է Ատլանտյան օվկիանոսի արևմտյան մասի մեջ։")</f>
        <v>Կարիբյան ավազանն աշխարհագրորեն գտնվում է Կարիբյան ծովում, որը մտնում է Ատլանտյան օվկիանոսի արևմտյան մասի մեջ։</v>
      </c>
    </row>
    <row r="2959">
      <c r="A2959" s="1" t="s">
        <v>5842</v>
      </c>
      <c r="B2959" s="2" t="s">
        <v>5843</v>
      </c>
      <c r="C2959" s="3" t="str">
        <f>IFERROR(__xludf.DUMMYFUNCTION("GOOGLETRANSLATE(A2959,""en"",""hy"")"),"ինչ երգեր է երգում Թոմ Դելոնգը:")</f>
        <v>ինչ երգեր է երգում Թոմ Դելոնգը:</v>
      </c>
      <c r="D2959" s="3" t="str">
        <f>IFERROR(__xludf.DUMMYFUNCTION("GOOGLETRANSLATE(B2959,""en"",""hy"")"),"Թոմ ԴեԼոնգը հայտնի է Blink-182 փանկ ռոք խմբի գլխավոր վոկալիստ և կիթառահար աշխատանքով: Երգերից մի քանիսը, որոնք նա երգում է խմբի հետ, ներառում են «All the Small Things», «What's My Age Again?» և «I Miss You» ի թիվս այլոց:")</f>
        <v>Թոմ ԴեԼոնգը հայտնի է Blink-182 փանկ ռոք խմբի գլխավոր վոկալիստ և կիթառահար աշխատանքով: Երգերից մի քանիսը, որոնք նա երգում է խմբի հետ, ներառում են «All the Small Things», «What's My Age Again?» և «I Miss You» ի թիվս այլոց:</v>
      </c>
    </row>
    <row r="2960">
      <c r="A2960" s="1" t="s">
        <v>5844</v>
      </c>
      <c r="B2960" s="2" t="s">
        <v>5845</v>
      </c>
      <c r="C2960" s="3" t="str">
        <f>IFERROR(__xludf.DUMMYFUNCTION("GOOGLETRANSLATE(A2960,""en"",""hy"")"),"որտե՞ղ է Մոնտա Էլիսը սովորել քոլեջում:")</f>
        <v>որտե՞ղ է Մոնտա Էլիսը սովորել քոլեջում:</v>
      </c>
      <c r="D2960" s="3" t="str">
        <f>IFERROR(__xludf.DUMMYFUNCTION("GOOGLETRANSLATE(B2960,""en"",""hy"")"),"Մոնտա Էլիսը հաճախել է Միսիսիպի նահանգի Ջեքսոն քաղաքի Լանիեր միջնակարգ դպրոցը, բայց չի գնացել քոլեջ:")</f>
        <v>Մոնտա Էլիսը հաճախել է Միսիսիպի նահանգի Ջեքսոն քաղաքի Լանիեր միջնակարգ դպրոցը, բայց չի գնացել քոլեջ:</v>
      </c>
    </row>
    <row r="2961">
      <c r="A2961" s="1" t="s">
        <v>5846</v>
      </c>
      <c r="B2961" s="2" t="s">
        <v>5847</v>
      </c>
      <c r="C2961" s="3" t="str">
        <f>IFERROR(__xludf.DUMMYFUNCTION("GOOGLETRANSLATE(A2961,""en"",""hy"")"),"ո՞րն էր Հովարդ Քարթերի աշխատանքը:")</f>
        <v>ո՞րն էր Հովարդ Քարթերի աշխատանքը:</v>
      </c>
      <c r="D2961" s="3" t="str">
        <f>IFERROR(__xludf.DUMMYFUNCTION("GOOGLETRANSLATE(B2961,""en"",""hy"")"),"Հովարդ Քարթերի աշխատանքը հնագետ և եգիպտագետ էր:")</f>
        <v>Հովարդ Քարթերի աշխատանքը հնագետ և եգիպտագետ էր:</v>
      </c>
    </row>
    <row r="2962">
      <c r="A2962" s="1" t="s">
        <v>5848</v>
      </c>
      <c r="B2962" s="2" t="s">
        <v>5849</v>
      </c>
      <c r="C2962" s="3" t="str">
        <f>IFERROR(__xludf.DUMMYFUNCTION("GOOGLETRANSLATE(A2962,""en"",""hy"")"),"ով էր պապա դոկտորը իրական կյանքում:")</f>
        <v>ով էր պապա դոկտորը իրական կյանքում:</v>
      </c>
      <c r="D2962" s="3" t="str">
        <f>IFERROR(__xludf.DUMMYFUNCTION("GOOGLETRANSLATE(B2962,""en"",""hy"")"),"Պապա Դոկը Ֆրանսուա Դյուվալիեի մականունն էր, ով Հայիթիի նախագահն էր 1957 թվականից մինչև իր մահը՝ 1971 թվականը։")</f>
        <v>Պապա Դոկը Ֆրանսուա Դյուվալիեի մականունն էր, ով Հայիթիի նախագահն էր 1957 թվականից մինչև իր մահը՝ 1971 թվականը։</v>
      </c>
    </row>
    <row r="2963">
      <c r="A2963" s="1" t="s">
        <v>5850</v>
      </c>
      <c r="B2963" s="2" t="s">
        <v>5851</v>
      </c>
      <c r="C2963" s="3" t="str">
        <f>IFERROR(__xludf.DUMMYFUNCTION("GOOGLETRANSLATE(A2963,""en"",""hy"")"),"ո՞րն էր Մայքլ Ջեքսոնի մահվան պատճառը.")</f>
        <v>ո՞րն էր Մայքլ Ջեքսոնի մահվան պատճառը.</v>
      </c>
      <c r="D2963" s="3" t="str">
        <f>IFERROR(__xludf.DUMMYFUNCTION("GOOGLETRANSLATE(B2963,""en"",""hy"")"),"Մայքլ Ջեքսոնի մահվան պատճառը եղել է սուր պրոպոֆոլ և բենզոդիազեպինային թունավորումը։")</f>
        <v>Մայքլ Ջեքսոնի մահվան պատճառը եղել է սուր պրոպոֆոլ և բենզոդիազեպինային թունավորումը։</v>
      </c>
    </row>
    <row r="2964">
      <c r="A2964" s="1" t="s">
        <v>5852</v>
      </c>
      <c r="B2964" s="2" t="s">
        <v>5853</v>
      </c>
      <c r="C2964" s="3" t="str">
        <f>IFERROR(__xludf.DUMMYFUNCTION("GOOGLETRANSLATE(A2964,""en"",""hy"")"),"ով խաղացել է Լաուրա Ինգոլս մայրիկ")</f>
        <v>ով խաղացել է Լաուրա Ինգոլս մայրիկ</v>
      </c>
      <c r="D2964" s="3" t="str">
        <f>IFERROR(__xludf.DUMMYFUNCTION("GOOGLETRANSLATE(B2964,""en"",""hy"")"),"Կարեն Գրասլ")</f>
        <v>Կարեն Գրասլ</v>
      </c>
    </row>
    <row r="2965">
      <c r="A2965" s="1" t="s">
        <v>5854</v>
      </c>
      <c r="B2965" s="2" t="s">
        <v>5855</v>
      </c>
      <c r="C2965" s="3" t="str">
        <f>IFERROR(__xludf.DUMMYFUNCTION("GOOGLETRANSLATE(A2965,""en"",""hy"")"),"ո՞րն է ԱՄՆ-ի Տեխասի մայրաքաղաքը:")</f>
        <v>ո՞րն է ԱՄՆ-ի Տեխասի մայրաքաղաքը:</v>
      </c>
      <c r="D2965" s="3" t="str">
        <f>IFERROR(__xludf.DUMMYFUNCTION("GOOGLETRANSLATE(B2965,""en"",""hy"")"),"Օսթին.")</f>
        <v>Օսթին.</v>
      </c>
    </row>
    <row r="2966">
      <c r="A2966" s="1" t="s">
        <v>5856</v>
      </c>
      <c r="B2966" s="2" t="s">
        <v>5857</v>
      </c>
      <c r="C2966" s="3" t="str">
        <f>IFERROR(__xludf.DUMMYFUNCTION("GOOGLETRANSLATE(A2966,""en"",""hy"")"),"ով հաղթեց նահանգապետ Կոնեկտիկուտում 2010 թ.")</f>
        <v>ով հաղթեց նահանգապետ Կոնեկտիկուտում 2010 թ.</v>
      </c>
      <c r="D2966" s="3" t="str">
        <f>IFERROR(__xludf.DUMMYFUNCTION("GOOGLETRANSLATE(B2966,""en"",""hy"")"),"2010 թվականին Կոնեկտիկուտի նահանգապետի ընտրություններում հաղթել է Դանել Մալլոյը։")</f>
        <v>2010 թվականին Կոնեկտիկուտի նահանգապետի ընտրություններում հաղթել է Դանել Մալլոյը։</v>
      </c>
    </row>
    <row r="2967">
      <c r="A2967" s="1" t="s">
        <v>5858</v>
      </c>
      <c r="B2967" s="2" t="s">
        <v>5859</v>
      </c>
      <c r="C2967" s="3" t="str">
        <f>IFERROR(__xludf.DUMMYFUNCTION("GOOGLETRANSLATE(A2967,""en"",""hy"")"),"ո՞րն է Շվեյցարիայում խոսվող հիմնական լեզուն:")</f>
        <v>ո՞րն է Շվեյցարիայում խոսվող հիմնական լեզուն:</v>
      </c>
      <c r="D2967" s="3" t="str">
        <f>IFERROR(__xludf.DUMMYFUNCTION("GOOGLETRANSLATE(B2967,""en"",""hy"")"),"Շվեյցարիայում խոսվող հիմնական լեզուն շվեյցարական գերմաներենն է։")</f>
        <v>Շվեյցարիայում խոսվող հիմնական լեզուն շվեյցարական գերմաներենն է։</v>
      </c>
    </row>
    <row r="2968">
      <c r="A2968" s="1" t="s">
        <v>5860</v>
      </c>
      <c r="B2968" s="2" t="s">
        <v>5861</v>
      </c>
      <c r="C2968" s="3" t="str">
        <f>IFERROR(__xludf.DUMMYFUNCTION("GOOGLETRANSLATE(A2968,""en"",""hy"")"),"Ո՞ր ժամային գոտում է այժմ Ինդիանապոլիսը:")</f>
        <v>Ո՞ր ժամային գոտում է այժմ Ինդիանապոլիսը:</v>
      </c>
      <c r="D2968" s="3" t="str">
        <f>IFERROR(__xludf.DUMMYFUNCTION("GOOGLETRANSLATE(B2968,""en"",""hy"")"),"Ինդիանապոլիսը գտնվում է Արևելյան ժամային գոտում:")</f>
        <v>Ինդիանապոլիսը գտնվում է Արևելյան ժամային գոտում:</v>
      </c>
    </row>
    <row r="2969">
      <c r="A2969" s="1" t="s">
        <v>5862</v>
      </c>
      <c r="B2969" s="2" t="s">
        <v>5863</v>
      </c>
      <c r="C2969" s="3" t="str">
        <f>IFERROR(__xludf.DUMMYFUNCTION("GOOGLETRANSLATE(A2969,""en"",""hy"")"),"որտեղից են մեկնում նավարկությունները Հռոմում:")</f>
        <v>որտեղից են մեկնում նավարկությունները Հռոմում:</v>
      </c>
      <c r="D2969" s="3" t="str">
        <f>IFERROR(__xludf.DUMMYFUNCTION("GOOGLETRANSLATE(B2969,""en"",""hy"")"),"Կրուիզները մեկնում են Հռոմի Չիվիտավեկիայի նավահանգստից:")</f>
        <v>Կրուիզները մեկնում են Հռոմի Չիվիտավեկիայի նավահանգստից:</v>
      </c>
    </row>
    <row r="2970">
      <c r="A2970" s="1" t="s">
        <v>5864</v>
      </c>
      <c r="B2970" s="2" t="s">
        <v>5865</v>
      </c>
      <c r="C2970" s="3" t="str">
        <f>IFERROR(__xludf.DUMMYFUNCTION("GOOGLETRANSLATE(A2970,""en"",""hy"")"),"Ո՞ր ժամային գոտում է գտնվում Նոր Անգլիան ԱՄՆ-ը:")</f>
        <v>Ո՞ր ժամային գոտում է գտնվում Նոր Անգլիան ԱՄՆ-ը:</v>
      </c>
      <c r="D2970" s="3" t="str">
        <f>IFERROR(__xludf.DUMMYFUNCTION("GOOGLETRANSLATE(B2970,""en"",""hy"")"),"Արևելյան ժամային գոտի.")</f>
        <v>Արևելյան ժամային գոտի.</v>
      </c>
    </row>
    <row r="2971">
      <c r="A2971" s="1" t="s">
        <v>5866</v>
      </c>
      <c r="B2971" s="2" t="s">
        <v>5867</v>
      </c>
      <c r="C2971" s="3" t="str">
        <f>IFERROR(__xludf.DUMMYFUNCTION("GOOGLETRANSLATE(A2971,""en"",""hy"")"),"որտեղ էր գտնվում Վիետնամի պատերազմը:")</f>
        <v>որտեղ էր գտնվում Վիետնամի պատերազմը:</v>
      </c>
      <c r="D2971" s="3" t="str">
        <f>IFERROR(__xludf.DUMMYFUNCTION("GOOGLETRANSLATE(B2971,""en"",""hy"")"),"Վիետնամի պատերազմը հիմնականում տեղի է ունեցել Վիետնամում:")</f>
        <v>Վիետնամի պատերազմը հիմնականում տեղի է ունեցել Վիետնամում:</v>
      </c>
    </row>
    <row r="2972">
      <c r="A2972" s="1" t="s">
        <v>5868</v>
      </c>
      <c r="B2972" s="2" t="s">
        <v>5869</v>
      </c>
      <c r="C2972" s="3" t="str">
        <f>IFERROR(__xludf.DUMMYFUNCTION("GOOGLETRANSLATE(A2972,""en"",""hy"")"),"ինչ է Թուլանի համալսարանի թալիսմանը:")</f>
        <v>ինչ է Թուլանի համալսարանի թալիսմանը:</v>
      </c>
      <c r="D2972" s="3" t="str">
        <f>IFERROR(__xludf.DUMMYFUNCTION("GOOGLETRANSLATE(B2972,""en"",""hy"")"),"Թուլեյնի համալսարանի թալիսմանը Կանաչ ալիքն է։")</f>
        <v>Թուլեյնի համալսարանի թալիսմանը Կանաչ ալիքն է։</v>
      </c>
    </row>
    <row r="2973">
      <c r="A2973" s="1" t="s">
        <v>5870</v>
      </c>
      <c r="B2973" s="2" t="s">
        <v>5871</v>
      </c>
      <c r="C2973" s="3" t="str">
        <f>IFERROR(__xludf.DUMMYFUNCTION("GOOGLETRANSLATE(A2973,""en"",""hy"")"),"որտեղ է գտնվում aviano ռազմաօդային ուժերի բազան:")</f>
        <v>որտեղ է գտնվում aviano ռազմաօդային ուժերի բազան:</v>
      </c>
      <c r="D2973" s="3" t="str">
        <f>IFERROR(__xludf.DUMMYFUNCTION("GOOGLETRANSLATE(B2973,""en"",""hy"")"),"Ավիանո ռազմաօդային բազան գտնվում է Իտալիայի Ավիանո քաղաքում։")</f>
        <v>Ավիանո ռազմաօդային բազան գտնվում է Իտալիայի Ավիանո քաղաքում։</v>
      </c>
    </row>
    <row r="2974">
      <c r="A2974" s="1" t="s">
        <v>5872</v>
      </c>
      <c r="B2974" s="2" t="s">
        <v>5873</v>
      </c>
      <c r="C2974" s="3" t="str">
        <f>IFERROR(__xludf.DUMMYFUNCTION("GOOGLETRANSLATE(A2974,""en"",""hy"")"),"ով է Ֆիլադելֆիայի արծիվների տերը:")</f>
        <v>ով է Ֆիլադելֆիայի արծիվների տերը:</v>
      </c>
      <c r="D2974" s="3" t="str">
        <f>IFERROR(__xludf.DUMMYFUNCTION("GOOGLETRANSLATE(B2974,""en"",""hy"")"),"Philadelphia Eagles-ի սեփականատերը Ջեֆրի Լյուրին է:")</f>
        <v>Philadelphia Eagles-ի սեփականատերը Ջեֆրի Լյուրին է:</v>
      </c>
    </row>
    <row r="2975">
      <c r="A2975" s="1" t="s">
        <v>5874</v>
      </c>
      <c r="B2975" s="2" t="s">
        <v>5875</v>
      </c>
      <c r="C2975" s="3" t="str">
        <f>IFERROR(__xludf.DUMMYFUNCTION("GOOGLETRANSLATE(A2975,""en"",""hy"")"),"որտեղ է ապրել Ջովանի դա Վերրազանոն")</f>
        <v>որտեղ է ապրել Ջովանի դա Վերրազանոն</v>
      </c>
      <c r="D2975" s="3" t="str">
        <f>IFERROR(__xludf.DUMMYFUNCTION("GOOGLETRANSLATE(B2975,""en"",""hy"")"),"Ջովանի դա Վերազանոն ապրում էր Իտալիայում։")</f>
        <v>Ջովանի դա Վերազանոն ապրում էր Իտալիայում։</v>
      </c>
    </row>
    <row r="2976">
      <c r="A2976" s="1" t="s">
        <v>5876</v>
      </c>
      <c r="B2976" s="2" t="s">
        <v>5877</v>
      </c>
      <c r="C2976" s="3" t="str">
        <f>IFERROR(__xludf.DUMMYFUNCTION("GOOGLETRANSLATE(A2976,""en"",""hy"")"),"ինչո՞վ էր հայտնի Անտոնիո Վիվալդին:")</f>
        <v>ինչո՞վ էր հայտնի Անտոնիո Վիվալդին:</v>
      </c>
      <c r="D2976" s="3" t="str">
        <f>IFERROR(__xludf.DUMMYFUNCTION("GOOGLETRANSLATE(B2976,""en"",""hy"")"),"Անտոնիո Վիվալդին հայտնի էր որպես բարոկկո կոմպոզիտոր և ջութակահար։")</f>
        <v>Անտոնիո Վիվալդին հայտնի էր որպես բարոկկո կոմպոզիտոր և ջութակահար։</v>
      </c>
    </row>
    <row r="2977">
      <c r="A2977" s="1" t="s">
        <v>5878</v>
      </c>
      <c r="B2977" s="2" t="s">
        <v>5879</v>
      </c>
      <c r="C2977" s="3" t="str">
        <f>IFERROR(__xludf.DUMMYFUNCTION("GOOGLETRANSLATE(A2977,""en"",""hy"")"),"ինչ ֆիլմերում է խաղում Ջոնի Դեփը")</f>
        <v>ինչ ֆիլմերում է խաղում Ջոնի Դեփը</v>
      </c>
      <c r="D2977" s="3" t="str">
        <f>IFERROR(__xludf.DUMMYFUNCTION("GOOGLETRANSLATE(B2977,""en"",""hy"")"),"Ջոնի Դեփը նկարահանվել է բազմաթիվ ֆիլմերում, այդ թվում՝ «Կարիբյան ծովի ծովահենները», «Էդվարդ մկրատ ձեռքեր», «Չարլին և շոկոլադի գործարանը», «Ալիսը հրաշքների աշխարհում» և «Սվինի Թոդ. մյուսները.")</f>
        <v>Ջոնի Դեփը նկարահանվել է բազմաթիվ ֆիլմերում, այդ թվում՝ «Կարիբյան ծովի ծովահենները», «Էդվարդ մկրատ ձեռքեր», «Չարլին և շոկոլադի գործարանը», «Ալիսը հրաշքների աշխարհում» և «Սվինի Թոդ. մյուսները.</v>
      </c>
    </row>
    <row r="2978">
      <c r="A2978" s="1" t="s">
        <v>5880</v>
      </c>
      <c r="B2978" s="2" t="s">
        <v>5881</v>
      </c>
      <c r="C2978" s="3" t="str">
        <f>IFERROR(__xludf.DUMMYFUNCTION("GOOGLETRANSLATE(A2978,""en"",""hy"")"),"ով է հաղթել nba-ի վերջին 10 առաջնություններում:")</f>
        <v>ով է հաղթել nba-ի վերջին 10 առաջնություններում:</v>
      </c>
      <c r="D2978" s="3" t="str">
        <f>IFERROR(__xludf.DUMMYFUNCTION("GOOGLETRANSLATE(B2978,""en"",""hy"")"),"Լոս Անջելես Լեյքերսը և Գոլդեն Սթեյթ Ուորիորսը հաղթել են NBA-ի վերջին 10 առաջնություններում:")</f>
        <v>Լոս Անջելես Լեյքերսը և Գոլդեն Սթեյթ Ուորիորսը հաղթել են NBA-ի վերջին 10 առաջնություններում:</v>
      </c>
    </row>
    <row r="2979">
      <c r="A2979" s="1" t="s">
        <v>5882</v>
      </c>
      <c r="B2979" s="2" t="s">
        <v>5883</v>
      </c>
      <c r="C2979" s="3" t="str">
        <f>IFERROR(__xludf.DUMMYFUNCTION("GOOGLETRANSLATE(A2979,""en"",""hy"")"),"ով է Պիտսբուրգի Ստիլերս 2005-ի մարզիչը:")</f>
        <v>ով է Պիտսբուրգի Ստիլերս 2005-ի մարզիչը:</v>
      </c>
      <c r="D2979" s="3" t="str">
        <f>IFERROR(__xludf.DUMMYFUNCTION("GOOGLETRANSLATE(B2979,""en"",""hy"")"),"2005 թվականին Պիտսբուրգ Սթիլերսի մարզիչը Բիլ Քաուերն էր։")</f>
        <v>2005 թվականին Պիտսբուրգ Սթիլերսի մարզիչը Բիլ Քաուերն էր։</v>
      </c>
    </row>
    <row r="2980">
      <c r="A2980" s="1" t="s">
        <v>5884</v>
      </c>
      <c r="B2980" s="2" t="s">
        <v>5885</v>
      </c>
      <c r="C2980" s="3" t="str">
        <f>IFERROR(__xludf.DUMMYFUNCTION("GOOGLETRANSLATE(A2980,""en"",""hy"")"),"երբ են անցկացվում ամառային օլիմպիական խաղերը")</f>
        <v>երբ են անցկացվում ամառային օլիմպիական խաղերը</v>
      </c>
      <c r="D2980" s="3" t="str">
        <f>IFERROR(__xludf.DUMMYFUNCTION("GOOGLETRANSLATE(B2980,""en"",""hy"")"),"Ամառային Օլիմպիական խաղերը սովորաբար անցկացվում են չորս տարին մեկ անգամ։")</f>
        <v>Ամառային Օլիմպիական խաղերը սովորաբար անցկացվում են չորս տարին մեկ անգամ։</v>
      </c>
    </row>
    <row r="2981">
      <c r="A2981" s="1" t="s">
        <v>5886</v>
      </c>
      <c r="B2981" s="2" t="s">
        <v>5887</v>
      </c>
      <c r="C2981" s="3" t="str">
        <f>IFERROR(__xludf.DUMMYFUNCTION("GOOGLETRANSLATE(A2981,""en"",""hy"")"),"որտե՞ղ է ապրել Ջորջ Հարիսոնը մինչև մահը:")</f>
        <v>որտե՞ղ է ապրել Ջորջ Հարիսոնը մինչև մահը:</v>
      </c>
      <c r="D2981" s="3" t="str">
        <f>IFERROR(__xludf.DUMMYFUNCTION("GOOGLETRANSLATE(B2981,""en"",""hy"")"),"Ջորջ Հարիսոնը մահից առաջ ապրել է Կալիֆորնիայի Լոս Անջելես քաղաքում:")</f>
        <v>Ջորջ Հարիսոնը մահից առաջ ապրել է Կալիֆորնիայի Լոս Անջելես քաղաքում:</v>
      </c>
    </row>
    <row r="2982">
      <c r="A2982" s="1" t="s">
        <v>5888</v>
      </c>
      <c r="B2982" s="2" t="s">
        <v>5889</v>
      </c>
      <c r="C2982" s="3" t="str">
        <f>IFERROR(__xludf.DUMMYFUNCTION("GOOGLETRANSLATE(A2982,""en"",""hy"")"),"որտեղ են ամենաշատ երկրաշարժերը տեղի ունենում Ճապոնիայում.")</f>
        <v>որտեղ են ամենաշատ երկրաշարժերը տեղի ունենում Ճապոնիայում.</v>
      </c>
      <c r="D2982" s="3" t="str">
        <f>IFERROR(__xludf.DUMMYFUNCTION("GOOGLETRANSLATE(B2982,""en"",""hy"")"),"Ճապոնիայում երկրաշարժերի մեծ մասը տեղի է ունենում Խաղաղ օվկիանոսի կրակի օղակի երկայնքով:")</f>
        <v>Ճապոնիայում երկրաշարժերի մեծ մասը տեղի է ունենում Խաղաղ օվկիանոսի կրակի օղակի երկայնքով:</v>
      </c>
    </row>
    <row r="2983">
      <c r="A2983" s="1" t="s">
        <v>5890</v>
      </c>
      <c r="B2983" s="2" t="s">
        <v>5891</v>
      </c>
      <c r="C2983" s="3" t="str">
        <f>IFERROR(__xludf.DUMMYFUNCTION("GOOGLETRANSLATE(A2983,""en"",""hy"")"),"ե՞րբ է սկսվել mcgee-ն ncis-ում:")</f>
        <v>ե՞րբ է սկսվել mcgee-ն ncis-ում:</v>
      </c>
      <c r="D2983" s="3" t="str">
        <f>IFERROR(__xludf.DUMMYFUNCTION("GOOGLETRANSLATE(B2983,""en"",""hy"")"),"McGee-ն սկսեց NCIS-ում առաջին սեզոնից:")</f>
        <v>McGee-ն սկսեց NCIS-ում առաջին սեզոնից:</v>
      </c>
    </row>
    <row r="2984">
      <c r="A2984" s="1" t="s">
        <v>5892</v>
      </c>
      <c r="B2984" s="2" t="s">
        <v>5893</v>
      </c>
      <c r="C2984" s="3" t="str">
        <f>IFERROR(__xludf.DUMMYFUNCTION("GOOGLETRANSLATE(A2984,""en"",""hy"")"),"Ի՞նչ ատոմ է հայտնաբերել Ջ.Ջ Թոմսոնը:")</f>
        <v>Ի՞նչ ատոմ է հայտնաբերել Ջ.Ջ Թոմսոնը:</v>
      </c>
      <c r="D2984" s="3" t="str">
        <f>IFERROR(__xludf.DUMMYFUNCTION("GOOGLETRANSLATE(B2984,""en"",""hy"")"),"Ջ.Ջ. Թոմսոնը հայտնաբերել է էլեկտրոնը։")</f>
        <v>Ջ.Ջ. Թոմսոնը հայտնաբերել է էլեկտրոնը։</v>
      </c>
    </row>
    <row r="2985">
      <c r="A2985" s="1" t="s">
        <v>5894</v>
      </c>
      <c r="B2985" s="2" t="s">
        <v>5895</v>
      </c>
      <c r="C2985" s="3" t="str">
        <f>IFERROR(__xludf.DUMMYFUNCTION("GOOGLETRANSLATE(A2985,""en"",""hy"")"),"ո՞ր երկրում էին ապրում զուլուները")</f>
        <v>ո՞ր երկրում էին ապրում զուլուները</v>
      </c>
      <c r="D2985" s="3" t="str">
        <f>IFERROR(__xludf.DUMMYFUNCTION("GOOGLETRANSLATE(B2985,""en"",""hy"")"),"Հարավային Աֆրիկա.")</f>
        <v>Հարավային Աֆրիկա.</v>
      </c>
    </row>
    <row r="2986">
      <c r="A2986" s="1" t="s">
        <v>5896</v>
      </c>
      <c r="B2986" s="2" t="s">
        <v>5897</v>
      </c>
      <c r="C2986" s="3" t="str">
        <f>IFERROR(__xludf.DUMMYFUNCTION("GOOGLETRANSLATE(A2986,""en"",""hy"")"),"որտեղ է ծնվել նախագահ Չեսթեր Արթուրը")</f>
        <v>որտեղ է ծնվել նախագահ Չեսթեր Արթուրը</v>
      </c>
      <c r="D2986" s="3" t="str">
        <f>IFERROR(__xludf.DUMMYFUNCTION("GOOGLETRANSLATE(B2986,""en"",""hy"")"),"Չեսթեր Արթուրը ծնվել է Վերմոնտ նահանգի Ֆերֆիլդ քաղաքում։")</f>
        <v>Չեսթեր Արթուրը ծնվել է Վերմոնտ նահանգի Ֆերֆիլդ քաղաքում։</v>
      </c>
    </row>
    <row r="2987">
      <c r="A2987" s="1" t="s">
        <v>5898</v>
      </c>
      <c r="B2987" s="2" t="s">
        <v>5899</v>
      </c>
      <c r="C2987" s="3" t="str">
        <f>IFERROR(__xludf.DUMMYFUNCTION("GOOGLETRANSLATE(A2987,""en"",""hy"")"),"որտե՞ղ թռչել Գալապագոս կղզիների համար:")</f>
        <v>որտե՞ղ թռչել Գալապագոս կղզիների համար:</v>
      </c>
      <c r="D2987" s="3" t="str">
        <f>IFERROR(__xludf.DUMMYFUNCTION("GOOGLETRANSLATE(B2987,""en"",""hy"")"),"Գալապագոս կղզիներ թռչելու ամենատարածված օդանավակայանը Բալտրա կղզու Սեյմուր օդանավակայանն է (GPS):")</f>
        <v>Գալապագոս կղզիներ թռչելու ամենատարածված օդանավակայանը Բալտրա կղզու Սեյմուր օդանավակայանն է (GPS):</v>
      </c>
    </row>
    <row r="2988">
      <c r="A2988" s="1" t="s">
        <v>5900</v>
      </c>
      <c r="B2988" s="2" t="s">
        <v>5901</v>
      </c>
      <c r="C2988" s="3" t="str">
        <f>IFERROR(__xludf.DUMMYFUNCTION("GOOGLETRANSLATE(A2988,""en"",""hy"")"),"ո՞ւմ համար է խաղացել Թոմ Բրեդին:")</f>
        <v>ո՞ւմ համար է խաղացել Թոմ Բրեդին:</v>
      </c>
      <c r="D2988" s="3" t="str">
        <f>IFERROR(__xludf.DUMMYFUNCTION("GOOGLETRANSLATE(B2988,""en"",""hy"")"),"Թոմ Բրեյդին խաղացել է New England Patriots-ում և Tampa Bay Buccaneers-ում:")</f>
        <v>Թոմ Բրեյդին խաղացել է New England Patriots-ում և Tampa Bay Buccaneers-ում:</v>
      </c>
    </row>
    <row r="2989">
      <c r="A2989" s="1" t="s">
        <v>5902</v>
      </c>
      <c r="B2989" s="2" t="s">
        <v>5903</v>
      </c>
      <c r="C2989" s="3" t="str">
        <f>IFERROR(__xludf.DUMMYFUNCTION("GOOGLETRANSLATE(A2989,""en"",""hy"")"),"ովքեր են Բեթի Ուայթի ամուսինները")</f>
        <v>ովքեր են Բեթի Ուայթի ամուսինները</v>
      </c>
      <c r="D2989" s="3" t="str">
        <f>IFERROR(__xludf.DUMMYFUNCTION("GOOGLETRANSLATE(B2989,""en"",""hy"")"),"Բեթի Ուայթն ուներ երեք ամուսին՝ Դիկ Բարքեր, Լեյն Ալեն և Ալեն Լադեն։")</f>
        <v>Բեթի Ուայթն ուներ երեք ամուսին՝ Դիկ Բարքեր, Լեյն Ալեն և Ալեն Լադեն։</v>
      </c>
    </row>
    <row r="2990">
      <c r="A2990" s="1" t="s">
        <v>5904</v>
      </c>
      <c r="B2990" s="2" t="s">
        <v>5905</v>
      </c>
      <c r="C2990" s="3" t="str">
        <f>IFERROR(__xludf.DUMMYFUNCTION("GOOGLETRANSLATE(A2990,""en"",""hy"")"),"որո՞նք են Իտալիայում խոսվող հիմնական լեզուները:")</f>
        <v>որո՞նք են Իտալիայում խոսվող հիմնական լեզուները:</v>
      </c>
      <c r="D2990" s="3" t="str">
        <f>IFERROR(__xludf.DUMMYFUNCTION("GOOGLETRANSLATE(B2990,""en"",""hy"")"),"Իտալիայում խոսվող հիմնական լեզուն իտալերենն է։")</f>
        <v>Իտալիայում խոսվող հիմնական լեզուն իտալերենն է։</v>
      </c>
    </row>
    <row r="2991">
      <c r="A2991" s="1" t="s">
        <v>5906</v>
      </c>
      <c r="B2991" s="2" t="s">
        <v>5907</v>
      </c>
      <c r="C2991" s="3" t="str">
        <f>IFERROR(__xludf.DUMMYFUNCTION("GOOGLETRANSLATE(A2991,""en"",""hy"")"),"ժամը քանիսն է Արիզոնայի Հավասու լճում:")</f>
        <v>ժամը քանիսն է Արիզոնայի Հավասու լճում:</v>
      </c>
      <c r="D2991" s="3" t="str">
        <f>IFERROR(__xludf.DUMMYFUNCTION("GOOGLETRANSLATE(B2991,""en"",""hy"")"),"Ցավում եմ, ես չեմ կարող իրական ժամանակում տեղեկատվություն տրամադրել: Այնուամենայնիվ, դուք կարող եք հեշտությամբ ստուգել ընթացիկ ժամը Լեյք Հավասու Սիթիում, Արիզոնա, օգտագործելով հուսալի առցանց աղբյուր կամ ստուգելով ձեր սարքի ժամանակը:")</f>
        <v>Ցավում եմ, ես չեմ կարող իրական ժամանակում տեղեկատվություն տրամադրել: Այնուամենայնիվ, դուք կարող եք հեշտությամբ ստուգել ընթացիկ ժամը Լեյք Հավասու Սիթիում, Արիզոնա, օգտագործելով հուսալի առցանց աղբյուր կամ ստուգելով ձեր սարքի ժամանակը:</v>
      </c>
    </row>
    <row r="2992">
      <c r="A2992" s="1" t="s">
        <v>5908</v>
      </c>
      <c r="B2992" s="2" t="s">
        <v>5909</v>
      </c>
      <c r="C2992" s="3" t="str">
        <f>IFERROR(__xludf.DUMMYFUNCTION("GOOGLETRANSLATE(A2992,""en"",""hy"")"),"Ո՞ր տարիներին են հսկաները հաղթել համաշխարհային շարքում:")</f>
        <v>Ո՞ր տարիներին են հսկաները հաղթել համաշխարհային շարքում:</v>
      </c>
      <c r="D2992" s="3" t="str">
        <f>IFERROR(__xludf.DUMMYFUNCTION("GOOGLETRANSLATE(B2992,""en"",""hy"")"),"San Francisco Giants-ը հաղթել է World Series 2010, 2012 և 2014 թվականներին:")</f>
        <v>San Francisco Giants-ը հաղթել է World Series 2010, 2012 և 2014 թվականներին:</v>
      </c>
    </row>
    <row r="2993">
      <c r="A2993" s="1" t="s">
        <v>5910</v>
      </c>
      <c r="B2993" s="2" t="s">
        <v>5911</v>
      </c>
      <c r="C2993" s="3" t="str">
        <f>IFERROR(__xludf.DUMMYFUNCTION("GOOGLETRANSLATE(A2993,""en"",""hy"")"),"որտե՞ղ է Նիք Քլեգը գնում նախապատրաստական ​​դպրոց:")</f>
        <v>որտե՞ղ է Նիք Քլեգը գնում նախապատրաստական ​​դպրոց:</v>
      </c>
      <c r="D2993" s="3" t="str">
        <f>IFERROR(__xludf.DUMMYFUNCTION("GOOGLETRANSLATE(B2993,""en"",""hy"")"),"Նիք Քլեգը սովորել է Լոնդոնի Վեսթմինսթերյան դպրոցում:")</f>
        <v>Նիք Քլեգը սովորել է Լոնդոնի Վեսթմինսթերյան դպրոցում:</v>
      </c>
    </row>
    <row r="2994">
      <c r="A2994" s="1" t="s">
        <v>5912</v>
      </c>
      <c r="B2994" s="2" t="s">
        <v>5913</v>
      </c>
      <c r="C2994" s="3" t="str">
        <f>IFERROR(__xludf.DUMMYFUNCTION("GOOGLETRANSLATE(A2994,""en"",""hy"")"),"որտեղ է մեծացել Լաուրա Բուշը")</f>
        <v>որտեղ է մեծացել Լաուրա Բուշը</v>
      </c>
      <c r="D2994" s="3" t="str">
        <f>IFERROR(__xludf.DUMMYFUNCTION("GOOGLETRANSLATE(B2994,""en"",""hy"")"),"Լորա Բուշը մեծացել է Տեխաս նահանգի Միդլենդ քաղաքում:")</f>
        <v>Լորա Բուշը մեծացել է Տեխաս նահանգի Միդլենդ քաղաքում:</v>
      </c>
    </row>
    <row r="2995">
      <c r="A2995" s="1" t="s">
        <v>5914</v>
      </c>
      <c r="B2995" s="2" t="s">
        <v>5915</v>
      </c>
      <c r="C2995" s="3" t="str">
        <f>IFERROR(__xludf.DUMMYFUNCTION("GOOGLETRANSLATE(A2995,""en"",""hy"")"),"ինչ արժույթ պետք է տանեմ Մավրիկիոս:")</f>
        <v>ինչ արժույթ պետք է տանեմ Մավրիկիոս:</v>
      </c>
      <c r="D2995" s="3" t="str">
        <f>IFERROR(__xludf.DUMMYFUNCTION("GOOGLETRANSLATE(B2995,""en"",""hy"")"),"Արժույթը, որը դուք պետք է տանեք Մավրիկիոս, Մավրիկյան ռուփին է (MUR):")</f>
        <v>Արժույթը, որը դուք պետք է տանեք Մավրիկիոս, Մավրիկյան ռուփին է (MUR):</v>
      </c>
    </row>
    <row r="2996">
      <c r="A2996" s="1" t="s">
        <v>5916</v>
      </c>
      <c r="B2996" s="2" t="s">
        <v>5917</v>
      </c>
      <c r="C2996" s="3" t="str">
        <f>IFERROR(__xludf.DUMMYFUNCTION("GOOGLETRANSLATE(A2996,""en"",""hy"")"),"Ո՞ր նահանգներն են սահմանակից Վիրջինիայի հետ:")</f>
        <v>Ո՞ր նահանգներն են սահմանակից Վիրջինիայի հետ:</v>
      </c>
      <c r="D2996" s="3" t="str">
        <f>IFERROR(__xludf.DUMMYFUNCTION("GOOGLETRANSLATE(B2996,""en"",""hy"")"),"Մերիլենդ, Արևմտյան Վիրջինիա, Կենտուկի, Թենեսի, Հյուսիսային Կարոլինա և Ատլանտյան օվկիանոս:")</f>
        <v>Մերիլենդ, Արևմտյան Վիրջինիա, Կենտուկի, Թենեսի, Հյուսիսային Կարոլինա և Ատլանտյան օվկիանոս:</v>
      </c>
    </row>
    <row r="2997">
      <c r="A2997" s="1" t="s">
        <v>5918</v>
      </c>
      <c r="B2997" s="2" t="s">
        <v>5919</v>
      </c>
      <c r="C2997" s="3" t="str">
        <f>IFERROR(__xludf.DUMMYFUNCTION("GOOGLETRANSLATE(A2997,""en"",""hy"")"),"ինչպես է կոչվում Գերագույն դատարանի դատավորը.")</f>
        <v>ինչպես է կոչվում Գերագույն դատարանի դատավորը.</v>
      </c>
      <c r="D2997" s="3" t="str">
        <f>IFERROR(__xludf.DUMMYFUNCTION("GOOGLETRANSLATE(B2997,""en"",""hy"")"),"Գերագույն դատարանում դատավորը կոչվում է արդարադատ:")</f>
        <v>Գերագույն դատարանում դատավորը կոչվում է արդարադատ:</v>
      </c>
    </row>
    <row r="2998">
      <c r="A2998" s="1" t="s">
        <v>5920</v>
      </c>
      <c r="B2998" s="2" t="s">
        <v>5921</v>
      </c>
      <c r="C2998" s="3" t="str">
        <f>IFERROR(__xludf.DUMMYFUNCTION("GOOGLETRANSLATE(A2998,""en"",""hy"")"),"ի՞նչ է արել Յոհաննես Կեպլերը:")</f>
        <v>ի՞նչ է արել Յոհաննես Կեպլերը:</v>
      </c>
      <c r="D2998" s="3" t="str">
        <f>IFERROR(__xludf.DUMMYFUNCTION("GOOGLETRANSLATE(B2998,""en"",""hy"")"),"Յոհաննես Կեպլերը հայտնաբերել է մոլորակների շարժման օրենքները։")</f>
        <v>Յոհաննես Կեպլերը հայտնաբերել է մոլորակների շարժման օրենքները։</v>
      </c>
    </row>
    <row r="2999">
      <c r="A2999" s="1" t="s">
        <v>5922</v>
      </c>
      <c r="B2999" s="2" t="s">
        <v>5923</v>
      </c>
      <c r="C2999" s="3" t="str">
        <f>IFERROR(__xludf.DUMMYFUNCTION("GOOGLETRANSLATE(A2999,""en"",""hy"")"),"Ո՞ր քոլեջ է սովորել Էդգար Ալան Պոն:")</f>
        <v>Ո՞ր քոլեջ է սովորել Էդգար Ալան Պոն:</v>
      </c>
      <c r="D2999" s="3" t="str">
        <f>IFERROR(__xludf.DUMMYFUNCTION("GOOGLETRANSLATE(B2999,""en"",""hy"")"),"Վիրջինիայի համալսարան.")</f>
        <v>Վիրջինիայի համալսարան.</v>
      </c>
    </row>
    <row r="3000">
      <c r="A3000" s="1" t="s">
        <v>5924</v>
      </c>
      <c r="B3000" s="2" t="s">
        <v>5925</v>
      </c>
      <c r="C3000" s="3" t="str">
        <f>IFERROR(__xludf.DUMMYFUNCTION("GOOGLETRANSLATE(A3000,""en"",""hy"")"),"ով է Էլեն Ալբերտինի Դոուն")</f>
        <v>ով է Էլեն Ալբերտինի Դոուն</v>
      </c>
      <c r="D3000" s="3" t="str">
        <f>IFERROR(__xludf.DUMMYFUNCTION("GOOGLETRANSLATE(B3000,""en"",""hy"")"),"Էլեն Ալբերտինի Դոուն դերասանուհի է։")</f>
        <v>Էլեն Ալբերտինի Դոուն դերասանուհի է։</v>
      </c>
    </row>
    <row r="3001">
      <c r="A3001" s="1" t="s">
        <v>5926</v>
      </c>
      <c r="B3001" s="2" t="s">
        <v>5927</v>
      </c>
      <c r="C3001" s="3" t="str">
        <f>IFERROR(__xludf.DUMMYFUNCTION("GOOGLETRANSLATE(A3001,""en"",""hy"")"),"Ո՞ր ժամային գոտում է գտնվում Լոնդոնը հենց հիմա:")</f>
        <v>Ո՞ր ժամային գոտում է գտնվում Լոնդոնը հենց հիմա:</v>
      </c>
      <c r="D3001" s="3" t="str">
        <f>IFERROR(__xludf.DUMMYFUNCTION("GOOGLETRANSLATE(B3001,""en"",""hy"")"),"Լոնդոնը ներկայումս գտնվում է Գրինվիչի ժամանակով (GMT) գոտում։")</f>
        <v>Լոնդոնը ներկայումս գտնվում է Գրինվիչի ժամանակով (GMT) գոտում։</v>
      </c>
    </row>
    <row r="3002">
      <c r="A3002" s="1" t="s">
        <v>5928</v>
      </c>
      <c r="B3002" s="2" t="s">
        <v>5929</v>
      </c>
      <c r="C3002" s="3" t="str">
        <f>IFERROR(__xludf.DUMMYFUNCTION("GOOGLETRANSLATE(A3002,""en"",""hy"")"),"ինչ լեզվով են խոսում Չինաստանը")</f>
        <v>ինչ լեզվով են խոսում Չինաստանը</v>
      </c>
      <c r="D3002" s="3" t="str">
        <f>IFERROR(__xludf.DUMMYFUNCTION("GOOGLETRANSLATE(B3002,""en"",""hy"")"),"Չինաստանի պաշտոնական լեզուն մանդարին չինարենն է:")</f>
        <v>Չինաստանի պաշտոնական լեզուն մանդարին չինարենն է:</v>
      </c>
    </row>
    <row r="3003">
      <c r="A3003" s="1" t="s">
        <v>5930</v>
      </c>
      <c r="B3003" s="2" t="s">
        <v>5931</v>
      </c>
      <c r="C3003" s="3" t="str">
        <f>IFERROR(__xludf.DUMMYFUNCTION("GOOGLETRANSLATE(A3003,""en"",""hy"")"),"որտեղ է Սինգապուրի կենդանաբանական այգին")</f>
        <v>որտեղ է Սինգապուրի կենդանաբանական այգին</v>
      </c>
      <c r="D3003" s="3" t="str">
        <f>IFERROR(__xludf.DUMMYFUNCTION("GOOGLETRANSLATE(B3003,""en"",""hy"")"),"Սինգապուրի կենդանաբանական այգին գտնվում է Սինգապուրում։")</f>
        <v>Սինգապուրի կենդանաբանական այգին գտնվում է Սինգապուրում։</v>
      </c>
    </row>
    <row r="3004">
      <c r="A3004" s="1" t="s">
        <v>5932</v>
      </c>
      <c r="B3004" s="2" t="s">
        <v>5933</v>
      </c>
      <c r="C3004" s="3" t="str">
        <f>IFERROR(__xludf.DUMMYFUNCTION("GOOGLETRANSLATE(A3004,""en"",""hy"")"),"Ո՞ր քաղաքում է ծնվել Էյբ Լինքոլնը:")</f>
        <v>Ո՞ր քաղաքում է ծնվել Էյբ Լինքոլնը:</v>
      </c>
      <c r="D3004" s="3" t="str">
        <f>IFERROR(__xludf.DUMMYFUNCTION("GOOGLETRANSLATE(B3004,""en"",""hy"")"),"Հոջենվիլ, Կենտուկի.")</f>
        <v>Հոջենվիլ, Կենտուկի.</v>
      </c>
    </row>
    <row r="3005">
      <c r="A3005" s="1" t="s">
        <v>5934</v>
      </c>
      <c r="B3005" s="2" t="s">
        <v>5935</v>
      </c>
      <c r="C3005" s="3" t="str">
        <f>IFERROR(__xludf.DUMMYFUNCTION("GOOGLETRANSLATE(A3005,""en"",""hy"")"),"ի՞նչ է ներմուծում և արտահանում Եթովպիան:")</f>
        <v>ի՞նչ է ներմուծում և արտահանում Եթովպիան:</v>
      </c>
      <c r="D3005" s="3" t="str">
        <f>IFERROR(__xludf.DUMMYFUNCTION("GOOGLETRANSLATE(B3005,""en"",""hy"")"),"Եթովպիան հիմնականում արտահանում է սուրճ, յուղի սերմեր, ծաղիկներ, կենդանի կենդանիներ և տեքստիլ: Այն ներմուծում է մեքենաներ, մեքենաներ, նավթամթերք և քիմիական նյութեր։")</f>
        <v>Եթովպիան հիմնականում արտահանում է սուրճ, յուղի սերմեր, ծաղիկներ, կենդանի կենդանիներ և տեքստիլ: Այն ներմուծում է մեքենաներ, մեքենաներ, նավթամթերք և քիմիական նյութեր։</v>
      </c>
    </row>
    <row r="3006">
      <c r="A3006" s="1" t="s">
        <v>5936</v>
      </c>
      <c r="B3006" s="2" t="s">
        <v>2251</v>
      </c>
      <c r="C3006" s="3" t="str">
        <f>IFERROR(__xludf.DUMMYFUNCTION("GOOGLETRANSLATE(A3006,""en"",""hy"")"),"ով է ձայնը Kitt Knight Rider.")</f>
        <v>ով է ձայնը Kitt Knight Rider.</v>
      </c>
      <c r="D3006" s="3" t="str">
        <f>IFERROR(__xludf.DUMMYFUNCTION("GOOGLETRANSLATE(B3006,""en"",""hy"")"),"Ուիլյամ Դենիելս.")</f>
        <v>Ուիլյամ Դենիելս.</v>
      </c>
    </row>
    <row r="3007">
      <c r="A3007" s="1" t="s">
        <v>5937</v>
      </c>
      <c r="B3007" s="2" t="s">
        <v>5938</v>
      </c>
      <c r="C3007" s="3" t="str">
        <f>IFERROR(__xludf.DUMMYFUNCTION("GOOGLETRANSLATE(A3007,""en"",""hy"")"),"ի՞նչ մարտահրավերների էր հանդիպել Հելեն Քելլերը:")</f>
        <v>ի՞նչ մարտահրավերների էր հանդիպել Հելեն Քելլերը:</v>
      </c>
      <c r="D3007" s="3" t="str">
        <f>IFERROR(__xludf.DUMMYFUNCTION("GOOGLETRANSLATE(B3007,""en"",""hy"")"),"Հելեն Քելլերը իր խուլության և կուրության հետ բախվեց մարտահրավերների:")</f>
        <v>Հելեն Քելլերը իր խուլության և կուրության հետ բախվեց մարտահրավերների:</v>
      </c>
    </row>
    <row r="3008">
      <c r="A3008" s="1" t="s">
        <v>5939</v>
      </c>
      <c r="B3008" s="2" t="s">
        <v>5940</v>
      </c>
      <c r="C3008" s="3" t="str">
        <f>IFERROR(__xludf.DUMMYFUNCTION("GOOGLETRANSLATE(A3008,""en"",""hy"")"),"ով է Էնդի Ուիլյամս եղբայրը")</f>
        <v>ով է Էնդի Ուիլյամս եղբայրը</v>
      </c>
      <c r="D3008" s="3" t="str">
        <f>IFERROR(__xludf.DUMMYFUNCTION("GOOGLETRANSLATE(B3008,""en"",""hy"")"),"Էնդի Ուիլյամսն ուներ երեք ավագ եղբայր՝ Բոբ, Դոն և Դիկ Ուիլյամս։")</f>
        <v>Էնդի Ուիլյամսն ուներ երեք ավագ եղբայր՝ Բոբ, Դոն և Դիկ Ուիլյամս։</v>
      </c>
    </row>
    <row r="3009">
      <c r="A3009" s="1" t="s">
        <v>5941</v>
      </c>
      <c r="B3009" s="2" t="s">
        <v>5942</v>
      </c>
      <c r="C3009" s="3" t="str">
        <f>IFERROR(__xludf.DUMMYFUNCTION("GOOGLETRANSLATE(A3009,""en"",""hy"")"),"ով էր Պակիստանի 2-րդ վարչապետը.")</f>
        <v>ով էր Պակիստանի 2-րդ վարչապետը.</v>
      </c>
      <c r="D3009" s="3" t="str">
        <f>IFERROR(__xludf.DUMMYFUNCTION("GOOGLETRANSLATE(B3009,""en"",""hy"")"),"Պակիստանի 2-րդ վարչապետը Խավաջա Նազիմուդինն էր։")</f>
        <v>Պակիստանի 2-րդ վարչապետը Խավաջա Նազիմուդինն էր։</v>
      </c>
    </row>
    <row r="3010">
      <c r="A3010" s="1" t="s">
        <v>5943</v>
      </c>
      <c r="B3010" s="2" t="s">
        <v>5944</v>
      </c>
      <c r="C3010" s="3" t="str">
        <f>IFERROR(__xludf.DUMMYFUNCTION("GOOGLETRANSLATE(A3010,""en"",""hy"")"),"որտեղ է ապրում Մորիսին 2010 թ.")</f>
        <v>որտեղ է ապրում Մորիսին 2010 թ.</v>
      </c>
      <c r="D3010" s="3" t="str">
        <f>IFERROR(__xludf.DUMMYFUNCTION("GOOGLETRANSLATE(B3010,""en"",""hy"")"),"Մորիսին ապրել է Լոս Անջելեսում, Կալիֆորնիա 2010 թվականին։")</f>
        <v>Մորիսին ապրել է Լոս Անջելեսում, Կալիֆորնիա 2010 թվականին։</v>
      </c>
    </row>
    <row r="3011">
      <c r="A3011" s="1" t="s">
        <v>5945</v>
      </c>
      <c r="B3011" s="2" t="s">
        <v>5946</v>
      </c>
      <c r="C3011" s="3" t="str">
        <f>IFERROR(__xludf.DUMMYFUNCTION("GOOGLETRANSLATE(A3011,""en"",""hy"")"),"Ո՞ր թիմերում է խաղացել Ջիմ Հարբոն:")</f>
        <v>Ո՞ր թիմերում է խաղացել Ջիմ Հարբոն:</v>
      </c>
      <c r="D3011" s="3" t="str">
        <f>IFERROR(__xludf.DUMMYFUNCTION("GOOGLETRANSLATE(B3011,""en"",""hy"")"),"Ջիմ Հարբոն իր NFL կարիերայի ընթացքում խաղացել է մի քանի թիմերում, այդ թվում՝ Chicago Bears, Indianapolis Colts, Baltimore Ravens և San Diego Chargers:")</f>
        <v>Ջիմ Հարբոն իր NFL կարիերայի ընթացքում խաղացել է մի քանի թիմերում, այդ թվում՝ Chicago Bears, Indianapolis Colts, Baltimore Ravens և San Diego Chargers:</v>
      </c>
    </row>
    <row r="3012">
      <c r="A3012" s="1" t="s">
        <v>5947</v>
      </c>
      <c r="B3012" s="2" t="s">
        <v>5948</v>
      </c>
      <c r="C3012" s="3" t="str">
        <f>IFERROR(__xludf.DUMMYFUNCTION("GOOGLETRANSLATE(A3012,""en"",""hy"")"),"ո՞վ է խաղացել Ատտիկուս Ֆինչի դերը ֆիլմում:")</f>
        <v>ո՞վ է խաղացել Ատտիկուս Ֆինչի դերը ֆիլմում:</v>
      </c>
      <c r="D3012" s="3" t="str">
        <f>IFERROR(__xludf.DUMMYFUNCTION("GOOGLETRANSLATE(B3012,""en"",""hy"")"),"Գրեգորի Պեկը ֆիլմում մարմնավորել է Ատտիկուս Ֆինչին։")</f>
        <v>Գրեգորի Պեկը ֆիլմում մարմնավորել է Ատտիկուս Ֆինչին։</v>
      </c>
    </row>
    <row r="3013">
      <c r="A3013" s="1" t="s">
        <v>5949</v>
      </c>
      <c r="B3013" s="2" t="s">
        <v>5950</v>
      </c>
      <c r="C3013" s="3" t="str">
        <f>IFERROR(__xludf.DUMMYFUNCTION("GOOGLETRANSLATE(A3013,""en"",""hy"")"),"որտեղ էր ապրում Տուսեն Լուվերտուրը")</f>
        <v>որտեղ էր ապրում Տուսեն Լուվերտուրը</v>
      </c>
      <c r="D3013" s="3" t="str">
        <f>IFERROR(__xludf.DUMMYFUNCTION("GOOGLETRANSLATE(B3013,""en"",""hy"")"),"Toussaint Louverture-ն ապրում էր Հաիթիում։")</f>
        <v>Toussaint Louverture-ն ապրում էր Հաիթիում։</v>
      </c>
    </row>
    <row r="3014">
      <c r="A3014" s="1" t="s">
        <v>5951</v>
      </c>
      <c r="B3014" s="2" t="s">
        <v>5952</v>
      </c>
      <c r="C3014" s="3" t="str">
        <f>IFERROR(__xludf.DUMMYFUNCTION("GOOGLETRANSLATE(A3014,""en"",""hy"")"),"ուրիշ ո՞ր երկրներն են սահմանակից Չինաստանի հետ:")</f>
        <v>ուրիշ ո՞ր երկրներն են սահմանակից Չինաստանի հետ:</v>
      </c>
      <c r="D3014" s="3" t="str">
        <f>IFERROR(__xludf.DUMMYFUNCTION("GOOGLETRANSLATE(B3014,""en"",""hy"")"),"Չինաստանի հետ ցամաքային սահման ունի 14 երկիր՝ Աֆղանստան, Բութան, Հնդկաստան, Ղազախստան, Ղրղզստան, Լաոս, Մոնղոլիա, Մյանմար, Նեպալ, Հյուսիսային Կորեա, Պակիստան, Ռուսաստան, Տաջիկստան և Վիետնամ:")</f>
        <v>Չինաստանի հետ ցամաքային սահման ունի 14 երկիր՝ Աֆղանստան, Բութան, Հնդկաստան, Ղազախստան, Ղրղզստան, Լաոս, Մոնղոլիա, Մյանմար, Նեպալ, Հյուսիսային Կորեա, Պակիստան, Ռուսաստան, Տաջիկստան և Վիետնամ:</v>
      </c>
    </row>
    <row r="3015">
      <c r="A3015" s="1" t="s">
        <v>5953</v>
      </c>
      <c r="B3015" s="2" t="s">
        <v>673</v>
      </c>
      <c r="C3015" s="3" t="str">
        <f>IFERROR(__xludf.DUMMYFUNCTION("GOOGLETRANSLATE(A3015,""en"",""hy"")"),"ով ունի ստյուի գրիֆինի ձայնը:")</f>
        <v>ով ունի ստյուի գրիֆինի ձայնը:</v>
      </c>
      <c r="D3015" s="3" t="str">
        <f>IFERROR(__xludf.DUMMYFUNCTION("GOOGLETRANSLATE(B3015,""en"",""hy"")"),"Սեթ ՄակՖարլեյն.")</f>
        <v>Սեթ ՄակՖարլեյն.</v>
      </c>
    </row>
    <row r="3016">
      <c r="A3016" s="1" t="s">
        <v>5954</v>
      </c>
      <c r="B3016" s="2" t="s">
        <v>5955</v>
      </c>
      <c r="C3016" s="3" t="str">
        <f>IFERROR(__xludf.DUMMYFUNCTION("GOOGLETRANSLATE(A3016,""en"",""hy"")"),"Ո՞ր տարում է մահացել Ջոնի Քեշը և քանի տարեկան էր նա:")</f>
        <v>Ո՞ր տարում է մահացել Ջոնի Քեշը և քանի տարեկան էր նա:</v>
      </c>
      <c r="D3016" s="3" t="str">
        <f>IFERROR(__xludf.DUMMYFUNCTION("GOOGLETRANSLATE(B3016,""en"",""hy"")"),"Ջոնի Քեշը մահացել է 2003 թվականին 71 տարեկան հասակում։")</f>
        <v>Ջոնի Քեշը մահացել է 2003 թվականին 71 տարեկան հասակում։</v>
      </c>
    </row>
    <row r="3017">
      <c r="A3017" s="1" t="s">
        <v>5956</v>
      </c>
      <c r="B3017" s="2" t="s">
        <v>5957</v>
      </c>
      <c r="C3017" s="3" t="str">
        <f>IFERROR(__xludf.DUMMYFUNCTION("GOOGLETRANSLATE(A3017,""en"",""hy"")"),"ո՞ր կուսակցությանն էր պատկանում Ջոն Թայլերը:")</f>
        <v>ո՞ր կուսակցությանն էր պատկանում Ջոն Թայլերը:</v>
      </c>
      <c r="D3017" s="3" t="str">
        <f>IFERROR(__xludf.DUMMYFUNCTION("GOOGLETRANSLATE(B3017,""en"",""hy"")"),"Ջոն Թայլերը պատկանում էր Դեմոկրատական-Հանրապետական ​​կուսակցությանը։")</f>
        <v>Ջոն Թայլերը պատկանում էր Դեմոկրատական-Հանրապետական ​​կուսակցությանը։</v>
      </c>
    </row>
    <row r="3018">
      <c r="A3018" s="1" t="s">
        <v>5958</v>
      </c>
      <c r="B3018" s="2" t="s">
        <v>5959</v>
      </c>
      <c r="C3018" s="3" t="str">
        <f>IFERROR(__xludf.DUMMYFUNCTION("GOOGLETRANSLATE(A3018,""en"",""hy"")"),"ով է Տեխաս նահանգի սենատորը.")</f>
        <v>ով է Տեխաս նահանգի սենատորը.</v>
      </c>
      <c r="D3018" s="3" t="str">
        <f>IFERROR(__xludf.DUMMYFUNCTION("GOOGLETRANSLATE(B3018,""en"",""hy"")"),"Տեխաս նահանգի սենատորը Ջոն Քորնինն է։")</f>
        <v>Տեխաս նահանգի սենատորը Ջոն Քորնինն է։</v>
      </c>
    </row>
    <row r="3019">
      <c r="A3019" s="1" t="s">
        <v>5960</v>
      </c>
      <c r="B3019" s="2" t="s">
        <v>5961</v>
      </c>
      <c r="C3019" s="3" t="str">
        <f>IFERROR(__xludf.DUMMYFUNCTION("GOOGLETRANSLATE(A3019,""en"",""hy"")"),"որտեղ մնալ Թաիլանդում Կոհ Սամույում:")</f>
        <v>որտեղ մնալ Թաիլանդում Կոհ Սամույում:</v>
      </c>
      <c r="D3019" s="3" t="str">
        <f>IFERROR(__xludf.DUMMYFUNCTION("GOOGLETRANSLATE(B3019,""en"",""hy"")"),"Թաիլանդի Կոհ Սամուի քաղաքում մնալու շատ հիանալի վայրեր կան: Որոշ հայտնի տարածքներ ներառում են Չավենգը, Բոֆուտը և Լամայը: Դա, ի վերջո, կախված է ձեր նախասիրություններից և այն բանից, թե ինչ եք փնտրում լողափին մոտ լինելու, գիշերային կյանքի և այլ տեսարժան վայր"&amp;"երին:")</f>
        <v>Թաիլանդի Կոհ Սամուի քաղաքում մնալու շատ հիանալի վայրեր կան: Որոշ հայտնի տարածքներ ներառում են Չավենգը, Բոֆուտը և Լամայը: Դա, ի վերջո, կախված է ձեր նախասիրություններից և այն բանից, թե ինչ եք փնտրում լողափին մոտ լինելու, գիշերային կյանքի և այլ տեսարժան վայրերին:</v>
      </c>
    </row>
    <row r="3020">
      <c r="A3020" s="1" t="s">
        <v>5962</v>
      </c>
      <c r="B3020" s="2" t="s">
        <v>5963</v>
      </c>
      <c r="C3020" s="3" t="str">
        <f>IFERROR(__xludf.DUMMYFUNCTION("GOOGLETRANSLATE(A3020,""en"",""hy"")"),"ո՞ւմ հետ է Ջենսեն Ակլսը հարաբերությունների մեջ:")</f>
        <v>ո՞ւմ հետ է Ջենսեն Ակլսը հարաբերությունների մեջ:</v>
      </c>
      <c r="D3020" s="3" t="str">
        <f>IFERROR(__xludf.DUMMYFUNCTION("GOOGLETRANSLATE(B3020,""en"",""hy"")"),"Ջենսեն Էքլսը հարաբերությունների մեջ է Դանիլ Էքլսի հետ։")</f>
        <v>Ջենսեն Էքլսը հարաբերությունների մեջ է Դանիլ Էքլսի հետ։</v>
      </c>
    </row>
    <row r="3021">
      <c r="A3021" s="1" t="s">
        <v>5964</v>
      </c>
      <c r="B3021" s="2" t="s">
        <v>5965</v>
      </c>
      <c r="C3021" s="3" t="str">
        <f>IFERROR(__xludf.DUMMYFUNCTION("GOOGLETRANSLATE(A3021,""en"",""hy"")"),"ով է Էրիկ Քարտմենի ձայնային դերասանը:")</f>
        <v>ով է Էրիկ Քարտմենի ձայնային դերասանը:</v>
      </c>
      <c r="D3021" s="3" t="str">
        <f>IFERROR(__xludf.DUMMYFUNCTION("GOOGLETRANSLATE(B3021,""en"",""hy"")"),"Թրեյ Փարքեր.")</f>
        <v>Թրեյ Փարքեր.</v>
      </c>
    </row>
    <row r="3022">
      <c r="A3022" s="1" t="s">
        <v>5966</v>
      </c>
      <c r="B3022" s="2" t="s">
        <v>5967</v>
      </c>
      <c r="C3022" s="3" t="str">
        <f>IFERROR(__xludf.DUMMYFUNCTION("GOOGLETRANSLATE(A3022,""en"",""hy"")"),"ինչ լեզվով են խոսում իռլանդացիները")</f>
        <v>ինչ լեզվով են խոսում իռլանդացիները</v>
      </c>
      <c r="D3022" s="3" t="str">
        <f>IFERROR(__xludf.DUMMYFUNCTION("GOOGLETRANSLATE(B3022,""en"",""hy"")"),"Իռլանդացիները խոսում են իռլանդերեն:")</f>
        <v>Իռլանդացիները խոսում են իռլանդերեն:</v>
      </c>
    </row>
    <row r="3023">
      <c r="A3023" s="1" t="s">
        <v>5968</v>
      </c>
      <c r="B3023" s="2" t="s">
        <v>5969</v>
      </c>
      <c r="C3023" s="3" t="str">
        <f>IFERROR(__xludf.DUMMYFUNCTION("GOOGLETRANSLATE(A3023,""en"",""hy"")"),"ինչ արժույթ է օգտագործվում Բրազիլիայում:")</f>
        <v>ինչ արժույթ է օգտագործվում Բրազիլիայում:</v>
      </c>
      <c r="D3023" s="3" t="str">
        <f>IFERROR(__xludf.DUMMYFUNCTION("GOOGLETRANSLATE(B3023,""en"",""hy"")"),"Բրազիլիայում օգտագործվող արժույթը բրազիլական ռեալն է։")</f>
        <v>Բրազիլիայում օգտագործվող արժույթը բրազիլական ռեալն է։</v>
      </c>
    </row>
    <row r="3024">
      <c r="A3024" s="1" t="s">
        <v>5970</v>
      </c>
      <c r="B3024" s="2" t="s">
        <v>5971</v>
      </c>
      <c r="C3024" s="3" t="str">
        <f>IFERROR(__xludf.DUMMYFUNCTION("GOOGLETRANSLATE(A3024,""en"",""hy"")"),"ինչո՞վ էր առավել հայտնի Մարի Կյուրին:")</f>
        <v>ինչո՞վ էր առավել հայտնի Մարի Կյուրին:</v>
      </c>
      <c r="D3024" s="3" t="str">
        <f>IFERROR(__xludf.DUMMYFUNCTION("GOOGLETRANSLATE(B3024,""en"",""hy"")"),"Մարի Կյուրին առավել հայտնի էր ռադիոակտիվության վերաբերյալ իր պիոներական հետազոտություններով և պոլոնիում և ռադիում տարրերի բացահայտումներով:")</f>
        <v>Մարի Կյուրին առավել հայտնի էր ռադիոակտիվության վերաբերյալ իր պիոներական հետազոտություններով և պոլոնիում և ռադիում տարրերի բացահայտումներով:</v>
      </c>
    </row>
    <row r="3025">
      <c r="A3025" s="1" t="s">
        <v>5972</v>
      </c>
      <c r="B3025" s="2" t="s">
        <v>5973</v>
      </c>
      <c r="C3025" s="3" t="str">
        <f>IFERROR(__xludf.DUMMYFUNCTION("GOOGLETRANSLATE(A3025,""en"",""hy"")"),"ինչ փող է օգտագործվում Մոզամբիկում:")</f>
        <v>ինչ փող է օգտագործվում Մոզամբիկում:</v>
      </c>
      <c r="D3025" s="3" t="str">
        <f>IFERROR(__xludf.DUMMYFUNCTION("GOOGLETRANSLATE(B3025,""en"",""hy"")"),"Մոզամբիկում օգտագործվող արժույթը Մոզամբիկյան մետիկալն է։")</f>
        <v>Մոզամբիկում օգտագործվող արժույթը Մոզամբիկյան մետիկալն է։</v>
      </c>
    </row>
    <row r="3026">
      <c r="A3026" s="1" t="s">
        <v>5974</v>
      </c>
      <c r="B3026" s="2" t="s">
        <v>5975</v>
      </c>
      <c r="C3026" s="3" t="str">
        <f>IFERROR(__xludf.DUMMYFUNCTION("GOOGLETRANSLATE(A3026,""en"",""hy"")"),"ինչ հիվանդություն ունի Մայքլ Ջ Ֆոքսը:")</f>
        <v>ինչ հիվանդություն ունի Մայքլ Ջ Ֆոքսը:</v>
      </c>
      <c r="D3026" s="3" t="str">
        <f>IFERROR(__xludf.DUMMYFUNCTION("GOOGLETRANSLATE(B3026,""en"",""hy"")"),"Պարկինսոնի հիվանդություն.")</f>
        <v>Պարկինսոնի հիվանդություն.</v>
      </c>
    </row>
    <row r="3027">
      <c r="A3027" s="1" t="s">
        <v>5976</v>
      </c>
      <c r="B3027" s="2" t="s">
        <v>5977</v>
      </c>
      <c r="C3027" s="3" t="str">
        <f>IFERROR(__xludf.DUMMYFUNCTION("GOOGLETRANSLATE(A3027,""en"",""hy"")"),"ով է Ինդիանայի նահանգապետը 2012 թ.")</f>
        <v>ով է Ինդիանայի նահանգապետը 2012 թ.</v>
      </c>
      <c r="D3027" s="3" t="str">
        <f>IFERROR(__xludf.DUMMYFUNCTION("GOOGLETRANSLATE(B3027,""en"",""hy"")"),"Ինդիանայի նահանգապետը 2012 թվականին Միթչ Դենիելսն էր։")</f>
        <v>Ինդիանայի նահանգապետը 2012 թվականին Միթչ Դենիելսն էր։</v>
      </c>
    </row>
    <row r="3028">
      <c r="A3028" s="1" t="s">
        <v>5978</v>
      </c>
      <c r="B3028" s="2" t="s">
        <v>5979</v>
      </c>
      <c r="C3028" s="3" t="str">
        <f>IFERROR(__xludf.DUMMYFUNCTION("GOOGLETRANSLATE(A3028,""en"",""hy"")"),"ով է եղել Քիմ Քարդաշյանի առաջին ամուսինը.")</f>
        <v>ով է եղել Քիմ Քարդաշյանի առաջին ամուսինը.</v>
      </c>
      <c r="D3028" s="3" t="str">
        <f>IFERROR(__xludf.DUMMYFUNCTION("GOOGLETRANSLATE(B3028,""en"",""hy"")"),"Քիմ Քարդաշյանի առաջին ամուսինը Դեյմոն Թոմասն էր։")</f>
        <v>Քիմ Քարդաշյանի առաջին ամուսինը Դեյմոն Թոմասն էր։</v>
      </c>
    </row>
    <row r="3029">
      <c r="A3029" s="1" t="s">
        <v>5980</v>
      </c>
      <c r="B3029" s="2" t="s">
        <v>5981</v>
      </c>
      <c r="C3029" s="3" t="str">
        <f>IFERROR(__xludf.DUMMYFUNCTION("GOOGLETRANSLATE(A3029,""en"",""hy"")"),"ում հետ է Ջերի Ռայսը թոշակի անցել:")</f>
        <v>ում հետ է Ջերի Ռայսը թոշակի անցել:</v>
      </c>
      <c r="D3029" s="3" t="str">
        <f>IFERROR(__xludf.DUMMYFUNCTION("GOOGLETRANSLATE(B3029,""en"",""hy"")"),"Ջերի Ռայսը թոշակի անցավ San Francisco 49ers-ի հետ:")</f>
        <v>Ջերի Ռայսը թոշակի անցավ San Francisco 49ers-ի հետ:</v>
      </c>
    </row>
    <row r="3030">
      <c r="A3030" s="1" t="s">
        <v>5982</v>
      </c>
      <c r="B3030" s="2" t="s">
        <v>5983</v>
      </c>
      <c r="C3030" s="3" t="str">
        <f>IFERROR(__xludf.DUMMYFUNCTION("GOOGLETRANSLATE(A3030,""en"",""hy"")"),"որո՞նք են Դոմինիկյան հանրապետության պաշտոնական լեզուները:")</f>
        <v>որո՞նք են Դոմինիկյան հանրապետության պաշտոնական լեզուները:</v>
      </c>
      <c r="D3030" s="3" t="str">
        <f>IFERROR(__xludf.DUMMYFUNCTION("GOOGLETRANSLATE(B3030,""en"",""hy"")"),"Դոմինիկյան Հանրապետության պաշտոնական լեզուն իսպաներենն է։")</f>
        <v>Դոմինիկյան Հանրապետության պաշտոնական լեզուն իսպաներենն է։</v>
      </c>
    </row>
    <row r="3031">
      <c r="A3031" s="1" t="s">
        <v>5984</v>
      </c>
      <c r="B3031" s="2" t="s">
        <v>5985</v>
      </c>
      <c r="C3031" s="3" t="str">
        <f>IFERROR(__xludf.DUMMYFUNCTION("GOOGLETRANSLATE(A3031,""en"",""hy"")"),"Ո՞ր ֆիլմում է խաղում թագուհի Լատիֆան")</f>
        <v>Ո՞ր ֆիլմում է խաղում թագուհի Լատիֆան</v>
      </c>
      <c r="D3031" s="3" t="str">
        <f>IFERROR(__xludf.DUMMYFUNCTION("GOOGLETRANSLATE(B3031,""en"",""hy"")"),"Թագուհի Լատիֆան նկարահանվել է բազմաթիվ ֆիլմերում, այդ թվում՝ «Չիկագո», «Բարձրացնելով տունը», «Գեղեցկության խանութ» և «Աղջիկների ճամփորդություն» և այլն։")</f>
        <v>Թագուհի Լատիֆան նկարահանվել է բազմաթիվ ֆիլմերում, այդ թվում՝ «Չիկագո», «Բարձրացնելով տունը», «Գեղեցկության խանութ» և «Աղջիկների ճամփորդություն» և այլն։</v>
      </c>
    </row>
    <row r="3032">
      <c r="A3032" s="1" t="s">
        <v>5986</v>
      </c>
      <c r="B3032" s="2" t="s">
        <v>5987</v>
      </c>
      <c r="C3032" s="3" t="str">
        <f>IFERROR(__xludf.DUMMYFUNCTION("GOOGLETRANSLATE(A3032,""en"",""hy"")"),"ի՞նչ է հայտնաբերել Անտոն վան Լևենհուկը:")</f>
        <v>ի՞նչ է հայտնաբերել Անտոն վան Լևենհուկը:</v>
      </c>
      <c r="D3032" s="3" t="str">
        <f>IFERROR(__xludf.DUMMYFUNCTION("GOOGLETRANSLATE(B3032,""en"",""hy"")"),"Անտոն վան Լևենհուկը հայտնաբերել է միկրոօրգանիզմներ.")</f>
        <v>Անտոն վան Լևենհուկը հայտնաբերել է միկրոօրգանիզմներ.</v>
      </c>
    </row>
    <row r="3033">
      <c r="A3033" s="1" t="s">
        <v>5988</v>
      </c>
      <c r="B3033" s="2" t="s">
        <v>5989</v>
      </c>
      <c r="C3033" s="3" t="str">
        <f>IFERROR(__xludf.DUMMYFUNCTION("GOOGLETRANSLATE(A3033,""en"",""hy"")"),"որտեղ է թաղված Թեդ Քենեդին")</f>
        <v>որտեղ է թաղված Թեդ Քենեդին</v>
      </c>
      <c r="D3033" s="3" t="str">
        <f>IFERROR(__xludf.DUMMYFUNCTION("GOOGLETRANSLATE(B3033,""en"",""hy"")"),"Թեդ Քենեդին թաղվել է Վիրջինիա նահանգի Արլինգթոնի ազգային գերեզմանատանը:")</f>
        <v>Թեդ Քենեդին թաղվել է Վիրջինիա նահանգի Արլինգթոնի ազգային գերեզմանատանը:</v>
      </c>
    </row>
    <row r="3034">
      <c r="A3034" s="1" t="s">
        <v>5990</v>
      </c>
      <c r="B3034" s="2" t="s">
        <v>2325</v>
      </c>
      <c r="C3034" s="3" t="str">
        <f>IFERROR(__xludf.DUMMYFUNCTION("GOOGLETRANSLATE(A3034,""en"",""hy"")"),"որտեղի՞ց են այսօր գալիս Միացյալ Նահանգներում ներգաղթյալների մեծ մասը:")</f>
        <v>որտեղի՞ց են այսօր գալիս Միացյալ Նահանգներում ներգաղթյալների մեծ մասը:</v>
      </c>
      <c r="D3034" s="3" t="str">
        <f>IFERROR(__xludf.DUMMYFUNCTION("GOOGLETRANSLATE(B3034,""en"",""hy"")"),"Մեքսիկա.")</f>
        <v>Մեքսիկա.</v>
      </c>
    </row>
    <row r="3035">
      <c r="A3035" s="1" t="s">
        <v>5991</v>
      </c>
      <c r="B3035" s="2" t="s">
        <v>5992</v>
      </c>
      <c r="C3035" s="3" t="str">
        <f>IFERROR(__xludf.DUMMYFUNCTION("GOOGLETRANSLATE(A3035,""en"",""hy"")"),"Ո՞ր նահանգն է գտնվում Տորոնտոն:")</f>
        <v>Ո՞ր նահանգն է գտնվում Տորոնտոն:</v>
      </c>
      <c r="D3035" s="3" t="str">
        <f>IFERROR(__xludf.DUMMYFUNCTION("GOOGLETRANSLATE(B3035,""en"",""hy"")"),"Տորոնտոն գտնվում է Կանադայի Օնտարիո նահանգում։")</f>
        <v>Տորոնտոն գտնվում է Կանադայի Օնտարիո նահանգում։</v>
      </c>
    </row>
    <row r="3036">
      <c r="A3036" s="1" t="s">
        <v>5993</v>
      </c>
      <c r="B3036" s="2" t="s">
        <v>5994</v>
      </c>
      <c r="C3036" s="3" t="str">
        <f>IFERROR(__xludf.DUMMYFUNCTION("GOOGLETRANSLATE(A3036,""en"",""hy"")"),"որտե՞ղ է բժիշկ Մարտին Լյութեր Քինգը ստացել իր դոկտորական կոչումը:")</f>
        <v>որտե՞ղ է բժիշկ Մարտին Լյութեր Քինգը ստացել իր դոկտորական կոչումը:</v>
      </c>
      <c r="D3036" s="3" t="str">
        <f>IFERROR(__xludf.DUMMYFUNCTION("GOOGLETRANSLATE(B3036,""en"",""hy"")"),"Դոկտոր Մարտին Լյութեր Քինգ կրտսերը իր դոկտորի կոչումն է ստացել Բոստոնի համալսարանում։")</f>
        <v>Դոկտոր Մարտին Լյութեր Քինգ կրտսերը իր դոկտորի կոչումն է ստացել Բոստոնի համալսարանում։</v>
      </c>
    </row>
    <row r="3037">
      <c r="A3037" s="1" t="s">
        <v>5995</v>
      </c>
      <c r="B3037" s="2" t="s">
        <v>5996</v>
      </c>
      <c r="C3037" s="3" t="str">
        <f>IFERROR(__xludf.DUMMYFUNCTION("GOOGLETRANSLATE(A3037,""en"",""hy"")"),"ով է ներկայումս Վայոմինգի նահանգապետը:")</f>
        <v>ով է ներկայումս Վայոմինգի նահանգապետը:</v>
      </c>
      <c r="D3037" s="3" t="str">
        <f>IFERROR(__xludf.DUMMYFUNCTION("GOOGLETRANSLATE(B3037,""en"",""hy"")"),"Վայոմինգի ներկայիս նահանգապետը Մարկ Գորդոնն է։")</f>
        <v>Վայոմինգի ներկայիս նահանգապետը Մարկ Գորդոնն է։</v>
      </c>
    </row>
    <row r="3038">
      <c r="A3038" s="1" t="s">
        <v>5997</v>
      </c>
      <c r="B3038" s="2" t="s">
        <v>5998</v>
      </c>
      <c r="C3038" s="3" t="str">
        <f>IFERROR(__xludf.DUMMYFUNCTION("GOOGLETRANSLATE(A3038,""en"",""hy"")"),"ով էր հնդկական ազգային կոնգրեսի նախագահը:")</f>
        <v>ով էր հնդկական ազգային կոնգրեսի նախագահը:</v>
      </c>
      <c r="D3038" s="3" t="str">
        <f>IFERROR(__xludf.DUMMYFUNCTION("GOOGLETRANSLATE(B3038,""en"",""hy"")"),"Հնդկական ազգային կոնգրեսի նախագահը ներկայումս Սոնյա Գանդին է։")</f>
        <v>Հնդկական ազգային կոնգրեսի նախագահը ներկայումս Սոնյա Գանդին է։</v>
      </c>
    </row>
    <row r="3039">
      <c r="A3039" s="1" t="s">
        <v>5999</v>
      </c>
      <c r="B3039" s="2" t="s">
        <v>6000</v>
      </c>
      <c r="C3039" s="3" t="str">
        <f>IFERROR(__xludf.DUMMYFUNCTION("GOOGLETRANSLATE(A3039,""en"",""hy"")"),"որտեղ են ապրում Եգիպտոսի բնակիչների մեծ մասը:")</f>
        <v>որտեղ են ապրում Եգիպտոսի բնակիչների մեծ մասը:</v>
      </c>
      <c r="D3039" s="3" t="str">
        <f>IFERROR(__xludf.DUMMYFUNCTION("GOOGLETRANSLATE(B3039,""en"",""hy"")"),"Եգիպտոսի բնակիչների մեծ մասն ապրում է քաղաքային վայրերում, մասնավորապես Նեղոս գետի երկայնքով գտնվող քաղաքներում, ինչպիսիք են Կահիրեը և Ալեքսանդրիան:")</f>
        <v>Եգիպտոսի բնակիչների մեծ մասն ապրում է քաղաքային վայրերում, մասնավորապես Նեղոս գետի երկայնքով գտնվող քաղաքներում, ինչպիսիք են Կահիրեը և Ալեքսանդրիան:</v>
      </c>
    </row>
    <row r="3040">
      <c r="A3040" s="1" t="s">
        <v>6001</v>
      </c>
      <c r="B3040" s="2" t="s">
        <v>6002</v>
      </c>
      <c r="C3040" s="3" t="str">
        <f>IFERROR(__xludf.DUMMYFUNCTION("GOOGLETRANSLATE(A3040,""en"",""hy"")"),"որտեղ է մեծացել Բենջամին Ֆրանկլինը:")</f>
        <v>որտեղ է մեծացել Բենջամին Ֆրանկլինը:</v>
      </c>
      <c r="D3040" s="3" t="str">
        <f>IFERROR(__xludf.DUMMYFUNCTION("GOOGLETRANSLATE(B3040,""en"",""hy"")"),"Բենջամին Ֆրանկլինը մեծացել է Բոստոնում, Մասաչուսեթս:")</f>
        <v>Բենջամին Ֆրանկլինը մեծացել է Բոստոնում, Մասաչուսեթս:</v>
      </c>
    </row>
    <row r="3041">
      <c r="A3041" s="1" t="s">
        <v>6003</v>
      </c>
      <c r="B3041" s="2" t="s">
        <v>1767</v>
      </c>
      <c r="C3041" s="3" t="str">
        <f>IFERROR(__xludf.DUMMYFUNCTION("GOOGLETRANSLATE(A3041,""en"",""hy"")"),"ի՞նչ լեզու են օգտագործում եգիպտացիները:")</f>
        <v>ի՞նչ լեզու են օգտագործում եգիպտացիները:</v>
      </c>
      <c r="D3041" s="3" t="str">
        <f>IFERROR(__xludf.DUMMYFUNCTION("GOOGLETRANSLATE(B3041,""en"",""hy"")"),"արաբերեն")</f>
        <v>արաբերեն</v>
      </c>
    </row>
    <row r="3042">
      <c r="A3042" s="1" t="s">
        <v>6004</v>
      </c>
      <c r="B3042" s="2" t="s">
        <v>6005</v>
      </c>
      <c r="C3042" s="3" t="str">
        <f>IFERROR(__xludf.DUMMYFUNCTION("GOOGLETRANSLATE(A3042,""en"",""hy"")"),"որտեղ մարդիկ խոսում են բիրմայերեն:")</f>
        <v>որտեղ մարդիկ խոսում են բիրմայերեն:</v>
      </c>
      <c r="D3042" s="3" t="str">
        <f>IFERROR(__xludf.DUMMYFUNCTION("GOOGLETRANSLATE(B3042,""en"",""hy"")"),"Մարդիկ խոսում են բիրմայերեն հիմնականում Մյանմայում (նախկինում հայտնի էր որպես Բիրմա):")</f>
        <v>Մարդիկ խոսում են բիրմայերեն հիմնականում Մյանմայում (նախկինում հայտնի էր որպես Բիրմա):</v>
      </c>
    </row>
    <row r="3043">
      <c r="A3043" s="1" t="s">
        <v>6006</v>
      </c>
      <c r="B3043" s="2" t="s">
        <v>6007</v>
      </c>
      <c r="C3043" s="3" t="str">
        <f>IFERROR(__xludf.DUMMYFUNCTION("GOOGLETRANSLATE(A3043,""en"",""hy"")"),"ինչ փող ունեն նրանք Իտալիայում")</f>
        <v>ինչ փող ունեն նրանք Իտալիայում</v>
      </c>
      <c r="D3043" s="3" t="str">
        <f>IFERROR(__xludf.DUMMYFUNCTION("GOOGLETRANSLATE(B3043,""en"",""hy"")"),"Իտալիայում օգտագործվող արժույթը եվրոն է։")</f>
        <v>Իտալիայում օգտագործվող արժույթը եվրոն է։</v>
      </c>
    </row>
    <row r="3044">
      <c r="A3044" s="1" t="s">
        <v>6008</v>
      </c>
      <c r="B3044" s="2" t="s">
        <v>6009</v>
      </c>
      <c r="C3044" s="3" t="str">
        <f>IFERROR(__xludf.DUMMYFUNCTION("GOOGLETRANSLATE(A3044,""en"",""hy"")"),"ինչ է Ֆիբի Հալիվելի իսկական անունը:")</f>
        <v>ինչ է Ֆիբի Հալիվելի իսկական անունը:</v>
      </c>
      <c r="D3044" s="3" t="str">
        <f>IFERROR(__xludf.DUMMYFUNCTION("GOOGLETRANSLATE(B3044,""en"",""hy"")"),"Ալիսա Միլանո")</f>
        <v>Ալիսա Միլանո</v>
      </c>
    </row>
    <row r="3045">
      <c r="A3045" s="1" t="s">
        <v>6010</v>
      </c>
      <c r="B3045" s="2" t="s">
        <v>6011</v>
      </c>
      <c r="C3045" s="3" t="str">
        <f>IFERROR(__xludf.DUMMYFUNCTION("GOOGLETRANSLATE(A3045,""en"",""hy"")"),"ինչպես է կոչվում Իսպանիայի մայրաքաղաքը")</f>
        <v>ինչպես է կոչվում Իսպանիայի մայրաքաղաքը</v>
      </c>
      <c r="D3045" s="3" t="str">
        <f>IFERROR(__xludf.DUMMYFUNCTION("GOOGLETRANSLATE(B3045,""en"",""hy"")"),"Մադրիդ")</f>
        <v>Մադրիդ</v>
      </c>
    </row>
    <row r="3046">
      <c r="A3046" s="1" t="s">
        <v>6012</v>
      </c>
      <c r="B3046" s="2" t="s">
        <v>6013</v>
      </c>
      <c r="C3046" s="3" t="str">
        <f>IFERROR(__xludf.DUMMYFUNCTION("GOOGLETRANSLATE(A3046,""en"",""hy"")"),"ինչպես են կոչվում Աֆղանստանի փողերը")</f>
        <v>ինչպես են կոչվում Աֆղանստանի փողերը</v>
      </c>
      <c r="D3046" s="3" t="str">
        <f>IFERROR(__xludf.DUMMYFUNCTION("GOOGLETRANSLATE(B3046,""en"",""hy"")"),"Աֆղանստանի արժույթը կոչվում է աֆղանական աֆղան:")</f>
        <v>Աֆղանստանի արժույթը կոչվում է աֆղանական աֆղան:</v>
      </c>
    </row>
    <row r="3047">
      <c r="A3047" s="1" t="s">
        <v>6014</v>
      </c>
      <c r="B3047" s="2" t="s">
        <v>6015</v>
      </c>
      <c r="C3047" s="3" t="str">
        <f>IFERROR(__xludf.DUMMYFUNCTION("GOOGLETRANSLATE(A3047,""en"",""hy"")"),"ի՞նչ են ասում Աստվածաշնչի մարդիկ Հիսուսի մասին:")</f>
        <v>ի՞նչ են ասում Աստվածաշնչի մարդիկ Հիսուսի մասին:</v>
      </c>
      <c r="D3047" s="3" t="str">
        <f>IFERROR(__xludf.DUMMYFUNCTION("GOOGLETRANSLATE(B3047,""en"",""hy"")"),"Աստվածաշնչում որոշ մարդիկ հավատում էին, որ Հիսուսը երկար սպասված Մեսիան է՝ Աստծո Որդին, և հավատացին նրան: Մյուսները չէին հավատում կամ մերժում նրան։")</f>
        <v>Աստվածաշնչում որոշ մարդիկ հավատում էին, որ Հիսուսը երկար սպասված Մեսիան է՝ Աստծո Որդին, և հավատացին նրան: Մյուսները չէին հավատում կամ մերժում նրան։</v>
      </c>
    </row>
    <row r="3048">
      <c r="A3048" s="1" t="s">
        <v>6016</v>
      </c>
      <c r="B3048" s="2" t="s">
        <v>6017</v>
      </c>
      <c r="C3048" s="3" t="str">
        <f>IFERROR(__xludf.DUMMYFUNCTION("GOOGLETRANSLATE(A3048,""en"",""hy"")"),"ի՞նչը բերեց Օսմանյան կայսրության անկմանը.")</f>
        <v>ի՞նչը բերեց Օսմանյան կայսրության անկմանը.</v>
      </c>
      <c r="D3048" s="3" t="str">
        <f>IFERROR(__xludf.DUMMYFUNCTION("GOOGLETRANSLATE(B3048,""en"",""hy"")"),"Օսմանյան կայսրության անկումը հիմնականում պայմանավորված էր ներքին քայքայման և արտաքին ճնշումների համակցությամբ, ինչպիսիք են ռազմական պարտությունները և ազգայնական շարժումները:")</f>
        <v>Օսմանյան կայսրության անկումը հիմնականում պայմանավորված էր ներքին քայքայման և արտաքին ճնշումների համակցությամբ, ինչպիսիք են ռազմական պարտությունները և ազգայնական շարժումները:</v>
      </c>
    </row>
    <row r="3049">
      <c r="A3049" s="1" t="s">
        <v>6018</v>
      </c>
      <c r="B3049" s="2" t="s">
        <v>6019</v>
      </c>
      <c r="C3049" s="3" t="str">
        <f>IFERROR(__xludf.DUMMYFUNCTION("GOOGLETRANSLATE(A3049,""en"",""hy"")"),"որտեղ են գտնվում facebook-ի կենտրոնակայանը:")</f>
        <v>որտեղ են գտնվում facebook-ի կենտրոնակայանը:</v>
      </c>
      <c r="D3049" s="3" t="str">
        <f>IFERROR(__xludf.DUMMYFUNCTION("GOOGLETRANSLATE(B3049,""en"",""hy"")"),"Facebook-ի կենտրոնակայանը գտնվում է Կալիֆորնիայի Մենլո Պարկում։")</f>
        <v>Facebook-ի կենտրոնակայանը գտնվում է Կալիֆորնիայի Մենլո Պարկում։</v>
      </c>
    </row>
    <row r="3050">
      <c r="A3050" s="1" t="s">
        <v>6020</v>
      </c>
      <c r="B3050" s="2" t="s">
        <v>6021</v>
      </c>
      <c r="C3050" s="3" t="str">
        <f>IFERROR(__xludf.DUMMYFUNCTION("GOOGLETRANSLATE(A3050,""en"",""hy"")"),"ինչպիսի՞ն էր հռոմեական քաղաքական համակարգը:")</f>
        <v>ինչպիսի՞ն էր հռոմեական քաղաքական համակարգը:</v>
      </c>
      <c r="D3050" s="3" t="str">
        <f>IFERROR(__xludf.DUMMYFUNCTION("GOOGLETRANSLATE(B3050,""en"",""hy"")"),"Հռոմեական քաղաքական համակարգը հանրապետություն էր, որտեղ քաղաքացիները կառավարությանը մասնակցում էին ընտրված պաշտոնյաների միջոցով։")</f>
        <v>Հռոմեական քաղաքական համակարգը հանրապետություն էր, որտեղ քաղաքացիները կառավարությանը մասնակցում էին ընտրված պաշտոնյաների միջոցով։</v>
      </c>
    </row>
    <row r="3051">
      <c r="A3051" s="1" t="s">
        <v>6022</v>
      </c>
      <c r="B3051" s="2" t="s">
        <v>6023</v>
      </c>
      <c r="C3051" s="3" t="str">
        <f>IFERROR(__xludf.DUMMYFUNCTION("GOOGLETRANSLATE(A3051,""en"",""hy"")"),"ինչով է հայտնի Ատլանտա Գան:")</f>
        <v>ինչով է հայտնի Ատլանտա Գան:</v>
      </c>
      <c r="D3051" s="3" t="str">
        <f>IFERROR(__xludf.DUMMYFUNCTION("GOOGLETRANSLATE(B3051,""en"",""hy"")"),"Ատլանտա նահանգը հայտնի է Քաղաքացիական իրավունքների շարժման մեջ իր դերակատարմամբ՝ լինելով Մարտին Լյութեր Քինգ կրտսերի ծննդավայրը և հյուրընկալելով 1996 թվականի ամառային օլիմպիական խաղերը։")</f>
        <v>Ատլանտա նահանգը հայտնի է Քաղաքացիական իրավունքների շարժման մեջ իր դերակատարմամբ՝ լինելով Մարտին Լյութեր Քինգ կրտսերի ծննդավայրը և հյուրընկալելով 1996 թվականի ամառային օլիմպիական խաղերը։</v>
      </c>
    </row>
    <row r="3052">
      <c r="A3052" s="1" t="s">
        <v>6024</v>
      </c>
      <c r="B3052" s="2" t="s">
        <v>6025</v>
      </c>
      <c r="C3052" s="3" t="str">
        <f>IFERROR(__xludf.DUMMYFUNCTION("GOOGLETRANSLATE(A3052,""en"",""hy"")"),"ինչ կառավարություն է Հյուսիսային Կորեան:")</f>
        <v>ինչ կառավարություն է Հյուսիսային Կորեան:</v>
      </c>
      <c r="D3052" s="3" t="str">
        <f>IFERROR(__xludf.DUMMYFUNCTION("GOOGLETRANSLATE(B3052,""en"",""hy"")"),"Հյուսիսային Կորեան կոմունիստական ​​կառավարություն է.")</f>
        <v>Հյուսիսային Կորեան կոմունիստական ​​կառավարություն է.</v>
      </c>
    </row>
    <row r="3053">
      <c r="A3053" s="1" t="s">
        <v>6026</v>
      </c>
      <c r="B3053" s="2" t="s">
        <v>6027</v>
      </c>
      <c r="C3053" s="3" t="str">
        <f>IFERROR(__xludf.DUMMYFUNCTION("GOOGLETRANSLATE(A3053,""en"",""hy"")"),"որտեղ է գտնվում Պեպսի կենտրոնը")</f>
        <v>որտեղ է գտնվում Պեպսի կենտրոնը</v>
      </c>
      <c r="D3053" s="3" t="str">
        <f>IFERROR(__xludf.DUMMYFUNCTION("GOOGLETRANSLATE(B3053,""en"",""hy"")"),"Pepsi Center-ը գտնվում է Կոլորադոյի Դենվեր քաղաքում:")</f>
        <v>Pepsi Center-ը գտնվում է Կոլորադոյի Դենվեր քաղաքում:</v>
      </c>
    </row>
    <row r="3054">
      <c r="A3054" s="1" t="s">
        <v>6028</v>
      </c>
      <c r="B3054" s="2" t="s">
        <v>6029</v>
      </c>
      <c r="C3054" s="3" t="str">
        <f>IFERROR(__xludf.DUMMYFUNCTION("GOOGLETRANSLATE(A3054,""en"",""hy"")"),"ով է խաղում Հերմիոն Գրեյնջերը:")</f>
        <v>ով է խաղում Հերմիոն Գրեյնջերը:</v>
      </c>
      <c r="D3054" s="3" t="str">
        <f>IFERROR(__xludf.DUMMYFUNCTION("GOOGLETRANSLATE(B3054,""en"",""hy"")"),"Էմմա Ուոթսոն")</f>
        <v>Էմմա Ուոթսոն</v>
      </c>
    </row>
    <row r="3055">
      <c r="A3055" s="1" t="s">
        <v>6030</v>
      </c>
      <c r="B3055" s="2" t="s">
        <v>6031</v>
      </c>
      <c r="C3055" s="3" t="str">
        <f>IFERROR(__xludf.DUMMYFUNCTION("GOOGLETRANSLATE(A3055,""en"",""hy"")"),"ինչը ոգեշնչեց մ.կ. Էշերը նկարիչ դառնա՞")</f>
        <v>ինչը ոգեշնչեց մ.կ. Էշերը նկարիչ դառնա՞</v>
      </c>
      <c r="D3055" s="3" t="str">
        <f>IFERROR(__xludf.DUMMYFUNCTION("GOOGLETRANSLATE(B3055,""en"",""hy"")"),"Էշերը նկարիչ դառնալու համար ոգեշնչվել է բնությունից, մաթեմատիկայից և այլ նկարիչների գործերից:")</f>
        <v>Էշերը նկարիչ դառնալու համար ոգեշնչվել է բնությունից, մաթեմատիկայից և այլ նկարիչների գործերից:</v>
      </c>
    </row>
    <row r="3056">
      <c r="A3056" s="1" t="s">
        <v>6032</v>
      </c>
      <c r="B3056" s="2" t="s">
        <v>6033</v>
      </c>
      <c r="C3056" s="3" t="str">
        <f>IFERROR(__xludf.DUMMYFUNCTION("GOOGLETRANSLATE(A3056,""en"",""hy"")"),"Որտե՞ղ է Արուբայում մնալու լավագույն վայրը:")</f>
        <v>Որտե՞ղ է Արուբայում մնալու լավագույն վայրը:</v>
      </c>
      <c r="D3056" s="3" t="str">
        <f>IFERROR(__xludf.DUMMYFUNCTION("GOOGLETRANSLATE(B3056,""en"",""hy"")"),"Արուբայում մնալու լավագույն վայրը կախված է ձեր նախասիրություններից և այն բանից, թե ինչ եք փնտրում արձակուրդում: Արուբայում մնալու որոշ հայտնի տարածքներ ներառում են Պալմ Բիչ, Իգլ Բիչ և Օրանջեստադ:")</f>
        <v>Արուբայում մնալու լավագույն վայրը կախված է ձեր նախասիրություններից և այն բանից, թե ինչ եք փնտրում արձակուրդում: Արուբայում մնալու որոշ հայտնի տարածքներ ներառում են Պալմ Բիչ, Իգլ Բիչ և Օրանջեստադ:</v>
      </c>
    </row>
    <row r="3057">
      <c r="A3057" s="1" t="s">
        <v>6034</v>
      </c>
      <c r="B3057" s="2" t="s">
        <v>6035</v>
      </c>
      <c r="C3057" s="3" t="str">
        <f>IFERROR(__xludf.DUMMYFUNCTION("GOOGLETRANSLATE(A3057,""en"",""hy"")"),"Ե՞րբ է Աբրահամ Լինքոլնը ազատել ստրուկներին:")</f>
        <v>Ե՞րբ է Աբրահամ Լինքոլնը ազատել ստրուկներին:</v>
      </c>
      <c r="D3057" s="3" t="str">
        <f>IFERROR(__xludf.DUMMYFUNCTION("GOOGLETRANSLATE(B3057,""en"",""hy"")"),"Աբրահամ Լինքոլնը 1863 թվականի հունվարի 1-ին հրապարակեց ազատագրման հռչակագիրը:")</f>
        <v>Աբրահամ Լինքոլնը 1863 թվականի հունվարի 1-ին հրապարակեց ազատագրման հռչակագիրը:</v>
      </c>
    </row>
    <row r="3058">
      <c r="A3058" s="1" t="s">
        <v>6036</v>
      </c>
      <c r="B3058" s="2" t="s">
        <v>6037</v>
      </c>
      <c r="C3058" s="3" t="str">
        <f>IFERROR(__xludf.DUMMYFUNCTION("GOOGLETRANSLATE(A3058,""en"",""hy"")"),"Ո՞ր կոմսությունում է գտնվում Դենվեր Կոլորադոն:")</f>
        <v>Ո՞ր կոմսությունում է գտնվում Դենվեր Կոլորադոն:</v>
      </c>
      <c r="D3058" s="3" t="str">
        <f>IFERROR(__xludf.DUMMYFUNCTION("GOOGLETRANSLATE(B3058,""en"",""hy"")"),"Denver, Colorado գտնվում է Դենվեր շրջան։")</f>
        <v>Denver, Colorado գտնվում է Դենվեր շրջան։</v>
      </c>
    </row>
    <row r="3059">
      <c r="A3059" s="1" t="s">
        <v>6038</v>
      </c>
      <c r="B3059" s="2">
        <v>2014.0</v>
      </c>
      <c r="C3059" s="3" t="str">
        <f>IFERROR(__xludf.DUMMYFUNCTION("GOOGLETRANSLATE(A3059,""en"",""hy"")"),"Ո՞ր տարին են հսկաները հաղթել համաշխարհային սերիաներում:")</f>
        <v>Ո՞ր տարին են հսկաները հաղթել համաշխարհային սերիաներում:</v>
      </c>
      <c r="D3059" s="3" t="str">
        <f>IFERROR(__xludf.DUMMYFUNCTION("GOOGLETRANSLATE(B3059,""en"",""hy"")"),"2014 թ")</f>
        <v>2014 թ</v>
      </c>
    </row>
    <row r="3060">
      <c r="A3060" s="1" t="s">
        <v>6039</v>
      </c>
      <c r="B3060" s="2" t="s">
        <v>6040</v>
      </c>
      <c r="C3060" s="3" t="str">
        <f>IFERROR(__xludf.DUMMYFUNCTION("GOOGLETRANSLATE(A3060,""en"",""hy"")"),"ինչպիսի՞ իշխանություն ունի Իրանը")</f>
        <v>ինչպիսի՞ իշխանություն ունի Իրանը</v>
      </c>
      <c r="D3060" s="3" t="str">
        <f>IFERROR(__xludf.DUMMYFUNCTION("GOOGLETRANSLATE(B3060,""en"",""hy"")"),"Իրանը Իսլամական Հանրապետություն է.")</f>
        <v>Իրանը Իսլամական Հանրապետություն է.</v>
      </c>
    </row>
    <row r="3061">
      <c r="A3061" s="1" t="s">
        <v>6041</v>
      </c>
      <c r="B3061" s="2" t="s">
        <v>6042</v>
      </c>
      <c r="C3061" s="3" t="str">
        <f>IFERROR(__xludf.DUMMYFUNCTION("GOOGLETRANSLATE(A3061,""en"",""hy"")"),"ով է Seattle Seahawks-ի մեկնարկային քառորդը:")</f>
        <v>ով է Seattle Seahawks-ի մեկնարկային քառորդը:</v>
      </c>
      <c r="D3061" s="3" t="str">
        <f>IFERROR(__xludf.DUMMYFUNCTION("GOOGLETRANSLATE(B3061,""en"",""hy"")"),"Ռասել Ուիլսոն.")</f>
        <v>Ռասել Ուիլսոն.</v>
      </c>
    </row>
    <row r="3062">
      <c r="A3062" s="1" t="s">
        <v>6043</v>
      </c>
      <c r="B3062" s="2" t="s">
        <v>6044</v>
      </c>
      <c r="C3062" s="3" t="str">
        <f>IFERROR(__xludf.DUMMYFUNCTION("GOOGLETRANSLATE(A3062,""en"",""hy"")"),"որտեղ է ապրում մետալիկա խումբը")</f>
        <v>որտեղ է ապրում մետալիկա խումբը</v>
      </c>
      <c r="D3062" s="3" t="str">
        <f>IFERROR(__xludf.DUMMYFUNCTION("GOOGLETRANSLATE(B3062,""en"",""hy"")"),"Metallica-ի անդամները բնակվում են տարբեր վայրերում, սակայն նրանց տունը գտնվում է Սան Ֆրանցիսկոյում, Կալիֆորնիա:")</f>
        <v>Metallica-ի անդամները բնակվում են տարբեր վայրերում, սակայն նրանց տունը գտնվում է Սան Ֆրանցիսկոյում, Կալիֆորնիա:</v>
      </c>
    </row>
    <row r="3063">
      <c r="A3063" s="1" t="s">
        <v>6045</v>
      </c>
      <c r="B3063" s="2" t="s">
        <v>6046</v>
      </c>
      <c r="C3063" s="3" t="str">
        <f>IFERROR(__xludf.DUMMYFUNCTION("GOOGLETRANSLATE(A3063,""en"",""hy"")"),"Ե՞րբ է Մելբուրնը ստացել իր անունը:")</f>
        <v>Ե՞րբ է Մելբուրնը ստացել իր անունը:</v>
      </c>
      <c r="D3063" s="3" t="str">
        <f>IFERROR(__xludf.DUMMYFUNCTION("GOOGLETRANSLATE(B3063,""en"",""hy"")"),"Մելբուրնն անվանվել է 1837թ.")</f>
        <v>Մելբուրնն անվանվել է 1837թ.</v>
      </c>
    </row>
    <row r="3064">
      <c r="A3064" s="1" t="s">
        <v>6047</v>
      </c>
      <c r="B3064" s="2" t="s">
        <v>6048</v>
      </c>
      <c r="C3064" s="3" t="str">
        <f>IFERROR(__xludf.DUMMYFUNCTION("GOOGLETRANSLATE(A3064,""en"",""hy"")"),"ով է Շանյա Թվենի ամուսինը")</f>
        <v>ով է Շանյա Թվենի ամուսինը</v>
      </c>
      <c r="D3064" s="3" t="str">
        <f>IFERROR(__xludf.DUMMYFUNCTION("GOOGLETRANSLATE(B3064,""en"",""hy"")"),"Շանյա Տվենի ամուսինը Ֆրեդերիկ Թիեբոն է։")</f>
        <v>Շանյա Տվենի ամուսինը Ֆրեդերիկ Թիեբոն է։</v>
      </c>
    </row>
    <row r="3065">
      <c r="A3065" s="1" t="s">
        <v>6049</v>
      </c>
      <c r="B3065" s="2" t="s">
        <v>6050</v>
      </c>
      <c r="C3065" s="3" t="str">
        <f>IFERROR(__xludf.DUMMYFUNCTION("GOOGLETRANSLATE(A3065,""en"",""hy"")"),"ով է խաղում Ջեյսոն Գիդեոնի դերը")</f>
        <v>ով է խաղում Ջեյսոն Գիդեոնի դերը</v>
      </c>
      <c r="D3065" s="3" t="str">
        <f>IFERROR(__xludf.DUMMYFUNCTION("GOOGLETRANSLATE(B3065,""en"",""hy"")"),"Մենդի Պատինկինը մարմնավորում է Ջեյսոն Գիդեոնին։")</f>
        <v>Մենդի Պատինկինը մարմնավորում է Ջեյսոն Գիդեոնին։</v>
      </c>
    </row>
    <row r="3066">
      <c r="A3066" s="1" t="s">
        <v>6051</v>
      </c>
      <c r="B3066" s="2" t="s">
        <v>1625</v>
      </c>
      <c r="C3066" s="3" t="str">
        <f>IFERROR(__xludf.DUMMYFUNCTION("GOOGLETRANSLATE(A3066,""en"",""hy"")"),"Ո՞ր նահանգում է գտնվում Կանադան Տորոնտոն:")</f>
        <v>Ո՞ր նահանգում է գտնվում Կանադան Տորոնտոն:</v>
      </c>
      <c r="D3066" s="3" t="str">
        <f>IFERROR(__xludf.DUMMYFUNCTION("GOOGLETRANSLATE(B3066,""en"",""hy"")"),"Օնտարիո.")</f>
        <v>Օնտարիո.</v>
      </c>
    </row>
    <row r="3067">
      <c r="A3067" s="1" t="s">
        <v>6052</v>
      </c>
      <c r="B3067" s="2" t="s">
        <v>6053</v>
      </c>
      <c r="C3067" s="3" t="str">
        <f>IFERROR(__xludf.DUMMYFUNCTION("GOOGLETRANSLATE(A3067,""en"",""hy"")"),"որտե՞ղ է նախագահ Էյզենհաուերը գնացել քոլեջ:")</f>
        <v>որտե՞ղ է նախագահ Էյզենհաուերը գնացել քոլեջ:</v>
      </c>
      <c r="D3067" s="3" t="str">
        <f>IFERROR(__xludf.DUMMYFUNCTION("GOOGLETRANSLATE(B3067,""en"",""hy"")"),"Նախագահ Էյզենհաուերը սովորել է Վեսթ Փոյնթում գտնվող Միացյալ Նահանգների ռազմական ակադեմիայի քոլեջում:")</f>
        <v>Նախագահ Էյզենհաուերը սովորել է Վեսթ Փոյնթում գտնվող Միացյալ Նահանգների ռազմական ակադեմիայի քոլեջում:</v>
      </c>
    </row>
    <row r="3068">
      <c r="A3068" s="1" t="s">
        <v>6054</v>
      </c>
      <c r="B3068" s="2" t="s">
        <v>6055</v>
      </c>
      <c r="C3068" s="3" t="str">
        <f>IFERROR(__xludf.DUMMYFUNCTION("GOOGLETRANSLATE(A3068,""en"",""hy"")"),"որո՞նք են իսլամի աստվածները")</f>
        <v>որո՞նք են իսլամի աստվածները</v>
      </c>
      <c r="D3068" s="3" t="str">
        <f>IFERROR(__xludf.DUMMYFUNCTION("GOOGLETRANSLATE(B3068,""en"",""hy"")"),"Իսլամի աստվածները Ալլահն են:")</f>
        <v>Իսլամի աստվածները Ալլահն են:</v>
      </c>
    </row>
    <row r="3069">
      <c r="A3069" s="1" t="s">
        <v>6056</v>
      </c>
      <c r="B3069" s="2" t="s">
        <v>6057</v>
      </c>
      <c r="C3069" s="3" t="str">
        <f>IFERROR(__xludf.DUMMYFUNCTION("GOOGLETRANSLATE(A3069,""en"",""hy"")"),"ո՞րն էր Վասկո Նունես դե Բալբոան իր ճանապարհորդության սկզբնական նպատակը:")</f>
        <v>ո՞րն էր Վասկո Նունես դե Բալբոան իր ճանապարհորդության սկզբնական նպատակը:</v>
      </c>
      <c r="D3069" s="3" t="str">
        <f>IFERROR(__xludf.DUMMYFUNCTION("GOOGLETRANSLATE(B3069,""en"",""hy"")"),"Վասկո Նունյես դե Բալբոայի իր ճանապարհորդության սկզբնական նպատակը Խաղաղ օվկիանոս տանող երթուղի գտնելն էր:")</f>
        <v>Վասկո Նունյես դե Բալբոայի իր ճանապարհորդության սկզբնական նպատակը Խաղաղ օվկիանոս տանող երթուղի գտնելն էր:</v>
      </c>
    </row>
    <row r="3070">
      <c r="A3070" s="1" t="s">
        <v>6058</v>
      </c>
      <c r="B3070" s="2" t="s">
        <v>6059</v>
      </c>
      <c r="C3070" s="3" t="str">
        <f>IFERROR(__xludf.DUMMYFUNCTION("GOOGLETRANSLATE(A3070,""en"",""hy"")"),"Ո՞ր թիմում է խաղացել Կական 2009 թվականին:")</f>
        <v>Ո՞ր թիմում է խաղացել Կական 2009 թվականին:</v>
      </c>
      <c r="D3070" s="3" t="str">
        <f>IFERROR(__xludf.DUMMYFUNCTION("GOOGLETRANSLATE(B3070,""en"",""hy"")"),"Ռեալ Մադրիդ.")</f>
        <v>Ռեալ Մադրիդ.</v>
      </c>
    </row>
    <row r="3071">
      <c r="A3071" s="1" t="s">
        <v>6060</v>
      </c>
      <c r="B3071" s="2" t="s">
        <v>6061</v>
      </c>
      <c r="C3071" s="3" t="str">
        <f>IFERROR(__xludf.DUMMYFUNCTION("GOOGLETRANSLATE(A3071,""en"",""hy"")"),"ինչ քաղաքական համակարգ է Չինաստանում.")</f>
        <v>ինչ քաղաքական համակարգ է Չինաստանում.</v>
      </c>
      <c r="D3071" s="3" t="str">
        <f>IFERROR(__xludf.DUMMYFUNCTION("GOOGLETRANSLATE(B3071,""en"",""hy"")"),"Չինաստանում քաղաքական համակարգը միակուսակցական սոցիալիստական ​​պետություն է։")</f>
        <v>Չինաստանում քաղաքական համակարգը միակուսակցական սոցիալիստական ​​պետություն է։</v>
      </c>
    </row>
    <row r="3072">
      <c r="A3072" s="1" t="s">
        <v>6062</v>
      </c>
      <c r="B3072" s="2" t="s">
        <v>6063</v>
      </c>
      <c r="C3072" s="3" t="str">
        <f>IFERROR(__xludf.DUMMYFUNCTION("GOOGLETRANSLATE(A3072,""en"",""hy"")"),"Ո՞վ է խաղացել Ջորջ Ջեֆերսոնի դերը ընտանիքում:")</f>
        <v>Ո՞վ է խաղացել Ջորջ Ջեֆերսոնի դերը ընտանիքում:</v>
      </c>
      <c r="D3072" s="3" t="str">
        <f>IFERROR(__xludf.DUMMYFUNCTION("GOOGLETRANSLATE(B3072,""en"",""hy"")"),"Շերման Հեմսլի.")</f>
        <v>Շերման Հեմսլի.</v>
      </c>
    </row>
    <row r="3073">
      <c r="A3073" s="1" t="s">
        <v>6064</v>
      </c>
      <c r="B3073" s="2" t="s">
        <v>6065</v>
      </c>
      <c r="C3073" s="3" t="str">
        <f>IFERROR(__xludf.DUMMYFUNCTION("GOOGLETRANSLATE(A3073,""en"",""hy"")"),"ինչ կիթառ է նվագել Կլեպտոնը")</f>
        <v>ինչ կիթառ է նվագել Կլեպտոնը</v>
      </c>
      <c r="D3073" s="3" t="str">
        <f>IFERROR(__xludf.DUMMYFUNCTION("GOOGLETRANSLATE(B3073,""en"",""hy"")"),"Էրիկ Կլեպտոնն իր կարիերայի ընթացքում նվագել է տարբեր կիթառներ, այդ թվում՝ Fender Stratocasters, Gibson Les Pauls և Martin ակուստիկ կիթառներ։")</f>
        <v>Էրիկ Կլեպտոնն իր կարիերայի ընթացքում նվագել է տարբեր կիթառներ, այդ թվում՝ Fender Stratocasters, Gibson Les Pauls և Martin ակուստիկ կիթառներ։</v>
      </c>
    </row>
    <row r="3074">
      <c r="A3074" s="1" t="s">
        <v>6066</v>
      </c>
      <c r="B3074" s="2" t="s">
        <v>6067</v>
      </c>
      <c r="C3074" s="3" t="str">
        <f>IFERROR(__xludf.DUMMYFUNCTION("GOOGLETRANSLATE(A3074,""en"",""hy"")"),"ո՞ւմ հետ ամուսնացավ Աստվածաշնչի Հովսեփը:")</f>
        <v>ո՞ւմ հետ ամուսնացավ Աստվածաշնչի Հովսեփը:</v>
      </c>
      <c r="D3074" s="3" t="str">
        <f>IFERROR(__xludf.DUMMYFUNCTION("GOOGLETRANSLATE(B3074,""en"",""hy"")"),"Աստվածաշնչից Հովսեփն ամուսնացավ Մարիամի հետ:")</f>
        <v>Աստվածաշնչից Հովսեփն ամուսնացավ Մարիամի հետ:</v>
      </c>
    </row>
    <row r="3075">
      <c r="A3075" s="1" t="s">
        <v>6068</v>
      </c>
      <c r="B3075" s="2" t="s">
        <v>6069</v>
      </c>
      <c r="C3075" s="3" t="str">
        <f>IFERROR(__xludf.DUMMYFUNCTION("GOOGLETRANSLATE(A3075,""en"",""hy"")"),"ի՞նչ արեց սըր Ջոն Ֆրեդերիկ Ուիլյամ Հերշելը:")</f>
        <v>ի՞նչ արեց սըր Ջոն Ֆրեդերիկ Ուիլյամ Հերշելը:</v>
      </c>
      <c r="D3075" s="3" t="str">
        <f>IFERROR(__xludf.DUMMYFUNCTION("GOOGLETRANSLATE(B3075,""en"",""hy"")"),"Սըր Ջոն Ֆրեդերիկ Ուիլյամ Հերշելը անգլիացի պոլիմատոլոգ էր, որը հայտնի էր աստղագիտության, մաթեմատիկայի և լուսանկարչության մեջ իր նշանակալի ներդրումով։")</f>
        <v>Սըր Ջոն Ֆրեդերիկ Ուիլյամ Հերշելը անգլիացի պոլիմատոլոգ էր, որը հայտնի էր աստղագիտության, մաթեմատիկայի և լուսանկարչության մեջ իր նշանակալի ներդրումով։</v>
      </c>
    </row>
    <row r="3076">
      <c r="A3076" s="1" t="s">
        <v>6070</v>
      </c>
      <c r="B3076" s="2" t="s">
        <v>6071</v>
      </c>
      <c r="C3076" s="3" t="str">
        <f>IFERROR(__xludf.DUMMYFUNCTION("GOOGLETRANSLATE(A3076,""en"",""hy"")"),"ինչ է հայտնի մարդը Մասաչուսեթսից:")</f>
        <v>ինչ է հայտնի մարդը Մասաչուսեթսից:</v>
      </c>
      <c r="D3076" s="3" t="str">
        <f>IFERROR(__xludf.DUMMYFUNCTION("GOOGLETRANSLATE(B3076,""en"",""hy"")"),"Մարկ Ուոլբերգ.")</f>
        <v>Մարկ Ուոլբերգ.</v>
      </c>
    </row>
    <row r="3077">
      <c r="A3077" s="1" t="s">
        <v>6072</v>
      </c>
      <c r="B3077" s="2" t="s">
        <v>6073</v>
      </c>
      <c r="C3077" s="3" t="str">
        <f>IFERROR(__xludf.DUMMYFUNCTION("GOOGLETRANSLATE(A3077,""en"",""hy"")"),"ո՞ր քոլեջն է հաճախել Յովակիմ Նոյը:")</f>
        <v>ո՞ր քոլեջն է հաճախել Յովակիմ Նոյը:</v>
      </c>
      <c r="D3077" s="3" t="str">
        <f>IFERROR(__xludf.DUMMYFUNCTION("GOOGLETRANSLATE(B3077,""en"",""hy"")"),"Ջոակիմ Նոյը հաճախել է Ֆլորիդայի համալսարան:")</f>
        <v>Ջոակիմ Նոյը հաճախել է Ֆլորիդայի համալսարան:</v>
      </c>
    </row>
    <row r="3078">
      <c r="A3078" s="1" t="s">
        <v>6074</v>
      </c>
      <c r="B3078" s="2" t="s">
        <v>6075</v>
      </c>
      <c r="C3078" s="3" t="str">
        <f>IFERROR(__xludf.DUMMYFUNCTION("GOOGLETRANSLATE(A3078,""en"",""hy"")"),"Անդերսոն Կուպերը ո՞ր ալիքով է գալիս:")</f>
        <v>Անդերսոն Կուպերը ո՞ր ալիքով է գալիս:</v>
      </c>
      <c r="D3078" s="3" t="str">
        <f>IFERROR(__xludf.DUMMYFUNCTION("GOOGLETRANSLATE(B3078,""en"",""hy"")"),"Անդերսոն Կուպերը գալիս է CNN-ով։")</f>
        <v>Անդերսոն Կուպերը գալիս է CNN-ով։</v>
      </c>
    </row>
    <row r="3079">
      <c r="A3079" s="1" t="s">
        <v>6076</v>
      </c>
      <c r="B3079" s="2" t="s">
        <v>6077</v>
      </c>
      <c r="C3079" s="3" t="str">
        <f>IFERROR(__xludf.DUMMYFUNCTION("GOOGLETRANSLATE(A3079,""en"",""hy"")"),"ինչ փողեր են օգտագործում Չինաստանում")</f>
        <v>ինչ փողեր են օգտագործում Չինաստանում</v>
      </c>
      <c r="D3079" s="3" t="str">
        <f>IFERROR(__xludf.DUMMYFUNCTION("GOOGLETRANSLATE(B3079,""en"",""hy"")"),"Չինաստանում օգտագործվող արժույթը չինական յուանն է (CNY):")</f>
        <v>Չինաստանում օգտագործվող արժույթը չինական յուանն է (CNY):</v>
      </c>
    </row>
    <row r="3080">
      <c r="A3080" s="1" t="s">
        <v>6078</v>
      </c>
      <c r="B3080" s="2" t="s">
        <v>6079</v>
      </c>
      <c r="C3080" s="3" t="str">
        <f>IFERROR(__xludf.DUMMYFUNCTION("GOOGLETRANSLATE(A3080,""en"",""hy"")"),"որտեղ էր աշխատում Վասիլի Կանդինսկին:")</f>
        <v>որտեղ էր աշխատում Վասիլի Կանդինսկին:</v>
      </c>
      <c r="D3080" s="3" t="str">
        <f>IFERROR(__xludf.DUMMYFUNCTION("GOOGLETRANSLATE(B3080,""en"",""hy"")"),"Վասիլի Կանդինսկին իր կարիերայի ընթացքում աշխատել է տարբեր վայրերում, ներառյալ Ռուսաստանում, Գերմանիայում և Ֆրանսիայում:")</f>
        <v>Վասիլի Կանդինսկին իր կարիերայի ընթացքում աշխատել է տարբեր վայրերում, ներառյալ Ռուսաստանում, Գերմանիայում և Ֆրանսիայում:</v>
      </c>
    </row>
    <row r="3081">
      <c r="A3081" s="1" t="s">
        <v>6080</v>
      </c>
      <c r="B3081" s="2" t="s">
        <v>6081</v>
      </c>
      <c r="C3081" s="3" t="str">
        <f>IFERROR(__xludf.DUMMYFUNCTION("GOOGLETRANSLATE(A3081,""en"",""hy"")"),"որտեղ է ապրում Ջեբ Բուշը")</f>
        <v>որտեղ է ապրում Ջեբ Բուշը</v>
      </c>
      <c r="D3081" s="3" t="str">
        <f>IFERROR(__xludf.DUMMYFUNCTION("GOOGLETRANSLATE(B3081,""en"",""hy"")"),"Ջեբ Բուշն ապրում է Ֆլորիդայում։")</f>
        <v>Ջեբ Բուշն ապրում է Ֆլորիդայում։</v>
      </c>
    </row>
    <row r="3082">
      <c r="A3082" s="1" t="s">
        <v>6082</v>
      </c>
      <c r="B3082" s="2" t="s">
        <v>6083</v>
      </c>
      <c r="C3082" s="3" t="str">
        <f>IFERROR(__xludf.DUMMYFUNCTION("GOOGLETRANSLATE(A3082,""en"",""hy"")"),"ե՞րբ սկսվեց արաբական իսրայելական պատերազմը.")</f>
        <v>ե՞րբ սկսվեց արաբական իսրայելական պատերազմը.</v>
      </c>
      <c r="D3082" s="3" t="str">
        <f>IFERROR(__xludf.DUMMYFUNCTION("GOOGLETRANSLATE(B3082,""en"",""hy"")"),"Արաբա-իսրայելական պատերազմը սկսվել է 1948 թվականի մայիսի 15-ին։")</f>
        <v>Արաբա-իսրայելական պատերազմը սկսվել է 1948 թվականի մայիսի 15-ին։</v>
      </c>
    </row>
    <row r="3083">
      <c r="A3083" s="1" t="s">
        <v>6084</v>
      </c>
      <c r="B3083" s="2" t="s">
        <v>6085</v>
      </c>
      <c r="C3083" s="3" t="str">
        <f>IFERROR(__xludf.DUMMYFUNCTION("GOOGLETRANSLATE(A3083,""en"",""hy"")"),"ով է ազդել Մայքլ Ջեքսոնի վրա")</f>
        <v>ով է ազդել Մայքլ Ջեքսոնի վրա</v>
      </c>
      <c r="D3083" s="3" t="str">
        <f>IFERROR(__xludf.DUMMYFUNCTION("GOOGLETRANSLATE(B3083,""en"",""hy"")"),"Մի քանի արվեստագետներ ազդել են Մայքլ Ջեքսոնի վրա, այդ թվում՝ Ջեյմս Բրաունը, Ջեքի Ուիլսոնը և Ֆրեդ Ասթերը։")</f>
        <v>Մի քանի արվեստագետներ ազդել են Մայքլ Ջեքսոնի վրա, այդ թվում՝ Ջեյմս Բրաունը, Ջեքի Ուիլսոնը և Ֆրեդ Ասթերը։</v>
      </c>
    </row>
    <row r="3084">
      <c r="A3084" s="1" t="s">
        <v>6086</v>
      </c>
      <c r="B3084" s="2" t="s">
        <v>6087</v>
      </c>
      <c r="C3084" s="3" t="str">
        <f>IFERROR(__xludf.DUMMYFUNCTION("GOOGLETRANSLATE(A3084,""en"",""hy"")"),"որո՞նք են Հարավային Ամերիկայի բոլոր երկրները:")</f>
        <v>որո՞նք են Հարավային Ամերիկայի բոլոր երկրները:</v>
      </c>
      <c r="D3084" s="3" t="str">
        <f>IFERROR(__xludf.DUMMYFUNCTION("GOOGLETRANSLATE(B3084,""en"",""hy"")"),"Հարավային Ամերիկայի երկրներն են՝ Արգենտինան, Բոլիվիան, Բրազիլիան, Չիլին, Կոլումբիան, Էկվադորը, Գայանան, Պարագվայը, Պերուն, Սուրինամը, Ուրուգվայը և Վենեսուելան։")</f>
        <v>Հարավային Ամերիկայի երկրներն են՝ Արգենտինան, Բոլիվիան, Բրազիլիան, Չիլին, Կոլումբիան, Էկվադորը, Գայանան, Պարագվայը, Պերուն, Սուրինամը, Ուրուգվայը և Վենեսուելան։</v>
      </c>
    </row>
    <row r="3085">
      <c r="A3085" s="1" t="s">
        <v>6088</v>
      </c>
      <c r="B3085" s="2" t="s">
        <v>6089</v>
      </c>
      <c r="C3085" s="3" t="str">
        <f>IFERROR(__xludf.DUMMYFUNCTION("GOOGLETRANSLATE(A3085,""en"",""hy"")"),"ով էր ԽՍՀՄ ղեկավարը 1948թ.")</f>
        <v>ով էր ԽՍՀՄ ղեկավարը 1948թ.</v>
      </c>
      <c r="D3085" s="3" t="str">
        <f>IFERROR(__xludf.DUMMYFUNCTION("GOOGLETRANSLATE(B3085,""en"",""hy"")"),"Իոսիֆ Ստալին.")</f>
        <v>Իոսիֆ Ստալին.</v>
      </c>
    </row>
    <row r="3086">
      <c r="A3086" s="1" t="s">
        <v>6090</v>
      </c>
      <c r="B3086" s="2" t="s">
        <v>6091</v>
      </c>
      <c r="C3086" s="3" t="str">
        <f>IFERROR(__xludf.DUMMYFUNCTION("GOOGLETRANSLATE(A3086,""en"",""hy"")"),"ո՞ր երկիր է արտահանում Ճապոնիան")</f>
        <v>ո՞ր երկիր է արտահանում Ճապոնիան</v>
      </c>
      <c r="D3086" s="3" t="str">
        <f>IFERROR(__xludf.DUMMYFUNCTION("GOOGLETRANSLATE(B3086,""en"",""hy"")"),"Ճապոնիան արտահանում է տարբեր երկրներ, այդ թվում՝ ԱՄՆ, Չինաստան, Հարավային Կորեա և Ասիայի, Եվրոպայի և Հյուսիսային Ամերիկայի այլ երկրներ:")</f>
        <v>Ճապոնիան արտահանում է տարբեր երկրներ, այդ թվում՝ ԱՄՆ, Չինաստան, Հարավային Կորեա և Ասիայի, Եվրոպայի և Հյուսիսային Ամերիկայի այլ երկրներ:</v>
      </c>
    </row>
    <row r="3087">
      <c r="A3087" s="1" t="s">
        <v>6092</v>
      </c>
      <c r="B3087" s="2" t="s">
        <v>6093</v>
      </c>
      <c r="C3087" s="3" t="str">
        <f>IFERROR(__xludf.DUMMYFUNCTION("GOOGLETRANSLATE(A3087,""en"",""hy"")"),"ի՞նչ նավով է շրջել սըր Ֆրենսիս Դրեյքը:")</f>
        <v>ի՞նչ նավով է շրջել սըր Ֆրենսիս Դրեյքը:</v>
      </c>
      <c r="D3087" s="3" t="str">
        <f>IFERROR(__xludf.DUMMYFUNCTION("GOOGLETRANSLATE(B3087,""en"",""hy"")"),"Սըր Ֆրենսիս Դրեյքը ճանապարհորդել է Golden Hind կոչվող նավով:")</f>
        <v>Սըր Ֆրենսիս Դրեյքը ճանապարհորդել է Golden Hind կոչվող նավով:</v>
      </c>
    </row>
    <row r="3088">
      <c r="A3088" s="1" t="s">
        <v>6094</v>
      </c>
      <c r="B3088" s="2" t="s">
        <v>6095</v>
      </c>
      <c r="C3088" s="3" t="str">
        <f>IFERROR(__xludf.DUMMYFUNCTION("GOOGLETRANSLATE(A3088,""en"",""hy"")"),"ինչի՞ վրա էր խաղում Քելլի Մարտինը")</f>
        <v>ինչի՞ վրա էր խաղում Քելլի Մարտինը</v>
      </c>
      <c r="D3088" s="3" t="str">
        <f>IFERROR(__xludf.DUMMYFUNCTION("GOOGLETRANSLATE(B3088,""en"",""hy"")"),"Քելլի Մարտինը խաղացել է «Life Goes On» հեռուստաշոուում և «ER» բժշկական դրամայում։")</f>
        <v>Քելլի Մարտինը խաղացել է «Life Goes On» հեռուստաշոուում և «ER» բժշկական դրամայում։</v>
      </c>
    </row>
    <row r="3089">
      <c r="A3089" s="1" t="s">
        <v>6096</v>
      </c>
      <c r="B3089" s="2" t="s">
        <v>6097</v>
      </c>
      <c r="C3089" s="3" t="str">
        <f>IFERROR(__xludf.DUMMYFUNCTION("GOOGLETRANSLATE(A3089,""en"",""hy"")"),"ինչի՞ն է հավատում Քրիստոսի միացյալ եկեղեցին:")</f>
        <v>ինչի՞ն է հավատում Քրիստոսի միացյալ եկեղեցին:</v>
      </c>
      <c r="D3089" s="3" t="str">
        <f>IFERROR(__xludf.DUMMYFUNCTION("GOOGLETRANSLATE(B3089,""en"",""hy"")"),"Քրիստոսի միացյալ եկեղեցին հավատում է մտածելու և հավատալու ազատությանը, բոլոր մարդկանց միասնությանը և արդարության ու խաղաղության կարևորությանը:")</f>
        <v>Քրիստոսի միացյալ եկեղեցին հավատում է մտածելու և հավատալու ազատությանը, բոլոր մարդկանց միասնությանը և արդարության ու խաղաղության կարևորությանը:</v>
      </c>
    </row>
    <row r="3090">
      <c r="A3090" s="1" t="s">
        <v>6098</v>
      </c>
      <c r="B3090" s="2" t="s">
        <v>6099</v>
      </c>
      <c r="C3090" s="3" t="str">
        <f>IFERROR(__xludf.DUMMYFUNCTION("GOOGLETRANSLATE(A3090,""en"",""hy"")"),"որտեղից է Ուոլթոն Գոգինսը")</f>
        <v>որտեղից է Ուոլթոն Գոգինսը</v>
      </c>
      <c r="D3090" s="3" t="str">
        <f>IFERROR(__xludf.DUMMYFUNCTION("GOOGLETRANSLATE(B3090,""en"",""hy"")"),"Ուոլթոն Գոգինսը Ալաբամա նահանգի Բիրմինգհեմ քաղաքից է:")</f>
        <v>Ուոլթոն Գոգինսը Ալաբամա նահանգի Բիրմինգհեմ քաղաքից է:</v>
      </c>
    </row>
    <row r="3091">
      <c r="A3091" s="1" t="s">
        <v>6100</v>
      </c>
      <c r="B3091" s="2" t="s">
        <v>6101</v>
      </c>
      <c r="C3091" s="3" t="str">
        <f>IFERROR(__xludf.DUMMYFUNCTION("GOOGLETRANSLATE(A3091,""en"",""hy"")"),"Ո՞ր նահանգում է գտնվում Կալգարի Կանադան:")</f>
        <v>Ո՞ր նահանգում է գտնվում Կալգարի Կանադան:</v>
      </c>
      <c r="D3091" s="3" t="str">
        <f>IFERROR(__xludf.DUMMYFUNCTION("GOOGLETRANSLATE(B3091,""en"",""hy"")"),"Կալգարին Կանադայի Ալբերտա նահանգում է։")</f>
        <v>Կալգարին Կանադայի Ալբերտա նահանգում է։</v>
      </c>
    </row>
    <row r="3092">
      <c r="A3092" s="1" t="s">
        <v>6102</v>
      </c>
      <c r="B3092" s="2" t="s">
        <v>1882</v>
      </c>
      <c r="C3092" s="3" t="str">
        <f>IFERROR(__xludf.DUMMYFUNCTION("GOOGLETRANSLATE(A3092,""en"",""hy"")"),"Ո՞ր համալսարանն է սովորել Բարաք Օբաման")</f>
        <v>Ո՞ր համալսարանն է սովորել Բարաք Օբաման</v>
      </c>
      <c r="D3092" s="3" t="str">
        <f>IFERROR(__xludf.DUMMYFUNCTION("GOOGLETRANSLATE(B3092,""en"",""hy"")"),"Բարաք Օբաման հաճախել է Կոլումբիայի համալսարան և Հարվարդի իրավաբանական դպրոց:")</f>
        <v>Բարաք Օբաման հաճախել է Կոլումբիայի համալսարան և Հարվարդի իրավաբանական դպրոց:</v>
      </c>
    </row>
    <row r="3093">
      <c r="A3093" s="1" t="s">
        <v>6103</v>
      </c>
      <c r="B3093" s="2" t="s">
        <v>6104</v>
      </c>
      <c r="C3093" s="3" t="str">
        <f>IFERROR(__xludf.DUMMYFUNCTION("GOOGLETRANSLATE(A3093,""en"",""hy"")"),"Ե՞րբ է Վինուս Ուիլյամսը հաղթել Ուիմբլդոնում:")</f>
        <v>Ե՞րբ է Վինուս Ուիլյամսը հաղթել Ուիմբլդոնում:</v>
      </c>
      <c r="D3093" s="3" t="str">
        <f>IFERROR(__xludf.DUMMYFUNCTION("GOOGLETRANSLATE(B3093,""en"",""hy"")"),"Վինուս Ուիլյամսը հաղթել է Ուիմբլդոնում 2000, 2001, 2005, 2007 և 2008 թվականներին:")</f>
        <v>Վինուս Ուիլյամսը հաղթել է Ուիմբլդոնում 2000, 2001, 2005, 2007 և 2008 թվականներին:</v>
      </c>
    </row>
    <row r="3094">
      <c r="A3094" s="1" t="s">
        <v>6105</v>
      </c>
      <c r="B3094" s="2" t="s">
        <v>6106</v>
      </c>
      <c r="C3094" s="3" t="str">
        <f>IFERROR(__xludf.DUMMYFUNCTION("GOOGLETRANSLATE(A3094,""en"",""hy"")"),"ում հետ է հանդիպում Նիլ Պատրիկ Հարիսը:")</f>
        <v>ում հետ է հանդիպում Նիլ Պատրիկ Հարիսը:</v>
      </c>
      <c r="D3094" s="3" t="str">
        <f>IFERROR(__xludf.DUMMYFUNCTION("GOOGLETRANSLATE(B3094,""en"",""hy"")"),"Նիլ Պատրիկ Հարիսն ամուսնացած է Դեյվիդ Բուրտկայի հետ։")</f>
        <v>Նիլ Պատրիկ Հարիսն ամուսնացած է Դեյվիդ Բուրտկայի հետ։</v>
      </c>
    </row>
    <row r="3095">
      <c r="A3095" s="1" t="s">
        <v>6107</v>
      </c>
      <c r="B3095" s="2" t="s">
        <v>6108</v>
      </c>
      <c r="C3095" s="3" t="str">
        <f>IFERROR(__xludf.DUMMYFUNCTION("GOOGLETRANSLATE(A3095,""en"",""hy"")"),"որտեղ է ասորիների մայրաքաղաքը")</f>
        <v>որտեղ է ասորիների մայրաքաղաքը</v>
      </c>
      <c r="D3095" s="3" t="str">
        <f>IFERROR(__xludf.DUMMYFUNCTION("GOOGLETRANSLATE(B3095,""en"",""hy"")"),"Ասորիների մայրաքաղաքը հաճախ համարվում է Նինվեն։")</f>
        <v>Ասորիների մայրաքաղաքը հաճախ համարվում է Նինվեն։</v>
      </c>
    </row>
    <row r="3096">
      <c r="A3096" s="1" t="s">
        <v>6109</v>
      </c>
      <c r="B3096" s="2" t="s">
        <v>6110</v>
      </c>
      <c r="C3096" s="3" t="str">
        <f>IFERROR(__xludf.DUMMYFUNCTION("GOOGLETRANSLATE(A3096,""en"",""hy"")"),"ով է Աիդան Քուինը")</f>
        <v>ով է Աիդան Քուինը</v>
      </c>
      <c r="D3096" s="3" t="str">
        <f>IFERROR(__xludf.DUMMYFUNCTION("GOOGLETRANSLATE(B3096,""en"",""hy"")"),"Էյդան Քուինը իռլանդական ծագմամբ ամերիկացի դերասան է։")</f>
        <v>Էյդան Քուինը իռլանդական ծագմամբ ամերիկացի դերասան է։</v>
      </c>
    </row>
    <row r="3097">
      <c r="A3097" s="1" t="s">
        <v>6111</v>
      </c>
      <c r="B3097" s="2" t="s">
        <v>6112</v>
      </c>
      <c r="C3097" s="3" t="str">
        <f>IFERROR(__xludf.DUMMYFUNCTION("GOOGLETRANSLATE(A3097,""en"",""hy"")"),"ինչպիսի՞ քաղաքական համակարգ է Իրանը.")</f>
        <v>ինչպիսի՞ քաղաքական համակարգ է Իրանը.</v>
      </c>
      <c r="D3097" s="3" t="str">
        <f>IFERROR(__xludf.DUMMYFUNCTION("GOOGLETRANSLATE(B3097,""en"",""hy"")"),"Իրանն ունի աստվածապետական ​​քաղաքական համակարգ.")</f>
        <v>Իրանն ունի աստվածապետական ​​քաղաքական համակարգ.</v>
      </c>
    </row>
    <row r="3098">
      <c r="A3098" s="1" t="s">
        <v>6113</v>
      </c>
      <c r="B3098" s="2" t="s">
        <v>6114</v>
      </c>
      <c r="C3098" s="3" t="str">
        <f>IFERROR(__xludf.DUMMYFUNCTION("GOOGLETRANSLATE(A3098,""en"",""hy"")"),"ինչ են խոսում գուամցիները")</f>
        <v>ինչ են խոսում գուամցիները</v>
      </c>
      <c r="D3098" s="3" t="str">
        <f>IFERROR(__xludf.DUMMYFUNCTION("GOOGLETRANSLATE(B3098,""en"",""hy"")"),"Գուամի բնակիչները խոսում են չամորերեն, որը կղզու պաշտոնական լեզուն է։")</f>
        <v>Գուամի բնակիչները խոսում են չամորերեն, որը կղզու պաշտոնական լեզուն է։</v>
      </c>
    </row>
    <row r="3099">
      <c r="A3099" s="1" t="s">
        <v>6115</v>
      </c>
      <c r="B3099" s="2" t="s">
        <v>6116</v>
      </c>
      <c r="C3099" s="3" t="str">
        <f>IFERROR(__xludf.DUMMYFUNCTION("GOOGLETRANSLATE(A3099,""en"",""hy"")"),"ինչ անել, եթե մեկ օր ունեք Բանգկոկում:")</f>
        <v>ինչ անել, եթե մեկ օր ունեք Բանգկոկում:</v>
      </c>
      <c r="D3099" s="3" t="str">
        <f>IFERROR(__xludf.DUMMYFUNCTION("GOOGLETRANSLATE(B3099,""en"",""hy"")"),"Որոշ առաջարկներ, թե ինչ անել Բանգկոկում մեկ օրում, կարող են ներառել այցելել Մեծ պալատ, ուսումնասիրել Վատ Ֆո տաճարը, նավով էքսկուրսիա կատարել Չաո Փրայա գետի երկայնքով, փորձել փողոցային սնունդ Chatuchak Weekend շուկայում և զգալ գիշերային կյանքը Սուխումվիթու"&amp;"մ: տարածք։")</f>
        <v>Որոշ առաջարկներ, թե ինչ անել Բանգկոկում մեկ օրում, կարող են ներառել այցելել Մեծ պալատ, ուսումնասիրել Վատ Ֆո տաճարը, նավով էքսկուրսիա կատարել Չաո Փրայա գետի երկայնքով, փորձել փողոցային սնունդ Chatuchak Weekend շուկայում և զգալ գիշերային կյանքը Սուխումվիթում: տարածք։</v>
      </c>
    </row>
    <row r="3100">
      <c r="A3100" s="1" t="s">
        <v>6117</v>
      </c>
      <c r="B3100" s="2" t="s">
        <v>6118</v>
      </c>
      <c r="C3100" s="3" t="str">
        <f>IFERROR(__xludf.DUMMYFUNCTION("GOOGLETRANSLATE(A3100,""en"",""hy"")"),"որտեղ է ծնվել Բեն Ֆրանկլինը")</f>
        <v>որտեղ է ծնվել Բեն Ֆրանկլինը</v>
      </c>
      <c r="D3100" s="3" t="str">
        <f>IFERROR(__xludf.DUMMYFUNCTION("GOOGLETRANSLATE(B3100,""en"",""hy"")"),"Բեն Ֆրանկլինը ծնվել է Բոստոնում, Մասաչուսեթս:")</f>
        <v>Բեն Ֆրանկլինը ծնվել է Բոստոնում, Մասաչուսեթս:</v>
      </c>
    </row>
    <row r="3101">
      <c r="A3101" s="1" t="s">
        <v>6119</v>
      </c>
      <c r="B3101" s="2" t="s">
        <v>6120</v>
      </c>
      <c r="C3101" s="3" t="str">
        <f>IFERROR(__xludf.DUMMYFUNCTION("GOOGLETRANSLATE(A3101,""en"",""hy"")"),"Ո՞ր ժամային գոտում է գտնվում Վիրջինիան:")</f>
        <v>Ո՞ր ժամային գոտում է գտնվում Վիրջինիան:</v>
      </c>
      <c r="D3101" s="3" t="str">
        <f>IFERROR(__xludf.DUMMYFUNCTION("GOOGLETRANSLATE(B3101,""en"",""hy"")"),"Վիրջինիան գտնվում է Արևելյան ժամային գոտում:")</f>
        <v>Վիրջինիան գտնվում է Արևելյան ժամային գոտում:</v>
      </c>
    </row>
    <row r="3102">
      <c r="A3102" s="1" t="s">
        <v>6121</v>
      </c>
      <c r="B3102" s="2" t="s">
        <v>6122</v>
      </c>
      <c r="C3102" s="3" t="str">
        <f>IFERROR(__xludf.DUMMYFUNCTION("GOOGLETRANSLATE(A3102,""en"",""hy"")"),"ինչ մաս է կազմում Դոմինիկյան հանրապետությունը")</f>
        <v>ինչ մաս է կազմում Դոմինիկյան հանրապետությունը</v>
      </c>
      <c r="D3102" s="3" t="str">
        <f>IFERROR(__xludf.DUMMYFUNCTION("GOOGLETRANSLATE(B3102,""en"",""hy"")"),"Դոմինիկյան Հանրապետությունը Կարիբյան ավազանի մի մասն է։")</f>
        <v>Դոմինիկյան Հանրապետությունը Կարիբյան ավազանի մի մասն է։</v>
      </c>
    </row>
    <row r="3103">
      <c r="A3103" s="1" t="s">
        <v>6123</v>
      </c>
      <c r="B3103" s="2" t="s">
        <v>6124</v>
      </c>
      <c r="C3103" s="3" t="str">
        <f>IFERROR(__xludf.DUMMYFUNCTION("GOOGLETRANSLATE(A3103,""en"",""hy"")"),"որտեղ է ապրել Ջերի Սփինելին մանկության տարիներին:")</f>
        <v>որտեղ է ապրել Ջերի Սփինելին մանկության տարիներին:</v>
      </c>
      <c r="D3103" s="3" t="str">
        <f>IFERROR(__xludf.DUMMYFUNCTION("GOOGLETRANSLATE(B3103,""en"",""hy"")"),"Ջերի Սպինելին փոքր ժամանակ ապրել է Փենսիլվանիա նահանգի Նորիսթաուն քաղաքում:")</f>
        <v>Ջերի Սպինելին փոքր ժամանակ ապրել է Փենսիլվանիա նահանգի Նորիսթաուն քաղաքում:</v>
      </c>
    </row>
    <row r="3104">
      <c r="A3104" s="1" t="s">
        <v>6125</v>
      </c>
      <c r="B3104" s="2" t="s">
        <v>6126</v>
      </c>
      <c r="C3104" s="3" t="str">
        <f>IFERROR(__xludf.DUMMYFUNCTION("GOOGLETRANSLATE(A3104,""en"",""hy"")"),"ինչ են խոսում կոստառիկացիները")</f>
        <v>ինչ են խոսում կոստառիկացիները</v>
      </c>
      <c r="D3104" s="3" t="str">
        <f>IFERROR(__xludf.DUMMYFUNCTION("GOOGLETRANSLATE(B3104,""en"",""hy"")"),"Կոստա Ռիկացիները խոսում են իսպաներեն:")</f>
        <v>Կոստա Ռիկացիները խոսում են իսպաներեն:</v>
      </c>
    </row>
    <row r="3105">
      <c r="A3105" s="1" t="s">
        <v>6127</v>
      </c>
      <c r="B3105" s="2" t="s">
        <v>6128</v>
      </c>
      <c r="C3105" s="3" t="str">
        <f>IFERROR(__xludf.DUMMYFUNCTION("GOOGLETRANSLATE(A3105,""en"",""hy"")"),"Ո՞ր տարում Արիզոնայի կարդինալները գնացին սուպերբոուլ:")</f>
        <v>Ո՞ր տարում Արիզոնայի կարդինալները գնացին սուպերբոուլ:</v>
      </c>
      <c r="D3105" s="3" t="str">
        <f>IFERROR(__xludf.DUMMYFUNCTION("GOOGLETRANSLATE(B3105,""en"",""hy"")"),"Արիզոնա կարդինալները սուպերբոուլ են գնացել 2009 թվականին:")</f>
        <v>Արիզոնա կարդինալները սուպերբոուլ են գնացել 2009 թվականին:</v>
      </c>
    </row>
    <row r="3106">
      <c r="A3106" s="1" t="s">
        <v>6129</v>
      </c>
      <c r="B3106" s="2" t="s">
        <v>6130</v>
      </c>
      <c r="C3106" s="3" t="str">
        <f>IFERROR(__xludf.DUMMYFUNCTION("GOOGLETRANSLATE(A3106,""en"",""hy"")"),"որտեղ է Սպենսեր Պրատը դպրոց հաճախում")</f>
        <v>որտեղ է Սպենսեր Պրատը դպրոց հաճախում</v>
      </c>
      <c r="D3106" s="3" t="str">
        <f>IFERROR(__xludf.DUMMYFUNCTION("GOOGLETRANSLATE(B3106,""en"",""hy"")"),"Չկա տեղեկատվություն այն մասին, թե որտեղ է Սպենսեր Պրատը դպրոց հաճախում:")</f>
        <v>Չկա տեղեկատվություն այն մասին, թե որտեղ է Սպենսեր Պրատը դպրոց հաճախում:</v>
      </c>
    </row>
    <row r="3107">
      <c r="A3107" s="1" t="s">
        <v>6131</v>
      </c>
      <c r="B3107" s="2" t="s">
        <v>6132</v>
      </c>
      <c r="C3107" s="3" t="str">
        <f>IFERROR(__xludf.DUMMYFUNCTION("GOOGLETRANSLATE(A3107,""en"",""hy"")"),"ինչ է պատրաստել Չարլզ Բեյբջը")</f>
        <v>ինչ է պատրաստել Չարլզ Բեյբջը</v>
      </c>
      <c r="D3107" s="3" t="str">
        <f>IFERROR(__xludf.DUMMYFUNCTION("GOOGLETRANSLATE(B3107,""en"",""hy"")"),"Չարլզ Բեբիջը ստեղծել է Difference Engine-ը և Analytical Engine-ը, որոնք համարվում են ժամանակակից համակարգիչների նախադրյալները:")</f>
        <v>Չարլզ Բեբիջը ստեղծել է Difference Engine-ը և Analytical Engine-ը, որոնք համարվում են ժամանակակից համակարգիչների նախադրյալները:</v>
      </c>
    </row>
    <row r="3108">
      <c r="A3108" s="1" t="s">
        <v>6133</v>
      </c>
      <c r="B3108" s="2" t="s">
        <v>6134</v>
      </c>
      <c r="C3108" s="3" t="str">
        <f>IFERROR(__xludf.DUMMYFUNCTION("GOOGLETRANSLATE(A3108,""en"",""hy"")"),"ով խաղաց lt uhura?")</f>
        <v>ով խաղաց lt uhura?</v>
      </c>
      <c r="D3108" s="3" t="str">
        <f>IFERROR(__xludf.DUMMYFUNCTION("GOOGLETRANSLATE(B3108,""en"",""hy"")"),"Նիշել Նիկոլսը մարմնավորել է լեյտենանտ Ուհուրային:")</f>
        <v>Նիշել Նիկոլսը մարմնավորել է լեյտենանտ Ուհուրային:</v>
      </c>
    </row>
    <row r="3109">
      <c r="A3109" s="1" t="s">
        <v>6135</v>
      </c>
      <c r="B3109" s="2" t="s">
        <v>6136</v>
      </c>
      <c r="C3109" s="3" t="str">
        <f>IFERROR(__xludf.DUMMYFUNCTION("GOOGLETRANSLATE(A3109,""en"",""hy"")"),"ինչ է New York Giants-ը:")</f>
        <v>ինչ է New York Giants-ը:</v>
      </c>
      <c r="D3109" s="3" t="str">
        <f>IFERROR(__xludf.DUMMYFUNCTION("GOOGLETRANSLATE(B3109,""en"",""hy"")"),"The New York Giants-ը պրոֆեսիոնալ ֆուտբոլային թիմ է, որը հիմնված է Նյու Յորք Սիթիում:")</f>
        <v>The New York Giants-ը պրոֆեսիոնալ ֆուտբոլային թիմ է, որը հիմնված է Նյու Յորք Սիթիում:</v>
      </c>
    </row>
    <row r="3110">
      <c r="A3110" s="1" t="s">
        <v>6137</v>
      </c>
      <c r="B3110" s="2" t="s">
        <v>6138</v>
      </c>
      <c r="C3110" s="3" t="str">
        <f>IFERROR(__xludf.DUMMYFUNCTION("GOOGLETRANSLATE(A3110,""en"",""hy"")"),"ժամը քանիսն է Մելբուռնի գավաթը:")</f>
        <v>ժամը քանիսն է Մելբուռնի գավաթը:</v>
      </c>
      <c r="D3110" s="3" t="str">
        <f>IFERROR(__xludf.DUMMYFUNCTION("GOOGLETRANSLATE(B3110,""en"",""hy"")"),"Մելբուռնի գավաթը սովորաբար անցկացվում է տեղական ժամանակով 15:00-ին:")</f>
        <v>Մելբուռնի գավաթը սովորաբար անցկացվում է տեղական ժամանակով 15:00-ին:</v>
      </c>
    </row>
    <row r="3111">
      <c r="A3111" s="1" t="s">
        <v>6139</v>
      </c>
      <c r="B3111" s="2" t="s">
        <v>6140</v>
      </c>
      <c r="C3111" s="3" t="str">
        <f>IFERROR(__xludf.DUMMYFUNCTION("GOOGLETRANSLATE(A3111,""en"",""hy"")"),"ինչ քոլեջներ է հաճախել Ալիս Ուոքերը:")</f>
        <v>ինչ քոլեջներ է հաճախել Ալիս Ուոքերը:</v>
      </c>
      <c r="D3111" s="3" t="str">
        <f>IFERROR(__xludf.DUMMYFUNCTION("GOOGLETRANSLATE(B3111,""en"",""hy"")"),"Էլիս Ուոքերը հաճախել է Սփելման քոլեջ և Սառա Լոուրենս քոլեջ:")</f>
        <v>Էլիս Ուոքերը հաճախել է Սփելման քոլեջ և Սառա Լոուրենս քոլեջ:</v>
      </c>
    </row>
    <row r="3112">
      <c r="A3112" s="1" t="s">
        <v>6141</v>
      </c>
      <c r="B3112" s="2" t="s">
        <v>6142</v>
      </c>
      <c r="C3112" s="3" t="str">
        <f>IFERROR(__xludf.DUMMYFUNCTION("GOOGLETRANSLATE(A3112,""en"",""hy"")"),"Ի՞նչ դպրոցներ է հաճախել Բարաք Օբաման")</f>
        <v>Ի՞նչ դպրոցներ է հաճախել Բարաք Օբաման</v>
      </c>
      <c r="D3112" s="3" t="str">
        <f>IFERROR(__xludf.DUMMYFUNCTION("GOOGLETRANSLATE(B3112,""en"",""hy"")"),"Բարաք Օբաման սովորել է Փունահուի դպրոցում և Օքսիդենտալ քոլեջում, նախքան Կոլումբիայի համալսարան տեղափոխվելը, իսկ ավելի ուշ՝ Հարվարդի իրավաբանական դպրոցը:")</f>
        <v>Բարաք Օբաման սովորել է Փունահուի դպրոցում և Օքսիդենտալ քոլեջում, նախքան Կոլումբիայի համալսարան տեղափոխվելը, իսկ ավելի ուշ՝ Հարվարդի իրավաբանական դպրոցը:</v>
      </c>
    </row>
    <row r="3113">
      <c r="A3113" s="1" t="s">
        <v>6143</v>
      </c>
      <c r="B3113" s="2" t="s">
        <v>6144</v>
      </c>
      <c r="C3113" s="3" t="str">
        <f>IFERROR(__xludf.DUMMYFUNCTION("GOOGLETRANSLATE(A3113,""en"",""hy"")"),"որտեղ են գտնվում ֆրանսիական Ալպերը:")</f>
        <v>որտեղ են գտնվում ֆրանսիական Ալպերը:</v>
      </c>
      <c r="D3113" s="3" t="str">
        <f>IFERROR(__xludf.DUMMYFUNCTION("GOOGLETRANSLATE(B3113,""en"",""hy"")"),"Ֆրանսիական Ալպերը գտնվում են Ֆրանսիայի հարավ-արևելքում։")</f>
        <v>Ֆրանսիական Ալպերը գտնվում են Ֆրանսիայի հարավ-արևելքում։</v>
      </c>
    </row>
    <row r="3114">
      <c r="A3114" s="1" t="s">
        <v>6145</v>
      </c>
      <c r="B3114" s="2">
        <v>1998.0</v>
      </c>
      <c r="C3114" s="3" t="str">
        <f>IFERROR(__xludf.DUMMYFUNCTION("GOOGLETRANSLATE(A3114,""en"",""hy"")"),"ո՞ր տարին էր Պեյթոն Մենինգի նորեկի տարին:")</f>
        <v>ո՞ր տարին էր Պեյթոն Մենինգի նորեկի տարին:</v>
      </c>
      <c r="D3114" s="3" t="str">
        <f>IFERROR(__xludf.DUMMYFUNCTION("GOOGLETRANSLATE(B3114,""en"",""hy"")"),"1998 թ")</f>
        <v>1998 թ</v>
      </c>
    </row>
    <row r="3115">
      <c r="A3115" s="1" t="s">
        <v>6146</v>
      </c>
      <c r="B3115" s="2" t="s">
        <v>6147</v>
      </c>
      <c r="C3115" s="3" t="str">
        <f>IFERROR(__xludf.DUMMYFUNCTION("GOOGLETRANSLATE(A3115,""en"",""hy"")"),"ո՞ւմ հետ էր ամուսնացած Փիթեր Ֆրեմփթոնը")</f>
        <v>ո՞ւմ հետ էր ամուսնացած Փիթեր Ֆրեմփթոնը</v>
      </c>
      <c r="D3115" s="3" t="str">
        <f>IFERROR(__xludf.DUMMYFUNCTION("GOOGLETRANSLATE(B3115,""en"",""hy"")"),"Փիթեր Ֆրեմփթոնն ամուսնացած էր Բարբարա Գոլդի հետ։")</f>
        <v>Փիթեր Ֆրեմփթոնն ամուսնացած էր Բարբարա Գոլդի հետ։</v>
      </c>
    </row>
    <row r="3116">
      <c r="A3116" s="1" t="s">
        <v>6148</v>
      </c>
      <c r="B3116" s="2" t="s">
        <v>6149</v>
      </c>
      <c r="C3116" s="3" t="str">
        <f>IFERROR(__xludf.DUMMYFUNCTION("GOOGLETRANSLATE(A3116,""en"",""hy"")"),"ո՞րն է Հավայան կղզիների ժամային գոտին:")</f>
        <v>ո՞րն է Հավայան կղզիների ժամային գոտին:</v>
      </c>
      <c r="D3116" s="3" t="str">
        <f>IFERROR(__xludf.DUMMYFUNCTION("GOOGLETRANSLATE(B3116,""en"",""hy"")"),"Հավայան կղզիների ժամային գոտին Հավայան-Ալեուտի ստանդարտ ժամանակն է (HST):")</f>
        <v>Հավայան կղզիների ժամային գոտին Հավայան-Ալեուտի ստանդարտ ժամանակն է (HST):</v>
      </c>
    </row>
    <row r="3117">
      <c r="A3117" s="1" t="s">
        <v>6150</v>
      </c>
      <c r="B3117" s="2" t="s">
        <v>6151</v>
      </c>
      <c r="C3117" s="3" t="str">
        <f>IFERROR(__xludf.DUMMYFUNCTION("GOOGLETRANSLATE(A3117,""en"",""hy"")"),"ո՞վ է մարզել բալթիմորի ագռավներին:")</f>
        <v>ո՞վ է մարզել բալթիմորի ագռավներին:</v>
      </c>
      <c r="D3117" s="3" t="str">
        <f>IFERROR(__xludf.DUMMYFUNCTION("GOOGLETRANSLATE(B3117,""en"",""hy"")"),"Ջոն Հարբոն մարզել է Բալթիմոր Ռեյվենսը:")</f>
        <v>Ջոն Հարբոն մարզել է Բալթիմոր Ռեյվենսը:</v>
      </c>
    </row>
    <row r="3118">
      <c r="A3118" s="1" t="s">
        <v>6152</v>
      </c>
      <c r="B3118" s="2" t="s">
        <v>6153</v>
      </c>
      <c r="C3118" s="3" t="str">
        <f>IFERROR(__xludf.DUMMYFUNCTION("GOOGLETRANSLATE(A3118,""en"",""hy"")"),"ո՞ր թիմերում է խաղացել Մաննի Ռամիրեսը:")</f>
        <v>ո՞ր թիմերում է խաղացել Մաննի Ռամիրեսը:</v>
      </c>
      <c r="D3118" s="3" t="str">
        <f>IFERROR(__xludf.DUMMYFUNCTION("GOOGLETRANSLATE(B3118,""en"",""hy"")"),"Մենի Ռամիրեսը խաղացել է «Քլիվլենդ Ինդիանս»-ում, «Բոստոն Ռեդ Սոքսում», «Լոս Անջելես Դոջերս»-ում, «Չիկագո Ուայթ Սոքս»-ում և «Թամպա Բեյ Ռեյս»-ում:")</f>
        <v>Մենի Ռամիրեսը խաղացել է «Քլիվլենդ Ինդիանս»-ում, «Բոստոն Ռեդ Սոքսում», «Լոս Անջելես Դոջերս»-ում, «Չիկագո Ուայթ Սոքս»-ում և «Թամպա Բեյ Ռեյս»-ում:</v>
      </c>
    </row>
    <row r="3119">
      <c r="A3119" s="1" t="s">
        <v>6154</v>
      </c>
      <c r="B3119" s="2" t="s">
        <v>6155</v>
      </c>
      <c r="C3119" s="3" t="str">
        <f>IFERROR(__xludf.DUMMYFUNCTION("GOOGLETRANSLATE(A3119,""en"",""hy"")"),"ինչպիսի՞ կառավարություն ունի Իրաքը 2012թ.")</f>
        <v>ինչպիսի՞ կառավարություն ունի Իրաքը 2012թ.</v>
      </c>
      <c r="D3119" s="3" t="str">
        <f>IFERROR(__xludf.DUMMYFUNCTION("GOOGLETRANSLATE(B3119,""en"",""hy"")"),"2012-ին Իրաքը որպես կառավարման ձև ունի խորհրդարանական ժողովրդավարություն:")</f>
        <v>2012-ին Իրաքը որպես կառավարման ձև ունի խորհրդարանական ժողովրդավարություն:</v>
      </c>
    </row>
    <row r="3120">
      <c r="A3120" s="1" t="s">
        <v>6156</v>
      </c>
      <c r="B3120" s="2" t="s">
        <v>6157</v>
      </c>
      <c r="C3120" s="3" t="str">
        <f>IFERROR(__xludf.DUMMYFUNCTION("GOOGLETRANSLATE(A3120,""en"",""hy"")"),"ի՞նչ այլ աշխատանք ուներ Բենջամին Ֆրանկլինը:")</f>
        <v>ի՞նչ այլ աշխատանք ուներ Բենջամին Ֆրանկլինը:</v>
      </c>
      <c r="D3120" s="3" t="str">
        <f>IFERROR(__xludf.DUMMYFUNCTION("GOOGLETRANSLATE(B3120,""en"",""hy"")"),"Բացի հիմնադիր հայր լինելուց, Բենջամին Ֆրանկլինն ուներ մի շարք այլ աշխատանքներ, այդ թվում՝ տպագրիչ, հեղինակ, գիտնական, գյուտարար, փոստատար և դիվանագետ:")</f>
        <v>Բացի հիմնադիր հայր լինելուց, Բենջամին Ֆրանկլինն ուներ մի շարք այլ աշխատանքներ, այդ թվում՝ տպագրիչ, հեղինակ, գիտնական, գյուտարար, փոստատար և դիվանագետ:</v>
      </c>
    </row>
    <row r="3121">
      <c r="A3121" s="1" t="s">
        <v>6158</v>
      </c>
      <c r="B3121" s="2" t="s">
        <v>6159</v>
      </c>
      <c r="C3121" s="3" t="str">
        <f>IFERROR(__xludf.DUMMYFUNCTION("GOOGLETRANSLATE(A3121,""en"",""hy"")"),"ով էր Գրեգոր Մենդելը և ի՞նչ ներդրում ունեցավ նա գիտության մեջ:")</f>
        <v>ով էր Գրեգոր Մենդելը և ի՞նչ ներդրում ունեցավ նա գիտության մեջ:</v>
      </c>
      <c r="D3121" s="3" t="str">
        <f>IFERROR(__xludf.DUMMYFUNCTION("GOOGLETRANSLATE(B3121,""en"",""hy"")"),"Գրեգոր Մենդելը ավստրիացի վանական և գիտնական էր, ով հայտնի է որպես ժամանակակից գենետիկայի հայր: Նա փորձեր է անցկացրել սիսեռի բույսերի հետ և հայտնաբերել ժառանգականության սկզբունքները, այդ թվում՝ գերիշխող և ռեցեսիվ հատկությունների կանոնները։ Նրա աշխատանքը հի"&amp;"մք դրեց գենետիկական ժառանգության մեխանիզմները հասկանալու համար:")</f>
        <v>Գրեգոր Մենդելը ավստրիացի վանական և գիտնական էր, ով հայտնի է որպես ժամանակակից գենետիկայի հայր: Նա փորձեր է անցկացրել սիսեռի բույսերի հետ և հայտնաբերել ժառանգականության սկզբունքները, այդ թվում՝ գերիշխող և ռեցեսիվ հատկությունների կանոնները։ Նրա աշխատանքը հիմք դրեց գենետիկական ժառանգության մեխանիզմները հասկանալու համար:</v>
      </c>
    </row>
    <row r="3122">
      <c r="A3122" s="1" t="s">
        <v>6160</v>
      </c>
      <c r="B3122" s="2" t="s">
        <v>6161</v>
      </c>
      <c r="C3122" s="3" t="str">
        <f>IFERROR(__xludf.DUMMYFUNCTION("GOOGLETRANSLATE(A3122,""en"",""hy"")"),"ով բժիշկում հարոլդ սաքսոն է նվագում:")</f>
        <v>ով բժիշկում հարոլդ սաքսոն է նվագում:</v>
      </c>
      <c r="D3122" s="3" t="str">
        <f>IFERROR(__xludf.DUMMYFUNCTION("GOOGLETRANSLATE(B3122,""en"",""hy"")"),"Ջոն Սիմ")</f>
        <v>Ջոն Սիմ</v>
      </c>
    </row>
    <row r="3123">
      <c r="A3123" s="1" t="s">
        <v>6162</v>
      </c>
      <c r="B3123" s="2">
        <v>1921.0</v>
      </c>
      <c r="C3123" s="3" t="str">
        <f>IFERROR(__xludf.DUMMYFUNCTION("GOOGLETRANSLATE(A3123,""en"",""hy"")"),"Ո՞ր տարին է եղել «Միսս Ամերիկա»-ի առաջին մրցույթը:")</f>
        <v>Ո՞ր տարին է եղել «Միսս Ամերիկա»-ի առաջին մրցույթը:</v>
      </c>
      <c r="D3123" s="3" t="str">
        <f>IFERROR(__xludf.DUMMYFUNCTION("GOOGLETRANSLATE(B3123,""en"",""hy"")"),"1921 թ")</f>
        <v>1921 թ</v>
      </c>
    </row>
    <row r="3124">
      <c r="A3124" s="1" t="s">
        <v>6163</v>
      </c>
      <c r="B3124" s="2" t="s">
        <v>6164</v>
      </c>
      <c r="C3124" s="3" t="str">
        <f>IFERROR(__xludf.DUMMYFUNCTION("GOOGLETRANSLATE(A3124,""en"",""hy"")"),"ինչ կիթառ է նվագում Լինդսի Բաքինգհեմը:")</f>
        <v>ինչ կիթառ է նվագում Լինդսի Բաքինգհեմը:</v>
      </c>
      <c r="D3124" s="3" t="str">
        <f>IFERROR(__xludf.DUMMYFUNCTION("GOOGLETRANSLATE(B3124,""en"",""hy"")"),"Լինդսի Բուքինգհեմը նվագում է ակուստիկ և էլեկտրական կիթառ:")</f>
        <v>Լինդսի Բուքինգհեմը նվագում է ակուստիկ և էլեկտրական կիթառ:</v>
      </c>
    </row>
    <row r="3125">
      <c r="A3125" s="1" t="s">
        <v>6165</v>
      </c>
      <c r="B3125" s="2" t="s">
        <v>4675</v>
      </c>
      <c r="C3125" s="3" t="str">
        <f>IFERROR(__xludf.DUMMYFUNCTION("GOOGLETRANSLATE(A3125,""en"",""hy"")"),"ո՞ր քոլեջն է հաճախել Ջո Նամաթը:")</f>
        <v>ո՞ր քոլեջն է հաճախել Ջո Նամաթը:</v>
      </c>
      <c r="D3125" s="3" t="str">
        <f>IFERROR(__xludf.DUMMYFUNCTION("GOOGLETRANSLATE(B3125,""en"",""hy"")"),"Ջո Նամաթը հաճախել է Ալաբամայի համալսարան:")</f>
        <v>Ջո Նամաթը հաճախել է Ալաբամայի համալսարան:</v>
      </c>
    </row>
    <row r="3126">
      <c r="A3126" s="1" t="s">
        <v>6166</v>
      </c>
      <c r="B3126" s="2" t="s">
        <v>6167</v>
      </c>
      <c r="C3126" s="3" t="str">
        <f>IFERROR(__xludf.DUMMYFUNCTION("GOOGLETRANSLATE(A3126,""en"",""hy"")"),"որտեղ մնալ Աշևիլի մոտ:")</f>
        <v>որտեղ մնալ Աշևիլի մոտ:</v>
      </c>
      <c r="D3126" s="3" t="str">
        <f>IFERROR(__xludf.DUMMYFUNCTION("GOOGLETRANSLATE(B3126,""en"",""hy"")"),"Blue Ridge Mountains տարածքը կամ Էշվիլ քաղաքի կենտրոնը:")</f>
        <v>Blue Ridge Mountains տարածքը կամ Էշվիլ քաղաքի կենտրոնը:</v>
      </c>
    </row>
    <row r="3127">
      <c r="A3127" s="1" t="s">
        <v>6168</v>
      </c>
      <c r="B3127" s="2" t="s">
        <v>6169</v>
      </c>
      <c r="C3127" s="3" t="str">
        <f>IFERROR(__xludf.DUMMYFUNCTION("GOOGLETRANSLATE(A3127,""en"",""hy"")"),"ո՞ր քաղաքն է օգտագործում gmt:")</f>
        <v>ո՞ր քաղաքն է օգտագործում gmt:</v>
      </c>
      <c r="D3127" s="3" t="str">
        <f>IFERROR(__xludf.DUMMYFUNCTION("GOOGLETRANSLATE(B3127,""en"",""hy"")"),"Լոնդոնն օգտագործում է GMT (Գրինվիչի ժամանակով):")</f>
        <v>Լոնդոնն օգտագործում է GMT (Գրինվիչի ժամանակով):</v>
      </c>
    </row>
    <row r="3128">
      <c r="A3128" s="1" t="s">
        <v>6170</v>
      </c>
      <c r="B3128" s="2" t="s">
        <v>6171</v>
      </c>
      <c r="C3128" s="3" t="str">
        <f>IFERROR(__xludf.DUMMYFUNCTION("GOOGLETRANSLATE(A3128,""en"",""hy"")"),"որտեղից է սկսվում Զամբեզի գետը:")</f>
        <v>որտեղից է սկսվում Զամբեզի գետը:</v>
      </c>
      <c r="D3128" s="3" t="str">
        <f>IFERROR(__xludf.DUMMYFUNCTION("GOOGLETRANSLATE(B3128,""en"",""hy"")"),"Զամբիայից է սկիզբ առնում Զամբեզի գետը։")</f>
        <v>Զամբիայից է սկիզբ առնում Զամբեզի գետը։</v>
      </c>
    </row>
    <row r="3129">
      <c r="A3129" s="1" t="s">
        <v>6172</v>
      </c>
      <c r="B3129" s="2" t="s">
        <v>6173</v>
      </c>
      <c r="C3129" s="3" t="str">
        <f>IFERROR(__xludf.DUMMYFUNCTION("GOOGLETRANSLATE(A3129,""en"",""hy"")"),"ո՞ր կոմսությունում է գտնվում Դուլութ Մինեսոտան:")</f>
        <v>ո՞ր կոմսությունում է գտնվում Դուլութ Մինեսոտան:</v>
      </c>
      <c r="D3129" s="3" t="str">
        <f>IFERROR(__xludf.DUMMYFUNCTION("GOOGLETRANSLATE(B3129,""en"",""hy"")"),"Սենթ Լուիս շրջան.")</f>
        <v>Սենթ Լուիս շրջան.</v>
      </c>
    </row>
    <row r="3130">
      <c r="A3130" s="1" t="s">
        <v>6174</v>
      </c>
      <c r="B3130" s="2" t="s">
        <v>6175</v>
      </c>
      <c r="C3130" s="3" t="str">
        <f>IFERROR(__xludf.DUMMYFUNCTION("GOOGLETRANSLATE(A3130,""en"",""hy"")"),"ինչ փոստային կոդը է chicago il?")</f>
        <v>ինչ փոստային կոդը է chicago il?</v>
      </c>
      <c r="D3130" s="3" t="str">
        <f>IFERROR(__xludf.DUMMYFUNCTION("GOOGLETRANSLATE(B3130,""en"",""hy"")"),"606xx")</f>
        <v>606xx</v>
      </c>
    </row>
    <row r="3131">
      <c r="A3131" s="1" t="s">
        <v>6176</v>
      </c>
      <c r="B3131" s="2" t="s">
        <v>6177</v>
      </c>
      <c r="C3131" s="3" t="str">
        <f>IFERROR(__xludf.DUMMYFUNCTION("GOOGLETRANSLATE(A3131,""en"",""hy"")"),"ինչպիսի՞ն է քաղաքական համակարգը Արգենտինայում:")</f>
        <v>ինչպիսի՞ն է քաղաքական համակարգը Արգենտինայում:</v>
      </c>
      <c r="D3131" s="3" t="str">
        <f>IFERROR(__xludf.DUMMYFUNCTION("GOOGLETRANSLATE(B3131,""en"",""hy"")"),"Արգենտինայի քաղաքական համակարգը դաշնային նախագահական ներկայացուցչական դեմոկրատական ​​հանրապետություն է:")</f>
        <v>Արգենտինայի քաղաքական համակարգը դաշնային նախագահական ներկայացուցչական դեմոկրատական ​​հանրապետություն է:</v>
      </c>
    </row>
    <row r="3132">
      <c r="A3132" s="1" t="s">
        <v>6178</v>
      </c>
      <c r="B3132" s="2" t="s">
        <v>6179</v>
      </c>
      <c r="C3132" s="3" t="str">
        <f>IFERROR(__xludf.DUMMYFUNCTION("GOOGLETRANSLATE(A3132,""en"",""hy"")"),"ինչի՞ց է մահացել Էնդրյու Ջոնսոնը.")</f>
        <v>ինչի՞ց է մահացել Էնդրյու Ջոնսոնը.</v>
      </c>
      <c r="D3132" s="3" t="str">
        <f>IFERROR(__xludf.DUMMYFUNCTION("GOOGLETRANSLATE(B3132,""en"",""hy"")"),"Էնդրյու Ջոնսոնը մահացել է ինսուլտից։")</f>
        <v>Էնդրյու Ջոնսոնը մահացել է ինսուլտից։</v>
      </c>
    </row>
    <row r="3133">
      <c r="A3133" s="1" t="s">
        <v>6180</v>
      </c>
      <c r="B3133" s="2" t="s">
        <v>6181</v>
      </c>
      <c r="C3133" s="3" t="str">
        <f>IFERROR(__xludf.DUMMYFUNCTION("GOOGLETRANSLATE(A3133,""en"",""hy"")"),"ով է Օրեգոնի նահանգապետը 2012 թ.")</f>
        <v>ով է Օրեգոնի նահանգապետը 2012 թ.</v>
      </c>
      <c r="D3133" s="3" t="str">
        <f>IFERROR(__xludf.DUMMYFUNCTION("GOOGLETRANSLATE(B3133,""en"",""hy"")"),"2012 թվականին Օրեգոնի նահանգապետը Ջոն Կիցհաբերն էր։")</f>
        <v>2012 թվականին Օրեգոնի նահանգապետը Ջոն Կիցհաբերն էր։</v>
      </c>
    </row>
    <row r="3134">
      <c r="A3134" s="1" t="s">
        <v>6182</v>
      </c>
      <c r="B3134" s="2" t="s">
        <v>6183</v>
      </c>
      <c r="C3134" s="3" t="str">
        <f>IFERROR(__xludf.DUMMYFUNCTION("GOOGLETRANSLATE(A3134,""en"",""hy"")"),"Ո՞ր քաղաքում է գտնվում Սուրբ Հելենները")</f>
        <v>Ո՞ր քաղաքում է գտնվում Սուրբ Հելենները</v>
      </c>
      <c r="D3134" s="3" t="str">
        <f>IFERROR(__xludf.DUMMYFUNCTION("GOOGLETRANSLATE(B3134,""en"",""hy"")"),"Սուրբ Հելենս լեռը գտնվում է Վաշինգտոն նահանգի Սկամանիա շրջանում։")</f>
        <v>Սուրբ Հելենս լեռը գտնվում է Վաշինգտոն նահանգի Սկամանիա շրջանում։</v>
      </c>
    </row>
    <row r="3135">
      <c r="A3135" s="1" t="s">
        <v>6184</v>
      </c>
      <c r="B3135" s="2" t="s">
        <v>6185</v>
      </c>
      <c r="C3135" s="3" t="str">
        <f>IFERROR(__xludf.DUMMYFUNCTION("GOOGLETRANSLATE(A3135,""en"",""hy"")"),"ինչով է հայտնի ժանել մոնեն:")</f>
        <v>ինչով է հայտնի ժանել մոնեն:</v>
      </c>
      <c r="D3135" s="3" t="str">
        <f>IFERROR(__xludf.DUMMYFUNCTION("GOOGLETRANSLATE(B3135,""en"",""hy"")"),"Ժանել Մոնեն հայտնի է որպես երգչուհի, երգահան, դերասանուհի և ակտիվիստ:")</f>
        <v>Ժանել Մոնեն հայտնի է որպես երգչուհի, երգահան, դերասանուհի և ակտիվիստ:</v>
      </c>
    </row>
    <row r="3136">
      <c r="A3136" s="1" t="s">
        <v>6186</v>
      </c>
      <c r="B3136" s="2" t="s">
        <v>1627</v>
      </c>
      <c r="C3136" s="3" t="str">
        <f>IFERROR(__xludf.DUMMYFUNCTION("GOOGLETRANSLATE(A3136,""en"",""hy"")"),"ո՞ր մայրցամաքում է գտնվում Մեքսիկան:")</f>
        <v>ո՞ր մայրցամաքում է գտնվում Մեքսիկան:</v>
      </c>
      <c r="D3136" s="3" t="str">
        <f>IFERROR(__xludf.DUMMYFUNCTION("GOOGLETRANSLATE(B3136,""en"",""hy"")"),"Հյուսիսային Ամերիկա.")</f>
        <v>Հյուսիսային Ամերիկա.</v>
      </c>
    </row>
    <row r="3137">
      <c r="A3137" s="1" t="s">
        <v>6187</v>
      </c>
      <c r="B3137" s="2" t="s">
        <v>6188</v>
      </c>
      <c r="C3137" s="3" t="str">
        <f>IFERROR(__xludf.DUMMYFUNCTION("GOOGLETRANSLATE(A3137,""en"",""hy"")"),"ով է ստեղծել հին լեզուն Ալագեսիայում:")</f>
        <v>ով է ստեղծել հին լեզուն Ալագեսիայում:</v>
      </c>
      <c r="D3137" s="3" t="str">
        <f>IFERROR(__xludf.DUMMYFUNCTION("GOOGLETRANSLATE(B3137,""en"",""hy"")"),"Քրիստոֆեր Պաոլինի")</f>
        <v>Քրիստոֆեր Պաոլինի</v>
      </c>
    </row>
    <row r="3138">
      <c r="A3138" s="1" t="s">
        <v>6189</v>
      </c>
      <c r="B3138" s="2" t="s">
        <v>6190</v>
      </c>
      <c r="C3138" s="3" t="str">
        <f>IFERROR(__xludf.DUMMYFUNCTION("GOOGLETRANSLATE(A3138,""en"",""hy"")"),"ո՞ր չորս շրջաններն են կազմում Միացյալ Թագավորությունը:")</f>
        <v>ո՞ր չորս շրջաններն են կազմում Միացյալ Թագավորությունը:</v>
      </c>
      <c r="D3138" s="3" t="str">
        <f>IFERROR(__xludf.DUMMYFUNCTION("GOOGLETRANSLATE(B3138,""en"",""hy"")"),"Չորս շրջանները, որոնք կազմում են Միացյալ Թագավորությունն են՝ Անգլիան, Շոտլանդիան, Ուելսը և Հյուսիսային Իռլանդիան։")</f>
        <v>Չորս շրջանները, որոնք կազմում են Միացյալ Թագավորությունն են՝ Անգլիան, Շոտլանդիան, Ուելսը և Հյուսիսային Իռլանդիան։</v>
      </c>
    </row>
    <row r="3139">
      <c r="A3139" s="1" t="s">
        <v>6191</v>
      </c>
      <c r="B3139" s="2" t="s">
        <v>6192</v>
      </c>
      <c r="C3139" s="3" t="str">
        <f>IFERROR(__xludf.DUMMYFUNCTION("GOOGLETRANSLATE(A3139,""en"",""hy"")"),"ի՞նչ է պատկանում Time Warner-ին:")</f>
        <v>ի՞նչ է պատկանում Time Warner-ին:</v>
      </c>
      <c r="D3139" s="3" t="str">
        <f>IFERROR(__xludf.DUMMYFUNCTION("GOOGLETRANSLATE(B3139,""en"",""hy"")"),"Time Warner-ին են պատկանում բազմաթիվ լրատվամիջոցներ և զվարճանքի ընկերություններ, այդ թվում՝ CNN, HBO, Warner Bros. Entertainment և Turner Broadcasting System:")</f>
        <v>Time Warner-ին են պատկանում բազմաթիվ լրատվամիջոցներ և զվարճանքի ընկերություններ, այդ թվում՝ CNN, HBO, Warner Bros. Entertainment և Turner Broadcasting System:</v>
      </c>
    </row>
    <row r="3140">
      <c r="A3140" s="1" t="s">
        <v>6193</v>
      </c>
      <c r="B3140" s="2" t="s">
        <v>6194</v>
      </c>
      <c r="C3140" s="3" t="str">
        <f>IFERROR(__xludf.DUMMYFUNCTION("GOOGLETRANSLATE(A3140,""en"",""hy"")"),"որտեղի՞ց են եկել գնչուները:")</f>
        <v>որտեղի՞ց են եկել գնչուները:</v>
      </c>
      <c r="D3140" s="3" t="str">
        <f>IFERROR(__xludf.DUMMYFUNCTION("GOOGLETRANSLATE(B3140,""en"",""hy"")"),"Գնչուները ծագել են Հնդկաստանից։")</f>
        <v>Գնչուները ծագել են Հնդկաստանից։</v>
      </c>
    </row>
    <row r="3141">
      <c r="A3141" s="1" t="s">
        <v>6195</v>
      </c>
      <c r="B3141" s="2" t="s">
        <v>6196</v>
      </c>
      <c r="C3141" s="3" t="str">
        <f>IFERROR(__xludf.DUMMYFUNCTION("GOOGLETRANSLATE(A3141,""en"",""hy"")"),"ի՞նչ լեզվով են խոսում բնիկ ամերիկացիների մեծ մասը:")</f>
        <v>ի՞նչ լեզվով են խոսում բնիկ ամերիկացիների մեծ մասը:</v>
      </c>
      <c r="D3141" s="3" t="str">
        <f>IFERROR(__xludf.DUMMYFUNCTION("GOOGLETRANSLATE(B3141,""en"",""hy"")"),"Բնիկ ամերիկացիների մեծ մասը խոսում է անգլերեն:")</f>
        <v>Բնիկ ամերիկացիների մեծ մասը խոսում է անգլերեն:</v>
      </c>
    </row>
    <row r="3142">
      <c r="A3142" s="1" t="s">
        <v>6197</v>
      </c>
      <c r="B3142" s="2" t="s">
        <v>6112</v>
      </c>
      <c r="C3142" s="3" t="str">
        <f>IFERROR(__xludf.DUMMYFUNCTION("GOOGLETRANSLATE(A3142,""en"",""hy"")"),"ինչպիսի՞ քաղաքական համակարգ ունի Իրանը.")</f>
        <v>ինչպիսի՞ քաղաքական համակարգ ունի Իրանը.</v>
      </c>
      <c r="D3142" s="3" t="str">
        <f>IFERROR(__xludf.DUMMYFUNCTION("GOOGLETRANSLATE(B3142,""en"",""hy"")"),"Իրանն ունի աստվածապետական ​​քաղաքական համակարգ.")</f>
        <v>Իրանն ունի աստվածապետական ​​քաղաքական համակարգ.</v>
      </c>
    </row>
    <row r="3143">
      <c r="A3143" s="1" t="s">
        <v>6198</v>
      </c>
      <c r="B3143" s="2" t="s">
        <v>6199</v>
      </c>
      <c r="C3143" s="3" t="str">
        <f>IFERROR(__xludf.DUMMYFUNCTION("GOOGLETRANSLATE(A3143,""en"",""hy"")"),"որտեղ է ծնվել Էնն Հեթուեյը")</f>
        <v>որտեղ է ծնվել Էնն Հեթուեյը</v>
      </c>
      <c r="D3143" s="3" t="str">
        <f>IFERROR(__xludf.DUMMYFUNCTION("GOOGLETRANSLATE(B3143,""en"",""hy"")"),"Էնն Հեթուեյը ծնվել է Նյու Յորք նահանգի Բրուքլին քաղաքում։")</f>
        <v>Էնն Հեթուեյը ծնվել է Նյու Յորք նահանգի Բրուքլին քաղաքում։</v>
      </c>
    </row>
    <row r="3144">
      <c r="A3144" s="1" t="s">
        <v>6200</v>
      </c>
      <c r="B3144" s="2" t="s">
        <v>6201</v>
      </c>
      <c r="C3144" s="3" t="str">
        <f>IFERROR(__xludf.DUMMYFUNCTION("GOOGLETRANSLATE(A3144,""en"",""hy"")"),"ո՞վ խաղաց Բրայս Դալաս Հովարդը խավարման ժամանակ:")</f>
        <v>ո՞վ խաղաց Բրայս Դալաս Հովարդը խավարման ժամանակ:</v>
      </c>
      <c r="D3144" s="3" t="str">
        <f>IFERROR(__xludf.DUMMYFUNCTION("GOOGLETRANSLATE(B3144,""en"",""hy"")"),"Բրայս Դալաս Հովարդը Eclipse-ում մարմնավորել է Վիկտորիայի կերպարը:")</f>
        <v>Բրայս Դալաս Հովարդը Eclipse-ում մարմնավորել է Վիկտորիայի կերպարը:</v>
      </c>
    </row>
    <row r="3145">
      <c r="A3145" s="1" t="s">
        <v>6202</v>
      </c>
      <c r="B3145" s="2" t="s">
        <v>6203</v>
      </c>
      <c r="C3145" s="3" t="str">
        <f>IFERROR(__xludf.DUMMYFUNCTION("GOOGLETRANSLATE(A3145,""en"",""hy"")"),"ո՞ւմ է պատկանում Audi 2011-ը:")</f>
        <v>ո՞ւմ է պատկանում Audi 2011-ը:</v>
      </c>
      <c r="D3145" s="3" t="str">
        <f>IFERROR(__xludf.DUMMYFUNCTION("GOOGLETRANSLATE(B3145,""en"",""hy"")"),"Audi 2011-ի սեփականատերը կարող է տարբեր լինել՝ կախված մեքենան գնած կոնկրետ անհատից կամ կազմակերպությունից:")</f>
        <v>Audi 2011-ի սեփականատերը կարող է տարբեր լինել՝ կախված մեքենան գնած կոնկրետ անհատից կամ կազմակերպությունից:</v>
      </c>
    </row>
    <row r="3146">
      <c r="A3146" s="1" t="s">
        <v>6204</v>
      </c>
      <c r="B3146" s="2" t="s">
        <v>6205</v>
      </c>
      <c r="C3146" s="3" t="str">
        <f>IFERROR(__xludf.DUMMYFUNCTION("GOOGLETRANSLATE(A3146,""en"",""hy"")"),"որտեղ էր Էնդրյու երիտասարդը դպրոց հաճախում:")</f>
        <v>որտեղ էր Էնդրյու երիտասարդը դպրոց հաճախում:</v>
      </c>
      <c r="D3146" s="3" t="str">
        <f>IFERROR(__xludf.DUMMYFUNCTION("GOOGLETRANSLATE(B3146,""en"",""hy"")"),"Էնդրյու Յանգը սովորել է Հովարդի համալսարանում իր բակալավրիատի համար և իր իրավունքի աստիճանը ստացել Կոնեկտիկուտի Հարթֆորդի սեմինարիայի հիմնադրամից:")</f>
        <v>Էնդրյու Յանգը սովորել է Հովարդի համալսարանում իր բակալավրիատի համար և իր իրավունքի աստիճանը ստացել Կոնեկտիկուտի Հարթֆորդի սեմինարիայի հիմնադրամից:</v>
      </c>
    </row>
    <row r="3147">
      <c r="A3147" s="1" t="s">
        <v>6206</v>
      </c>
      <c r="B3147" s="2" t="s">
        <v>6207</v>
      </c>
      <c r="C3147" s="3" t="str">
        <f>IFERROR(__xludf.DUMMYFUNCTION("GOOGLETRANSLATE(A3147,""en"",""hy"")"),"ով է սկսել twa ավիաընկերությունները")</f>
        <v>ով է սկսել twa ավիաընկերությունները</v>
      </c>
      <c r="D3147" s="3" t="str">
        <f>IFERROR(__xludf.DUMMYFUNCTION("GOOGLETRANSLATE(B3147,""en"",""hy"")"),"Հովարդ Հյուզը հիմնադրեց TWA (Trans World Airlines):")</f>
        <v>Հովարդ Հյուզը հիմնադրեց TWA (Trans World Airlines):</v>
      </c>
    </row>
    <row r="3148">
      <c r="A3148" s="1" t="s">
        <v>6208</v>
      </c>
      <c r="B3148" s="2" t="s">
        <v>6209</v>
      </c>
      <c r="C3148" s="3" t="str">
        <f>IFERROR(__xludf.DUMMYFUNCTION("GOOGLETRANSLATE(A3148,""en"",""hy"")"),"որո՞նք են չինարենի երկու բարբառները:")</f>
        <v>որո՞նք են չինարենի երկու բարբառները:</v>
      </c>
      <c r="D3148" s="3" t="str">
        <f>IFERROR(__xludf.DUMMYFUNCTION("GOOGLETRANSLATE(B3148,""en"",""hy"")"),"Չինարենի երկու բարբառներն են՝ մանդարին և կանտոներեն։")</f>
        <v>Չինարենի երկու բարբառներն են՝ մանդարին և կանտոներեն։</v>
      </c>
    </row>
    <row r="3149">
      <c r="A3149" s="1" t="s">
        <v>6210</v>
      </c>
      <c r="B3149" s="2" t="s">
        <v>6211</v>
      </c>
      <c r="C3149" s="3" t="str">
        <f>IFERROR(__xludf.DUMMYFUNCTION("GOOGLETRANSLATE(A3149,""en"",""hy"")"),"ով էր Մայքլ Ջեքսոնը վիզում:")</f>
        <v>ով էր Մայքլ Ջեքսոնը վիզում:</v>
      </c>
      <c r="D3149" s="3" t="str">
        <f>IFERROR(__xludf.DUMMYFUNCTION("GOOGLETRANSLATE(B3149,""en"",""hy"")"),"Մայքլ Ջեքսոնը «The Wiz» ֆիլմում խաղացել է Խրտվիլակի դերը։")</f>
        <v>Մայքլ Ջեքսոնը «The Wiz» ֆիլմում խաղացել է Խրտվիլակի դերը։</v>
      </c>
    </row>
    <row r="3150">
      <c r="A3150" s="1" t="s">
        <v>6212</v>
      </c>
      <c r="B3150" s="2" t="s">
        <v>6213</v>
      </c>
      <c r="C3150" s="3" t="str">
        <f>IFERROR(__xludf.DUMMYFUNCTION("GOOGLETRANSLATE(A3150,""en"",""hy"")"),"Ո՞ր նահանգում է գտնվում Վաշինգտոնը:")</f>
        <v>Ո՞ր նահանգում է գտնվում Վաշինգտոնը:</v>
      </c>
      <c r="D3150" s="3" t="str">
        <f>IFERROR(__xludf.DUMMYFUNCTION("GOOGLETRANSLATE(B3150,""en"",""hy"")"),"Վաշինգտոնը գտնվում է Կոլումբիայի շրջանում, ոչ մի նահանգում:")</f>
        <v>Վաշինգտոնը գտնվում է Կոլումբիայի շրջանում, ոչ մի նահանգում:</v>
      </c>
    </row>
    <row r="3151">
      <c r="A3151" s="1" t="s">
        <v>6214</v>
      </c>
      <c r="B3151" s="2" t="s">
        <v>6215</v>
      </c>
      <c r="C3151" s="3" t="str">
        <f>IFERROR(__xludf.DUMMYFUNCTION("GOOGLETRANSLATE(A3151,""en"",""hy"")"),"ո՞ր շրջանում է գտնվում Դուլութը")</f>
        <v>ո՞ր շրջանում է գտնվում Դուլութը</v>
      </c>
      <c r="D3151" s="3" t="str">
        <f>IFERROR(__xludf.DUMMYFUNCTION("GOOGLETRANSLATE(B3151,""en"",""hy"")"),"Դուլութը Սենտ Լուիս կոմսությունում է։")</f>
        <v>Դուլութը Սենտ Լուիս կոմսությունում է։</v>
      </c>
    </row>
    <row r="3152">
      <c r="A3152" s="1" t="s">
        <v>6216</v>
      </c>
      <c r="B3152" s="2" t="s">
        <v>6217</v>
      </c>
      <c r="C3152" s="3" t="str">
        <f>IFERROR(__xludf.DUMMYFUNCTION("GOOGLETRANSLATE(A3152,""en"",""hy"")"),"ո՞ր նահանգում է Չիկագոյում")</f>
        <v>ո՞ր նահանգում է Չիկագոյում</v>
      </c>
      <c r="D3152" s="3" t="str">
        <f>IFERROR(__xludf.DUMMYFUNCTION("GOOGLETRANSLATE(B3152,""en"",""hy"")"),"Չիկագոն նահանգ չէ, այն քաղաք է։ Այն գտնվում է Իլինոյս նահանգում։")</f>
        <v>Չիկագոն նահանգ չէ, այն քաղաք է։ Այն գտնվում է Իլինոյս նահանգում։</v>
      </c>
    </row>
    <row r="3153">
      <c r="A3153" s="1" t="s">
        <v>6218</v>
      </c>
      <c r="B3153" s="2" t="s">
        <v>1651</v>
      </c>
      <c r="C3153" s="3" t="str">
        <f>IFERROR(__xludf.DUMMYFUNCTION("GOOGLETRANSLATE(A3153,""en"",""hy"")"),"ո՞րն է Հունաստանում խոսվող հիմնական լեզուն:")</f>
        <v>ո՞րն է Հունաստանում խոսվող հիմնական լեզուն:</v>
      </c>
      <c r="D3153" s="3" t="str">
        <f>IFERROR(__xludf.DUMMYFUNCTION("GOOGLETRANSLATE(B3153,""en"",""hy"")"),"հունարեն.")</f>
        <v>հունարեն.</v>
      </c>
    </row>
    <row r="3154">
      <c r="A3154" s="1" t="s">
        <v>6219</v>
      </c>
      <c r="B3154" s="2" t="s">
        <v>6220</v>
      </c>
      <c r="C3154" s="3" t="str">
        <f>IFERROR(__xludf.DUMMYFUNCTION("GOOGLETRANSLATE(A3154,""en"",""hy"")"),"ով է քեզ վրա գրել Լյուկ Բրայանի հարբածը")</f>
        <v>ով է քեզ վրա գրել Լյուկ Բրայանի հարբածը</v>
      </c>
      <c r="D3154" s="3" t="str">
        <f>IFERROR(__xludf.DUMMYFUNCTION("GOOGLETRANSLATE(B3154,""en"",""hy"")"),"«Drunk on You» երգը գրել են Ռոդնի Քլոուսոնը և Քրիս Թոմփկինսը։")</f>
        <v>«Drunk on You» երգը գրել են Ռոդնի Քլոուսոնը և Քրիս Թոմփկինսը։</v>
      </c>
    </row>
    <row r="3155">
      <c r="A3155" s="1" t="s">
        <v>6221</v>
      </c>
      <c r="B3155" s="2" t="s">
        <v>6222</v>
      </c>
      <c r="C3155" s="3" t="str">
        <f>IFERROR(__xludf.DUMMYFUNCTION("GOOGLETRANSLATE(A3155,""en"",""hy"")"),"ժամը քանիսն է Ճապոնիայում 24 ժամ:")</f>
        <v>ժամը քանիսն է Ճապոնիայում 24 ժամ:</v>
      </c>
      <c r="D3155" s="3" t="str">
        <f>IFERROR(__xludf.DUMMYFUNCTION("GOOGLETRANSLATE(B3155,""en"",""hy"")"),"Ներկայումս [ներկայիս ժամանակն] Ճապոնիայում է:")</f>
        <v>Ներկայումս [ներկայիս ժամանակն] Ճապոնիայում է:</v>
      </c>
    </row>
    <row r="3156">
      <c r="A3156" s="1" t="s">
        <v>6223</v>
      </c>
      <c r="B3156" s="2" t="s">
        <v>6224</v>
      </c>
      <c r="C3156" s="3" t="str">
        <f>IFERROR(__xludf.DUMMYFUNCTION("GOOGLETRANSLATE(A3156,""en"",""hy"")"),"ատոմի ո՞ր մասն է հայտնաբերել Չեդվիքը:")</f>
        <v>ատոմի ո՞ր մասն է հայտնաբերել Չեդվիքը:</v>
      </c>
      <c r="D3156" s="3" t="str">
        <f>IFERROR(__xludf.DUMMYFUNCTION("GOOGLETRANSLATE(B3156,""en"",""hy"")"),"Չեդվիկը հայտնաբերել է նեյտրոնը։")</f>
        <v>Չեդվիկը հայտնաբերել է նեյտրոնը։</v>
      </c>
    </row>
    <row r="3157">
      <c r="A3157" s="1" t="s">
        <v>6225</v>
      </c>
      <c r="B3157" s="2" t="s">
        <v>6226</v>
      </c>
      <c r="C3157" s="3" t="str">
        <f>IFERROR(__xludf.DUMMYFUNCTION("GOOGLETRANSLATE(A3157,""en"",""hy"")"),"ո՞ր նահանգի համար է Բարաք Օբաման սենատորը.")</f>
        <v>ո՞ր նահանգի համար է Բարաք Օբաման սենատորը.</v>
      </c>
      <c r="D3157" s="3" t="str">
        <f>IFERROR(__xludf.DUMMYFUNCTION("GOOGLETRANSLATE(B3157,""en"",""hy"")"),"Բարաք Օբաման Իլինոյս նահանգի սենատոր էր:")</f>
        <v>Բարաք Օբաման Իլինոյս նահանգի սենատոր էր:</v>
      </c>
    </row>
    <row r="3158">
      <c r="A3158" s="1" t="s">
        <v>6227</v>
      </c>
      <c r="B3158" s="2" t="s">
        <v>6228</v>
      </c>
      <c r="C3158" s="3" t="str">
        <f>IFERROR(__xludf.DUMMYFUNCTION("GOOGLETRANSLATE(A3158,""en"",""hy"")"),"ինչ երաժշտություն է երգում Ջոն Մայերը:")</f>
        <v>ինչ երաժշտություն է երգում Ջոն Մայերը:</v>
      </c>
      <c r="D3158" s="3" t="str">
        <f>IFERROR(__xludf.DUMMYFUNCTION("GOOGLETRANSLATE(B3158,""en"",""hy"")"),"Ջոն Մայերը երգում է տարբեր ժանրեր, այդ թվում՝ փոփ, ռոք, բլյուզ և ֆոլկ:")</f>
        <v>Ջոն Մայերը երգում է տարբեր ժանրեր, այդ թվում՝ փոփ, ռոք, բլյուզ և ֆոլկ:</v>
      </c>
    </row>
    <row r="3159">
      <c r="A3159" s="1" t="s">
        <v>6229</v>
      </c>
      <c r="B3159" s="2" t="s">
        <v>6230</v>
      </c>
      <c r="C3159" s="3" t="str">
        <f>IFERROR(__xludf.DUMMYFUNCTION("GOOGLETRANSLATE(A3159,""en"",""hy"")"),"ի՞նչ կլինի Հունաստանի հետ, երբ նա դեֆոլտի տա.")</f>
        <v>ի՞նչ կլինի Հունաստանի հետ, երբ նա դեֆոլտի տա.</v>
      </c>
      <c r="D3159" s="3" t="str">
        <f>IFERROR(__xludf.DUMMYFUNCTION("GOOGLETRANSLATE(B3159,""en"",""hy"")"),"Երբ Հունաստանը դեֆոլտ է անում, հավանական է, որ այն բախվի ծանր տնտեսական հետևանքների, ինչպիսիք են ֆինանսական ճգնաժամը, միջազգային շուկաներ մուտքի կորուստը, բանկերի հնարավոր ձախողումները և տնտեսական ցնցումները:")</f>
        <v>Երբ Հունաստանը դեֆոլտ է անում, հավանական է, որ այն բախվի ծանր տնտեսական հետևանքների, ինչպիսիք են ֆինանսական ճգնաժամը, միջազգային շուկաներ մուտքի կորուստը, բանկերի հնարավոր ձախողումները և տնտեսական ցնցումները:</v>
      </c>
    </row>
    <row r="3160">
      <c r="A3160" s="1" t="s">
        <v>6231</v>
      </c>
      <c r="B3160" s="2" t="s">
        <v>6232</v>
      </c>
      <c r="C3160" s="3" t="str">
        <f>IFERROR(__xludf.DUMMYFUNCTION("GOOGLETRANSLATE(A3160,""en"",""hy"")"),"ինչ է անում բուդիկան")</f>
        <v>ինչ է անում բուդիկան</v>
      </c>
      <c r="D3160" s="3" t="str">
        <f>IFERROR(__xludf.DUMMYFUNCTION("GOOGLETRANSLATE(B3160,""en"",""hy"")"),"Բուդիկան կելտական ​​Իցենի ցեղի թագուհին էր, որը գլխավորեց ապստամբությունը Բրիտանիայում Հռոմեական կայսրության դեմ:")</f>
        <v>Բուդիկան կելտական ​​Իցենի ցեղի թագուհին էր, որը գլխավորեց ապստամբությունը Բրիտանիայում Հռոմեական կայսրության դեմ:</v>
      </c>
    </row>
    <row r="3161">
      <c r="A3161" s="1" t="s">
        <v>6233</v>
      </c>
      <c r="B3161" s="2" t="s">
        <v>6234</v>
      </c>
      <c r="C3161" s="3" t="str">
        <f>IFERROR(__xludf.DUMMYFUNCTION("GOOGLETRANSLATE(A3161,""en"",""hy"")"),"ինչ է մտածում Օփրան Աստծո մասին")</f>
        <v>ինչ է մտածում Օփրան Աստծո մասին</v>
      </c>
      <c r="D3161" s="3" t="str">
        <f>IFERROR(__xludf.DUMMYFUNCTION("GOOGLETRANSLATE(B3161,""en"",""hy"")"),"Օփրայի հավատալիքներն Աստծո մասին անձնական են և ժամանակի ընթացքում զարգացել են: Նա խոսել է հոգևոր կապ ունենալու մասին և հավատում է ավելի բարձր ուժի, սակայն բաց է տարբեր տեսակետների և կրոնական համոզմունքների համար:")</f>
        <v>Օփրայի հավատալիքներն Աստծո մասին անձնական են և ժամանակի ընթացքում զարգացել են: Նա խոսել է հոգևոր կապ ունենալու մասին և հավատում է ավելի բարձր ուժի, սակայն բաց է տարբեր տեսակետների և կրոնական համոզմունքների համար:</v>
      </c>
    </row>
    <row r="3162">
      <c r="A3162" s="1" t="s">
        <v>6235</v>
      </c>
      <c r="B3162" s="2" t="s">
        <v>6236</v>
      </c>
      <c r="C3162" s="3" t="str">
        <f>IFERROR(__xludf.DUMMYFUNCTION("GOOGLETRANSLATE(A3162,""en"",""hy"")"),"ինչ լեզվով են խոսում Բրազիլիան")</f>
        <v>ինչ լեզվով են խոսում Բրազիլիան</v>
      </c>
      <c r="D3162" s="3" t="str">
        <f>IFERROR(__xludf.DUMMYFUNCTION("GOOGLETRANSLATE(B3162,""en"",""hy"")"),"պորտուգալերեն.")</f>
        <v>պորտուգալերեն.</v>
      </c>
    </row>
    <row r="3163">
      <c r="A3163" s="1" t="s">
        <v>6237</v>
      </c>
      <c r="B3163" s="2" t="s">
        <v>6238</v>
      </c>
      <c r="C3163" s="3" t="str">
        <f>IFERROR(__xludf.DUMMYFUNCTION("GOOGLETRANSLATE(A3163,""en"",""hy"")"),"որտեղ է մահացել սըր Ջոն Մակդոնալդը:")</f>
        <v>որտեղ է մահացել սըր Ջոն Մակդոնալդը:</v>
      </c>
      <c r="D3163" s="3" t="str">
        <f>IFERROR(__xludf.DUMMYFUNCTION("GOOGLETRANSLATE(B3163,""en"",""hy"")"),"Սըր Ջոն Ա. Մակդոնալդը մահացել է Օտտավայում, Կանադա")</f>
        <v>Սըր Ջոն Ա. Մակդոնալդը մահացել է Օտտավայում, Կանադա</v>
      </c>
    </row>
    <row r="3164">
      <c r="A3164" s="1" t="s">
        <v>6239</v>
      </c>
      <c r="B3164" s="2" t="s">
        <v>6240</v>
      </c>
      <c r="C3164" s="3" t="str">
        <f>IFERROR(__xludf.DUMMYFUNCTION("GOOGLETRANSLATE(A3164,""en"",""hy"")"),"ինչ փող Արուբայում")</f>
        <v>ինչ փող Արուբայում</v>
      </c>
      <c r="D3164" s="3" t="str">
        <f>IFERROR(__xludf.DUMMYFUNCTION("GOOGLETRANSLATE(B3164,""en"",""hy"")"),"Արուբայում արժույթը արուբան ֆլորինն է։")</f>
        <v>Արուբայում արժույթը արուբան ֆլորինն է։</v>
      </c>
    </row>
    <row r="3165">
      <c r="A3165" s="1" t="s">
        <v>6241</v>
      </c>
      <c r="B3165" s="2" t="s">
        <v>6242</v>
      </c>
      <c r="C3165" s="3" t="str">
        <f>IFERROR(__xludf.DUMMYFUNCTION("GOOGLETRANSLATE(A3165,""en"",""hy"")"),"ո՞րն է այսօր Պերտում:")</f>
        <v>ո՞րն է այսօր Պերտում:</v>
      </c>
      <c r="D3165" s="3" t="str">
        <f>IFERROR(__xludf.DUMMYFUNCTION("GOOGLETRANSLATE(B3165,""en"",""hy"")"),"Ներողություն եմ խնդրում, բայց ես ի վիճակի չեմ նշել ընթացիկ ամսաթիվը:")</f>
        <v>Ներողություն եմ խնդրում, բայց ես ի վիճակի չեմ նշել ընթացիկ ամսաթիվը:</v>
      </c>
    </row>
    <row r="3166">
      <c r="A3166" s="1" t="s">
        <v>6243</v>
      </c>
      <c r="B3166" s="2" t="s">
        <v>6244</v>
      </c>
      <c r="C3166" s="3" t="str">
        <f>IFERROR(__xludf.DUMMYFUNCTION("GOOGLETRANSLATE(A3166,""en"",""hy"")"),"որտեղ են կրակել Մարտին Լյութեր Քինգ կրտսերին:")</f>
        <v>որտեղ են կրակել Մարտին Լյութեր Քինգ կրտսերին:</v>
      </c>
      <c r="D3166" s="3" t="str">
        <f>IFERROR(__xludf.DUMMYFUNCTION("GOOGLETRANSLATE(B3166,""en"",""hy"")"),"Մարտին Լյութեր Քինգ կրտսերը գնդակահարվել և սպանվել է Թենեսի նահանգի Մեմֆիս քաղաքի Lorraine մոթելում:")</f>
        <v>Մարտին Լյութեր Քինգ կրտսերը գնդակահարվել և սպանվել է Թենեսի նահանգի Մեմֆիս քաղաքի Lorraine մոթելում:</v>
      </c>
    </row>
    <row r="3167">
      <c r="A3167" s="1" t="s">
        <v>6245</v>
      </c>
      <c r="B3167" s="2" t="s">
        <v>988</v>
      </c>
      <c r="C3167" s="3" t="str">
        <f>IFERROR(__xludf.DUMMYFUNCTION("GOOGLETRANSLATE(A3167,""en"",""hy"")"),"ո՞ր երկրից է իսպաներենը")</f>
        <v>ո՞ր երկրից է իսպաներենը</v>
      </c>
      <c r="D3167" s="3" t="str">
        <f>IFERROR(__xludf.DUMMYFUNCTION("GOOGLETRANSLATE(B3167,""en"",""hy"")"),"Իսպանիա")</f>
        <v>Իսպանիա</v>
      </c>
    </row>
    <row r="3168">
      <c r="A3168" s="1" t="s">
        <v>6246</v>
      </c>
      <c r="B3168" s="2" t="s">
        <v>6247</v>
      </c>
      <c r="C3168" s="3" t="str">
        <f>IFERROR(__xludf.DUMMYFUNCTION("GOOGLETRANSLATE(A3168,""en"",""hy"")"),"որն է Հարավային Կորեայի մայրաքաղաքը:")</f>
        <v>որն է Հարավային Կորեայի մայրաքաղաքը:</v>
      </c>
      <c r="D3168" s="3" t="str">
        <f>IFERROR(__xludf.DUMMYFUNCTION("GOOGLETRANSLATE(B3168,""en"",""hy"")"),"Սեուլ")</f>
        <v>Սեուլ</v>
      </c>
    </row>
    <row r="3169">
      <c r="A3169" s="1" t="s">
        <v>6248</v>
      </c>
      <c r="B3169" s="2" t="s">
        <v>6249</v>
      </c>
      <c r="C3169" s="3" t="str">
        <f>IFERROR(__xludf.DUMMYFUNCTION("GOOGLETRANSLATE(A3169,""en"",""hy"")"),"ով էր Դարթ Վեյդերը 3-րդ դրվագում:")</f>
        <v>ով էր Դարթ Վեյդերը 3-րդ դրվագում:</v>
      </c>
      <c r="D3169" s="3" t="str">
        <f>IFERROR(__xludf.DUMMYFUNCTION("GOOGLETRANSLATE(B3169,""en"",""hy"")"),"Անակին Սքայուոքեր.")</f>
        <v>Անակին Սքայուոքեր.</v>
      </c>
    </row>
    <row r="3170">
      <c r="A3170" s="1" t="s">
        <v>6250</v>
      </c>
      <c r="B3170" s="2" t="s">
        <v>6251</v>
      </c>
      <c r="C3170" s="3" t="str">
        <f>IFERROR(__xludf.DUMMYFUNCTION("GOOGLETRANSLATE(A3170,""en"",""hy"")"),"Ե՞րբ է հեռարձակվում Էլենը")</f>
        <v>Ե՞րբ է հեռարձակվում Էլենը</v>
      </c>
      <c r="D3170" s="3" t="str">
        <f>IFERROR(__xludf.DUMMYFUNCTION("GOOGLETRANSLATE(B3170,""en"",""hy"")"),"Էլենի շոուն հեռարձակվում է աշխատանքային օրերին:")</f>
        <v>Էլենի շոուն հեռարձակվում է աշխատանքային օրերին:</v>
      </c>
    </row>
    <row r="3171">
      <c r="A3171" s="1" t="s">
        <v>6252</v>
      </c>
      <c r="B3171" s="2" t="s">
        <v>6253</v>
      </c>
      <c r="C3171" s="3" t="str">
        <f>IFERROR(__xludf.DUMMYFUNCTION("GOOGLETRANSLATE(A3171,""en"",""hy"")"),"ո՞րն է արժույթը Կոնգոյի Հանրապետությունում:")</f>
        <v>ո՞րն է արժույթը Կոնգոյի Հանրապետությունում:</v>
      </c>
      <c r="D3171" s="3" t="str">
        <f>IFERROR(__xludf.DUMMYFUNCTION("GOOGLETRANSLATE(B3171,""en"",""hy"")"),"Կոնգոյի Հանրապետությունում արժույթը Կենտրոնական Աֆրիկայի CFA ֆրանկն է։")</f>
        <v>Կոնգոյի Հանրապետությունում արժույթը Կենտրոնական Աֆրիկայի CFA ֆրանկն է։</v>
      </c>
    </row>
    <row r="3172">
      <c r="A3172" s="1" t="s">
        <v>6254</v>
      </c>
      <c r="B3172" s="2" t="s">
        <v>6255</v>
      </c>
      <c r="C3172" s="3" t="str">
        <f>IFERROR(__xludf.DUMMYFUNCTION("GOOGLETRANSLATE(A3172,""en"",""hy"")"),"ինչ մասնագիտություն ունի Օբաման:")</f>
        <v>ինչ մասնագիտություն ունի Օբաման:</v>
      </c>
      <c r="D3172" s="3" t="str">
        <f>IFERROR(__xludf.DUMMYFUNCTION("GOOGLETRANSLATE(B3172,""en"",""hy"")"),"Օբաման ունի քաղաքագիտության աստիճան։")</f>
        <v>Օբաման ունի քաղաքագիտության աստիճան։</v>
      </c>
    </row>
    <row r="3173">
      <c r="A3173" s="1" t="s">
        <v>6256</v>
      </c>
      <c r="B3173" s="2" t="s">
        <v>6257</v>
      </c>
      <c r="C3173" s="3" t="str">
        <f>IFERROR(__xludf.DUMMYFUNCTION("GOOGLETRANSLATE(A3173,""en"",""hy"")"),"ով է Ճապոնիայի քաղաքական առաջնորդը.")</f>
        <v>ով է Ճապոնիայի քաղաքական առաջնորդը.</v>
      </c>
      <c r="D3173" s="3" t="str">
        <f>IFERROR(__xludf.DUMMYFUNCTION("GOOGLETRANSLATE(B3173,""en"",""hy"")"),"Ճապոնիայի ներկայիս քաղաքական առաջնորդը Յոսիհիդե Սուգան է։")</f>
        <v>Ճապոնիայի ներկայիս քաղաքական առաջնորդը Յոսիհիդե Սուգան է։</v>
      </c>
    </row>
    <row r="3174">
      <c r="A3174" s="1" t="s">
        <v>6258</v>
      </c>
      <c r="B3174" s="2" t="s">
        <v>6259</v>
      </c>
      <c r="C3174" s="3" t="str">
        <f>IFERROR(__xludf.DUMMYFUNCTION("GOOGLETRANSLATE(A3174,""en"",""hy"")"),"ո՞ր երկիրն էր ներկայացնում Ջովանի դա Վերրազանոն:")</f>
        <v>ո՞ր երկիրն էր ներկայացնում Ջովանի դա Վերրազանոն:</v>
      </c>
      <c r="D3174" s="3" t="str">
        <f>IFERROR(__xludf.DUMMYFUNCTION("GOOGLETRANSLATE(B3174,""en"",""hy"")"),"Ջովանի դա Վերազանոն ներկայացնում էր Իտալիան։")</f>
        <v>Ջովանի դա Վերազանոն ներկայացնում էր Իտալիան։</v>
      </c>
    </row>
    <row r="3175">
      <c r="A3175" s="1" t="s">
        <v>6260</v>
      </c>
      <c r="B3175" s="2" t="s">
        <v>6261</v>
      </c>
      <c r="C3175" s="3" t="str">
        <f>IFERROR(__xludf.DUMMYFUNCTION("GOOGLETRANSLATE(A3175,""en"",""hy"")"),"Ե՞րբ է մահացել սուրբ Նիկոլասը")</f>
        <v>Ե՞րբ է մահացել սուրբ Նիկոլասը</v>
      </c>
      <c r="D3175" s="3" t="str">
        <f>IFERROR(__xludf.DUMMYFUNCTION("GOOGLETRANSLATE(B3175,""en"",""hy"")"),"Ենթադրվում է, որ Սուրբ Նիկոլասը մահացել է 343 թվականի դեկտեմբերի 6-ին:")</f>
        <v>Ենթադրվում է, որ Սուրբ Նիկոլասը մահացել է 343 թվականի դեկտեմբերի 6-ին:</v>
      </c>
    </row>
    <row r="3176">
      <c r="A3176" s="1" t="s">
        <v>6262</v>
      </c>
      <c r="B3176" s="2" t="s">
        <v>6263</v>
      </c>
      <c r="C3176" s="3" t="str">
        <f>IFERROR(__xludf.DUMMYFUNCTION("GOOGLETRANSLATE(A3176,""en"",""hy"")"),"Ո՞ր երկրների հետ է սահմանակից Գերմանիան:")</f>
        <v>Ո՞ր երկրների հետ է սահմանակից Գերմանիան:</v>
      </c>
      <c r="D3176" s="3" t="str">
        <f>IFERROR(__xludf.DUMMYFUNCTION("GOOGLETRANSLATE(B3176,""en"",""hy"")"),"Գերմանիան սահմանակից է 9 երկրների՝ Դանիայի, Լեհաստանի, Չեխիայի, Ավստրիայի, Շվեյցարիայի, Ֆրանսիայի, Բելգիայի, Լյուքսեմբուրգի և Նիդեռլանդների հետ։")</f>
        <v>Գերմանիան սահմանակից է 9 երկրների՝ Դանիայի, Լեհաստանի, Չեխիայի, Ավստրիայի, Շվեյցարիայի, Ֆրանսիայի, Բելգիայի, Լյուքսեմբուրգի և Նիդեռլանդների հետ։</v>
      </c>
    </row>
    <row r="3177">
      <c r="A3177" s="1" t="s">
        <v>6264</v>
      </c>
      <c r="B3177" s="2" t="s">
        <v>6265</v>
      </c>
      <c r="C3177" s="3" t="str">
        <f>IFERROR(__xludf.DUMMYFUNCTION("GOOGLETRANSLATE(A3177,""en"",""hy"")"),"Ո՞ր քաղաքից են Ջեքսոնվիլ յագուարները:")</f>
        <v>Ո՞ր քաղաքից են Ջեքսոնվիլ յագուարները:</v>
      </c>
      <c r="D3177" s="3" t="str">
        <f>IFERROR(__xludf.DUMMYFUNCTION("GOOGLETRANSLATE(B3177,""en"",""hy"")"),"Ջեքսոնվիլ, Ֆլորիդա")</f>
        <v>Ջեքսոնվիլ, Ֆլորիդա</v>
      </c>
    </row>
    <row r="3178">
      <c r="A3178" s="1" t="s">
        <v>6266</v>
      </c>
      <c r="B3178" s="2" t="s">
        <v>6267</v>
      </c>
      <c r="C3178" s="3" t="str">
        <f>IFERROR(__xludf.DUMMYFUNCTION("GOOGLETRANSLATE(A3178,""en"",""hy"")"),"ե՞րբ է վերջին անգամ ռեյդերները հաղթել առաջնությունում:")</f>
        <v>ե՞րբ է վերջին անգամ ռեյդերները հաղթել առաջնությունում:</v>
      </c>
      <c r="D3178" s="3" t="str">
        <f>IFERROR(__xludf.DUMMYFUNCTION("GOOGLETRANSLATE(B3178,""en"",""hy"")"),"Վերջին անգամ «Ռեյդերները» չեմպիոն են դարձել 1983 թվականին:")</f>
        <v>Վերջին անգամ «Ռեյդերները» չեմպիոն են դարձել 1983 թվականին:</v>
      </c>
    </row>
    <row r="3179">
      <c r="A3179" s="1" t="s">
        <v>6268</v>
      </c>
      <c r="B3179" s="2" t="s">
        <v>169</v>
      </c>
      <c r="C3179" s="3" t="str">
        <f>IFERROR(__xludf.DUMMYFUNCTION("GOOGLETRANSLATE(A3179,""en"",""hy"")"),"որտեղ է ժամային գոտին Ֆլորիդայում:")</f>
        <v>որտեղ է ժամային գոտին Ֆլորիդայում:</v>
      </c>
      <c r="D3179" s="3" t="str">
        <f>IFERROR(__xludf.DUMMYFUNCTION("GOOGLETRANSLATE(B3179,""en"",""hy"")"),"Արևելյան ժամային գոտի")</f>
        <v>Արևելյան ժամային գոտի</v>
      </c>
    </row>
    <row r="3180">
      <c r="A3180" s="1" t="s">
        <v>6269</v>
      </c>
      <c r="B3180" s="2" t="s">
        <v>6270</v>
      </c>
      <c r="C3180" s="3" t="str">
        <f>IFERROR(__xludf.DUMMYFUNCTION("GOOGLETRANSLATE(A3180,""en"",""hy"")"),"ով և ե՞րբ է ստեղծել youtube-ը:")</f>
        <v>ով և ե՞րբ է ստեղծել youtube-ը:</v>
      </c>
      <c r="D3180" s="3" t="str">
        <f>IFERROR(__xludf.DUMMYFUNCTION("GOOGLETRANSLATE(B3180,""en"",""hy"")"),"YouTube-ը ստեղծվել է PayPal-ի երեք նախկին աշխատակիցների կողմից՝ Չադ Հերլին, Սթիվ Չենը և Ջավեդ Քարիմը, 2005 թվականի փետրվարին։")</f>
        <v>YouTube-ը ստեղծվել է PayPal-ի երեք նախկին աշխատակիցների կողմից՝ Չադ Հերլին, Սթիվ Չենը և Ջավեդ Քարիմը, 2005 թվականի փետրվարին։</v>
      </c>
    </row>
    <row r="3181">
      <c r="A3181" s="1" t="s">
        <v>6271</v>
      </c>
      <c r="B3181" s="2" t="s">
        <v>6272</v>
      </c>
      <c r="C3181" s="3" t="str">
        <f>IFERROR(__xludf.DUMMYFUNCTION("GOOGLETRANSLATE(A3181,""en"",""hy"")"),"Ո՞ր շրջանում է գտնվում մաքուր ջրերը:")</f>
        <v>Ո՞ր շրջանում է գտնվում մաքուր ջրերը:</v>
      </c>
      <c r="D3181" s="3" t="str">
        <f>IFERROR(__xludf.DUMMYFUNCTION("GOOGLETRANSLATE(B3181,""en"",""hy"")"),"Պինելաս շրջան")</f>
        <v>Պինելաս շրջան</v>
      </c>
    </row>
    <row r="3182">
      <c r="A3182" s="1" t="s">
        <v>6273</v>
      </c>
      <c r="B3182" s="2" t="s">
        <v>6274</v>
      </c>
      <c r="C3182" s="3" t="str">
        <f>IFERROR(__xludf.DUMMYFUNCTION("GOOGLETRANSLATE(A3182,""en"",""hy"")"),"ինչպիսի՞ քաղաքական համակարգ է Իսպանիան.")</f>
        <v>ինչպիսի՞ քաղաքական համակարգ է Իսպանիան.</v>
      </c>
      <c r="D3182" s="3" t="str">
        <f>IFERROR(__xludf.DUMMYFUNCTION("GOOGLETRANSLATE(B3182,""en"",""hy"")"),"Իսպանիան սահմանադրական միապետություն է։")</f>
        <v>Իսպանիան սահմանադրական միապետություն է։</v>
      </c>
    </row>
    <row r="3183">
      <c r="A3183" s="1" t="s">
        <v>6275</v>
      </c>
      <c r="B3183" s="2" t="s">
        <v>6276</v>
      </c>
      <c r="C3183" s="3" t="str">
        <f>IFERROR(__xludf.DUMMYFUNCTION("GOOGLETRANSLATE(A3183,""en"",""hy"")"),"ի՞նչ է պատահել Ֆարային և նրա փոքրիկ հայրիկին:")</f>
        <v>ի՞նչ է պատահել Ֆարային և նրա փոքրիկ հայրիկին:</v>
      </c>
      <c r="D3183" s="3" t="str">
        <f>IFERROR(__xludf.DUMMYFUNCTION("GOOGLETRANSLATE(B3183,""en"",""hy"")"),"Ցավում եմ, բայց ես չեմ կարող որևէ տեղեկություն տրամադրել, քանի որ ես արհեստական ​​ինտելեկտի լեզվի մոդել եմ և իրական ժամանակում հասանելիություն չունեմ ընթացիկ իրադարձություններին կամ անձնական տեղեկատվությանը:")</f>
        <v>Ցավում եմ, բայց ես չեմ կարող որևէ տեղեկություն տրամադրել, քանի որ ես արհեստական ​​ինտելեկտի լեզվի մոդել եմ և իրական ժամանակում հասանելիություն չունեմ ընթացիկ իրադարձություններին կամ անձնական տեղեկատվությանը:</v>
      </c>
    </row>
    <row r="3184">
      <c r="A3184" s="1" t="s">
        <v>6277</v>
      </c>
      <c r="B3184" s="2" t="s">
        <v>6278</v>
      </c>
      <c r="C3184" s="3" t="str">
        <f>IFERROR(__xludf.DUMMYFUNCTION("GOOGLETRANSLATE(A3184,""en"",""hy"")"),"Որո՞նք են սնափառ եղբայրների և քույրերի անունները:")</f>
        <v>Որո՞նք են սնափառ եղբայրների և քույրերի անունները:</v>
      </c>
      <c r="D3184" s="3" t="str">
        <f>IFERROR(__xludf.DUMMYFUNCTION("GOOGLETRANSLATE(B3184,""en"",""hy"")"),"Սնուփիի եղբայրներն են՝ Սփայքը, Բելլը, Մարբլսը, Օլաֆը, Էնդին և Մոլին։")</f>
        <v>Սնուփիի եղբայրներն են՝ Սփայքը, Բելլը, Մարբլսը, Օլաֆը, Էնդին և Մոլին։</v>
      </c>
    </row>
    <row r="3185">
      <c r="A3185" s="1" t="s">
        <v>6279</v>
      </c>
      <c r="B3185" s="2" t="s">
        <v>6280</v>
      </c>
      <c r="C3185" s="3" t="str">
        <f>IFERROR(__xludf.DUMMYFUNCTION("GOOGLETRANSLATE(A3185,""en"",""hy"")"),"ո՞րն է լագունա լողափի թեմատիկ երգը:")</f>
        <v>ո՞րն է լագունա լողափի թեմատիկ երգը:</v>
      </c>
      <c r="D3185" s="3" t="str">
        <f>IFERROR(__xludf.DUMMYFUNCTION("GOOGLETRANSLATE(B3185,""en"",""hy"")"),"Լագունա Բիչի համար նախատեսված երգը կոչվում է «Չգրված» Նատաշա Բեդինգֆիլդի կողմից:")</f>
        <v>Լագունա Բիչի համար նախատեսված երգը կոչվում է «Չգրված» Նատաշա Բեդինգֆիլդի կողմից:</v>
      </c>
    </row>
    <row r="3186">
      <c r="A3186" s="1" t="s">
        <v>6281</v>
      </c>
      <c r="B3186" s="2" t="s">
        <v>6282</v>
      </c>
      <c r="C3186" s="3" t="str">
        <f>IFERROR(__xludf.DUMMYFUNCTION("GOOGLETRANSLATE(A3186,""en"",""hy"")"),"Ո՞րն էր Էդգար Ալան Պոյի մահվան պատճառը.")</f>
        <v>Ո՞րն էր Էդգար Ալան Պոյի մահվան պատճառը.</v>
      </c>
      <c r="D3186" s="3" t="str">
        <f>IFERROR(__xludf.DUMMYFUNCTION("GOOGLETRANSLATE(B3186,""en"",""hy"")"),"Էդգար Ալան Պոյի մահվան պատճառը դեռևս հայտնի չէ։")</f>
        <v>Էդգար Ալան Պոյի մահվան պատճառը դեռևս հայտնի չէ։</v>
      </c>
    </row>
    <row r="3187">
      <c r="A3187" s="1" t="s">
        <v>6283</v>
      </c>
      <c r="B3187" s="2" t="s">
        <v>6284</v>
      </c>
      <c r="C3187" s="3" t="str">
        <f>IFERROR(__xludf.DUMMYFUNCTION("GOOGLETRANSLATE(A3187,""en"",""hy"")"),"ինչո՞վ է ամենահայտնին Թոմաս Էդիսոնը:")</f>
        <v>ինչո՞վ է ամենահայտնին Թոմաս Էդիսոնը:</v>
      </c>
      <c r="D3187" s="3" t="str">
        <f>IFERROR(__xludf.DUMMYFUNCTION("GOOGLETRANSLATE(B3187,""en"",""hy"")"),"Թոմաս Էդիսոնն առավել հայտնի է գործնական շիկացած լամպի հայտնագործմամբ:")</f>
        <v>Թոմաս Էդիսոնն առավել հայտնի է գործնական շիկացած լամպի հայտնագործմամբ:</v>
      </c>
    </row>
    <row r="3188">
      <c r="A3188" s="1" t="s">
        <v>6285</v>
      </c>
      <c r="B3188" s="2" t="s">
        <v>6286</v>
      </c>
      <c r="C3188" s="3" t="str">
        <f>IFERROR(__xludf.DUMMYFUNCTION("GOOGLETRANSLATE(A3188,""en"",""hy"")"),"ինչ է անում Ջենիֆեր Լոպեսը")</f>
        <v>ինչ է անում Ջենիֆեր Լոպեսը</v>
      </c>
      <c r="D3188" s="3" t="str">
        <f>IFERROR(__xludf.DUMMYFUNCTION("GOOGLETRANSLATE(B3188,""en"",""hy"")"),"Ջենիֆեր Լոպեսը երգչուհի, դերասանուհի և պրոդյուսեր է։")</f>
        <v>Ջենիֆեր Լոպեսը երգչուհի, դերասանուհի և պրոդյուսեր է։</v>
      </c>
    </row>
    <row r="3189">
      <c r="A3189" s="1" t="s">
        <v>6287</v>
      </c>
      <c r="B3189" s="2" t="s">
        <v>6288</v>
      </c>
      <c r="C3189" s="3" t="str">
        <f>IFERROR(__xludf.DUMMYFUNCTION("GOOGLETRANSLATE(A3189,""en"",""hy"")"),"Ո՞ր երկրում է ծնվել Դմիտրի Մենդելեևը:")</f>
        <v>Ո՞ր երկրում է ծնվել Դմիտրի Մենդելեևը:</v>
      </c>
      <c r="D3189" s="3" t="str">
        <f>IFERROR(__xludf.DUMMYFUNCTION("GOOGLETRANSLATE(B3189,""en"",""hy"")"),"Դմիտրի Մենդելեևը ծնվել է Ռուսաստանում։")</f>
        <v>Դմիտրի Մենդելեևը ծնվել է Ռուսաստանում։</v>
      </c>
    </row>
    <row r="3190">
      <c r="A3190" s="1" t="s">
        <v>6289</v>
      </c>
      <c r="B3190" s="2" t="s">
        <v>6290</v>
      </c>
      <c r="C3190" s="3" t="str">
        <f>IFERROR(__xludf.DUMMYFUNCTION("GOOGLETRANSLATE(A3190,""en"",""hy"")"),"որտե՞ղ է նախագահ Օբաման սովորել ավագ դպրոցում:")</f>
        <v>որտե՞ղ է նախագահ Օբաման սովորել ավագ դպրոցում:</v>
      </c>
      <c r="D3190" s="3" t="str">
        <f>IFERROR(__xludf.DUMMYFUNCTION("GOOGLETRANSLATE(B3190,""en"",""hy"")"),"Նախագահ Օբաման գնացել է Պունահու դպրոց ավագ դպրոցում:")</f>
        <v>Նախագահ Օբաման գնացել է Պունահու դպրոց ավագ դպրոցում:</v>
      </c>
    </row>
    <row r="3191">
      <c r="A3191" s="1" t="s">
        <v>6291</v>
      </c>
      <c r="B3191" s="2" t="s">
        <v>6292</v>
      </c>
      <c r="C3191" s="3" t="str">
        <f>IFERROR(__xludf.DUMMYFUNCTION("GOOGLETRANSLATE(A3191,""en"",""hy"")"),"ո՞րն է արևմտյան Գերմանիայի մայրաքաղաքը:")</f>
        <v>ո՞րն է արևմտյան Գերմանիայի մայրաքաղաքը:</v>
      </c>
      <c r="D3191" s="3" t="str">
        <f>IFERROR(__xludf.DUMMYFUNCTION("GOOGLETRANSLATE(B3191,""en"",""hy"")"),"Արևմտյան Գերմանիայի մայրաքաղաքը Բոնն էր։")</f>
        <v>Արևմտյան Գերմանիայի մայրաքաղաքը Բոնն էր։</v>
      </c>
    </row>
    <row r="3192">
      <c r="A3192" s="1" t="s">
        <v>6293</v>
      </c>
      <c r="B3192" s="2" t="s">
        <v>6294</v>
      </c>
      <c r="C3192" s="3" t="str">
        <f>IFERROR(__xludf.DUMMYFUNCTION("GOOGLETRANSLATE(A3192,""en"",""hy"")"),"ի՞նչ դրամական համակարգ է օգտագործում Ավստրալիան:")</f>
        <v>ի՞նչ դրամական համակարգ է օգտագործում Ավստրալիան:</v>
      </c>
      <c r="D3192" s="3" t="str">
        <f>IFERROR(__xludf.DUMMYFUNCTION("GOOGLETRANSLATE(B3192,""en"",""hy"")"),"Ավստրալիան որպես արժույթ օգտագործում է ավստրալիական դոլարը։")</f>
        <v>Ավստրալիան որպես արժույթ օգտագործում է ավստրալիական դոլարը։</v>
      </c>
    </row>
    <row r="3193">
      <c r="A3193" s="1" t="s">
        <v>6295</v>
      </c>
      <c r="B3193" s="2" t="s">
        <v>6296</v>
      </c>
      <c r="C3193" s="3" t="str">
        <f>IFERROR(__xludf.DUMMYFUNCTION("GOOGLETRANSLATE(A3193,""en"",""hy"")"),"Ե՞րբ է Հերման Քեյնը առաջադրվել նախագահի պաշտոնում:")</f>
        <v>Ե՞րբ է Հերման Քեյնը առաջադրվել նախագահի պաշտոնում:</v>
      </c>
      <c r="D3193" s="3" t="str">
        <f>IFERROR(__xludf.DUMMYFUNCTION("GOOGLETRANSLATE(B3193,""en"",""hy"")"),"Հերման Քեյնը առաջադրվել է նախագահի պաշտոնում 2012թ.")</f>
        <v>Հերման Քեյնը առաջադրվել է նախագահի պաշտոնում 2012թ.</v>
      </c>
    </row>
    <row r="3194">
      <c r="A3194" s="1" t="s">
        <v>6297</v>
      </c>
      <c r="B3194" s="2" t="s">
        <v>6298</v>
      </c>
      <c r="C3194" s="3" t="str">
        <f>IFERROR(__xludf.DUMMYFUNCTION("GOOGLETRANSLATE(A3194,""en"",""hy"")"),"ով է Քերոլայն Սփենսեր կրտսերի հայրը:")</f>
        <v>ով է Քերոլայն Սփենսեր կրտսերի հայրը:</v>
      </c>
      <c r="D3194" s="3" t="str">
        <f>IFERROR(__xludf.DUMMYFUNCTION("GOOGLETRANSLATE(B3194,""en"",""hy"")"),"Քերոլայն Սփենսեր կրտսերի հայրը Ռիջ Ֆորեսթերն է։")</f>
        <v>Քերոլայն Սփենսեր կրտսերի հայրը Ռիջ Ֆորեսթերն է։</v>
      </c>
    </row>
    <row r="3195">
      <c r="A3195" s="1" t="s">
        <v>6299</v>
      </c>
      <c r="B3195" s="2" t="s">
        <v>6300</v>
      </c>
      <c r="C3195" s="3" t="str">
        <f>IFERROR(__xludf.DUMMYFUNCTION("GOOGLETRANSLATE(A3195,""en"",""hy"")"),"Ե՞րբ է ԱՄՆ-ի բաց թենիսի տղամարդկանց 2011-ի եզրափակիչը:")</f>
        <v>Ե՞րբ է ԱՄՆ-ի բաց թենիսի տղամարդկանց 2011-ի եզրափակիչը:</v>
      </c>
      <c r="D3195" s="3" t="str">
        <f>IFERROR(__xludf.DUMMYFUNCTION("GOOGLETRANSLATE(B3195,""en"",""hy"")"),"2011 թվականին թենիսի ԱՄՆ բաց առաջնության տղամարդկանց եզրափակիչը տեղի ունեցավ սեպտեմբերի 12-ին։")</f>
        <v>2011 թվականին թենիսի ԱՄՆ բաց առաջնության տղամարդկանց եզրափակիչը տեղի ունեցավ սեպտեմբերի 12-ին։</v>
      </c>
    </row>
    <row r="3196">
      <c r="A3196" s="1" t="s">
        <v>6301</v>
      </c>
      <c r="B3196" s="2" t="s">
        <v>6302</v>
      </c>
      <c r="C3196" s="3" t="str">
        <f>IFERROR(__xludf.DUMMYFUNCTION("GOOGLETRANSLATE(A3196,""en"",""hy"")"),"որտեղ է ապրում նախագահ Բարաք Օբաման.")</f>
        <v>որտեղ է ապրում նախագահ Բարաք Օբաման.</v>
      </c>
      <c r="D3196" s="3" t="str">
        <f>IFERROR(__xludf.DUMMYFUNCTION("GOOGLETRANSLATE(B3196,""en"",""hy"")"),"Նախագահ Բարաք Օբաման ներկայումս ապրում է Վաշինգտոնում, D.C.")</f>
        <v>Նախագահ Բարաք Օբաման ներկայումս ապրում է Վաշինգտոնում, D.C.</v>
      </c>
    </row>
    <row r="3197">
      <c r="A3197" s="1" t="s">
        <v>6303</v>
      </c>
      <c r="B3197" s="2" t="s">
        <v>6304</v>
      </c>
      <c r="C3197" s="3" t="str">
        <f>IFERROR(__xludf.DUMMYFUNCTION("GOOGLETRANSLATE(A3197,""en"",""hy"")"),"որտեղ է պայքարում Նիք Դիազը")</f>
        <v>որտեղ է պայքարում Նիք Դիազը</v>
      </c>
      <c r="D3197" s="3" t="str">
        <f>IFERROR(__xludf.DUMMYFUNCTION("GOOGLETRANSLATE(B3197,""en"",""hy"")"),"Նիկ Դիասը մենամարտում է Խառը մենամարտերի (MMA) գովազդներում, որոնցից ամենաուշագրավ մենամարտերը տեղի են ունենում Ultimate Fighting Championship-ում (UFC):")</f>
        <v>Նիկ Դիասը մենամարտում է Խառը մենամարտերի (MMA) գովազդներում, որոնցից ամենաուշագրավ մենամարտերը տեղի են ունենում Ultimate Fighting Championship-ում (UFC):</v>
      </c>
    </row>
    <row r="3198">
      <c r="A3198" s="1" t="s">
        <v>6305</v>
      </c>
      <c r="B3198" s="2" t="s">
        <v>6306</v>
      </c>
      <c r="C3198" s="3" t="str">
        <f>IFERROR(__xludf.DUMMYFUNCTION("GOOGLETRANSLATE(A3198,""en"",""hy"")"),"որտեղ է հարվածել Սենտ Լուիս տորնադոն.")</f>
        <v>որտեղ է հարվածել Սենտ Լուիս տորնադոն.</v>
      </c>
      <c r="D3198" s="3" t="str">
        <f>IFERROR(__xludf.DUMMYFUNCTION("GOOGLETRANSLATE(B3198,""en"",""hy"")"),"Սենթ Լուիսի տորնադոն հարվածել է Միսսուրի նահանգի Սենտ Լուիս քաղաքին։")</f>
        <v>Սենթ Լուիսի տորնադոն հարվածել է Միսսուրի նահանգի Սենտ Լուիս քաղաքին։</v>
      </c>
    </row>
    <row r="3199">
      <c r="A3199" s="1" t="s">
        <v>6307</v>
      </c>
      <c r="B3199" s="2" t="s">
        <v>6308</v>
      </c>
      <c r="C3199" s="3" t="str">
        <f>IFERROR(__xludf.DUMMYFUNCTION("GOOGLETRANSLATE(A3199,""en"",""hy"")"),"ինչի՞ց է մահացել Ուիթնի Հյուսթոնը.")</f>
        <v>ինչի՞ց է մահացել Ուիթնի Հյուսթոնը.</v>
      </c>
      <c r="D3199" s="3" t="str">
        <f>IFERROR(__xludf.DUMMYFUNCTION("GOOGLETRANSLATE(B3199,""en"",""hy"")"),"Ուիթնի Հյուսթոնը մահացել է պատահաբար խեղդվելուց։")</f>
        <v>Ուիթնի Հյուսթոնը մահացել է պատահաբար խեղդվելուց։</v>
      </c>
    </row>
    <row r="3200">
      <c r="A3200" s="1" t="s">
        <v>6309</v>
      </c>
      <c r="B3200" s="2" t="s">
        <v>6310</v>
      </c>
      <c r="C3200" s="3" t="str">
        <f>IFERROR(__xludf.DUMMYFUNCTION("GOOGLETRANSLATE(A3200,""en"",""hy"")"),"ինչ ֆիլմերում է նկարահանվել Սելենա Գոմեսը")</f>
        <v>ինչ ֆիլմերում է նկարահանվել Սելենա Գոմեսը</v>
      </c>
      <c r="D3200" s="3" t="str">
        <f>IFERROR(__xludf.DUMMYFUNCTION("GOOGLETRANSLATE(B3200,""en"",""hy"")"),"Որոշ ֆիլմեր, որոնցում նկարահանվել է Սելենա Գոմեսը, են «Spring Breakers», «Monte Carlo» և «Hotel Transylvania»:")</f>
        <v>Որոշ ֆիլմեր, որոնցում նկարահանվել է Սելենա Գոմեսը, են «Spring Breakers», «Monte Carlo» և «Hotel Transylvania»:</v>
      </c>
    </row>
    <row r="3201">
      <c r="A3201" s="1" t="s">
        <v>6311</v>
      </c>
      <c r="B3201" s="2" t="s">
        <v>6312</v>
      </c>
      <c r="C3201" s="3" t="str">
        <f>IFERROR(__xludf.DUMMYFUNCTION("GOOGLETRANSLATE(A3201,""en"",""hy"")"),"Ո՞ր ավագ դպրոց է հաճախել Քլոե Քարդաշյանը.")</f>
        <v>Ո՞ր ավագ դպրոց է հաճախել Քլոե Քարդաշյանը.</v>
      </c>
      <c r="D3201" s="3" t="str">
        <f>IFERROR(__xludf.DUMMYFUNCTION("GOOGLETRANSLATE(B3201,""en"",""hy"")"),"Marymount ավագ դպրոց.")</f>
        <v>Marymount ավագ դպրոց.</v>
      </c>
    </row>
    <row r="3202">
      <c r="A3202" s="1" t="s">
        <v>6313</v>
      </c>
      <c r="B3202" s="2" t="s">
        <v>6314</v>
      </c>
      <c r="C3202" s="3" t="str">
        <f>IFERROR(__xludf.DUMMYFUNCTION("GOOGLETRANSLATE(A3202,""en"",""hy"")"),"ով է 2011 թվականի Հեյսմանի գավաթակիրը:")</f>
        <v>ով է 2011 թվականի Հեյսմանի գավաթակիրը:</v>
      </c>
      <c r="D3202" s="3" t="str">
        <f>IFERROR(__xludf.DUMMYFUNCTION("GOOGLETRANSLATE(B3202,""en"",""hy"")"),"2011 թվականի Հեյսմանի անվան մրցանակակիրը Ռոբերտ Գրիֆին III-ն էր:")</f>
        <v>2011 թվականի Հեյսմանի անվան մրցանակակիրը Ռոբերտ Գրիֆին III-ն էր:</v>
      </c>
    </row>
    <row r="3203">
      <c r="A3203" s="1" t="s">
        <v>6315</v>
      </c>
      <c r="B3203" s="2" t="s">
        <v>6316</v>
      </c>
      <c r="C3203" s="3" t="str">
        <f>IFERROR(__xludf.DUMMYFUNCTION("GOOGLETRANSLATE(A3203,""en"",""hy"")"),"ինչ անել Midland TX-ում այս շաբաթավերջին:")</f>
        <v>ինչ անել Midland TX-ում այս շաբաթավերջին:</v>
      </c>
      <c r="D3203" s="3" t="str">
        <f>IFERROR(__xludf.DUMMYFUNCTION("GOOGLETRANSLATE(B3203,""en"",""hy"")"),"Այս շաբաթավերջին Տեխաս նահանգի Միդլենդում որոշ հնարավոր գործողություններ կարող են ներառել տեղական տեսարժան վայրերի այցելություններ, ինչպիսիք են թանգարանները կամ այգիները, փորձել տեղական ռեստորանները կամ սննդի բեռնատարները, մասնակցել բացօթյա միջոցառումների"&amp;"ն, ինչպիսիք են արշավը կամ հեծանվավարությունը, կամ մասնակցել տարածքում տեղի ունեցող իրադարձություններին կամ համերգներին:")</f>
        <v>Այս շաբաթավերջին Տեխաս նահանգի Միդլենդում որոշ հնարավոր գործողություններ կարող են ներառել տեղական տեսարժան վայրերի այցելություններ, ինչպիսիք են թանգարանները կամ այգիները, փորձել տեղական ռեստորանները կամ սննդի բեռնատարները, մասնակցել բացօթյա միջոցառումներին, ինչպիսիք են արշավը կամ հեծանվավարությունը, կամ մասնակցել տարածքում տեղի ունեցող իրադարձություններին կամ համերգներին:</v>
      </c>
    </row>
    <row r="3204">
      <c r="A3204" s="1" t="s">
        <v>6317</v>
      </c>
      <c r="B3204" s="2" t="s">
        <v>6318</v>
      </c>
      <c r="C3204" s="3" t="str">
        <f>IFERROR(__xludf.DUMMYFUNCTION("GOOGLETRANSLATE(A3204,""en"",""hy"")"),"ով խաղաց Ֆրեդիի ուրբաթ 13-ին:")</f>
        <v>ով խաղաց Ֆրեդիի ուրբաթ 13-ին:</v>
      </c>
      <c r="D3204" s="3" t="str">
        <f>IFERROR(__xludf.DUMMYFUNCTION("GOOGLETRANSLATE(B3204,""en"",""hy"")"),"Արի Լեմանը խաղացել է Ֆրեդիի դերը ուրբաթ 13-ին:")</f>
        <v>Արի Լեմանը խաղացել է Ֆրեդիի դերը ուրբաթ 13-ին:</v>
      </c>
    </row>
    <row r="3205">
      <c r="A3205" s="1" t="s">
        <v>6319</v>
      </c>
      <c r="B3205" s="2" t="s">
        <v>6320</v>
      </c>
      <c r="C3205" s="3" t="str">
        <f>IFERROR(__xludf.DUMMYFUNCTION("GOOGLETRANSLATE(A3205,""en"",""hy"")"),"Ի՞նչ ներդրում ունեցավ Հուկը գիտության մեջ 1665 թ.")</f>
        <v>Ի՞նչ ներդրում ունեցավ Հուկը գիտության մեջ 1665 թ.</v>
      </c>
      <c r="D3205" s="3" t="str">
        <f>IFERROR(__xludf.DUMMYFUNCTION("GOOGLETRANSLATE(B3205,""en"",""hy"")"),"Ռոբերտ Հուկը 1665 թվականին տարբեր ներդրումներ է կատարել գիտության մեջ, ներառյալ բջիջների հայտնաբերումը մանրադիտակի միջոցով խցանն ուսումնասիրելիս:")</f>
        <v>Ռոբերտ Հուկը 1665 թվականին տարբեր ներդրումներ է կատարել գիտության մեջ, ներառյալ բջիջների հայտնաբերումը մանրադիտակի միջոցով խցանն ուսումնասիրելիս:</v>
      </c>
    </row>
    <row r="3206">
      <c r="A3206" s="1" t="s">
        <v>6321</v>
      </c>
      <c r="B3206" s="2" t="s">
        <v>6322</v>
      </c>
      <c r="C3206" s="3" t="str">
        <f>IFERROR(__xludf.DUMMYFUNCTION("GOOGLETRANSLATE(A3206,""en"",""hy"")"),"ո՞ր երկրներն են կազմում Մեծ Բրիտանիան և որո՞նք են նրանց մայրաքաղաքները:")</f>
        <v>ո՞ր երկրներն են կազմում Մեծ Բրիտանիան և որո՞նք են նրանց մայրաքաղաքները:</v>
      </c>
      <c r="D3206" s="3" t="str">
        <f>IFERROR(__xludf.DUMMYFUNCTION("GOOGLETRANSLATE(B3206,""en"",""hy"")"),"Մեծ Բրիտանիան կազմող երկրներն են Անգլիան, Շոտլանդիան և Ուելսը։ Այս երկրների մայրաքաղաքներն են համապատասխանաբար Լոնդոնը, Էդինբուրգը և Քարդիֆը։")</f>
        <v>Մեծ Բրիտանիան կազմող երկրներն են Անգլիան, Շոտլանդիան և Ուելսը։ Այս երկրների մայրաքաղաքներն են համապատասխանաբար Լոնդոնը, Էդինբուրգը և Քարդիֆը։</v>
      </c>
    </row>
    <row r="3207">
      <c r="A3207" s="1" t="s">
        <v>6323</v>
      </c>
      <c r="B3207" s="2" t="s">
        <v>6324</v>
      </c>
      <c r="C3207" s="3" t="str">
        <f>IFERROR(__xludf.DUMMYFUNCTION("GOOGLETRANSLATE(A3207,""en"",""hy"")"),"ինչ է հորինել Էլի Ուիթնին:")</f>
        <v>ինչ է հորինել Էլի Ուիթնին:</v>
      </c>
      <c r="D3207" s="3" t="str">
        <f>IFERROR(__xludf.DUMMYFUNCTION("GOOGLETRANSLATE(B3207,""en"",""hy"")"),"Էլի Ուիթնին հորինել է բամբակյա ջինը։")</f>
        <v>Էլի Ուիթնին հորինել է բամբակյա ջինը։</v>
      </c>
    </row>
    <row r="3208">
      <c r="A3208" s="1" t="s">
        <v>6325</v>
      </c>
      <c r="B3208" s="2" t="s">
        <v>6326</v>
      </c>
      <c r="C3208" s="3" t="str">
        <f>IFERROR(__xludf.DUMMYFUNCTION("GOOGLETRANSLATE(A3208,""en"",""hy"")"),"ինչ ֆիլմերում է Անջելինա Ջոլին.")</f>
        <v>ինչ ֆիլմերում է Անջելինա Ջոլին.</v>
      </c>
      <c r="D3208" s="3" t="str">
        <f>IFERROR(__xludf.DUMMYFUNCTION("GOOGLETRANSLATE(B3208,""en"",""hy"")"),"Անջելինա Ջոլին նկարահանվել է մի քանի ֆիլմերում, այդ թվում՝ Լարա Քրոֆթում՝ «Դամբարանների արշավող», «Միստր և տիկին Սմիթ» և «Մալեֆիսենտ»:")</f>
        <v>Անջելինա Ջոլին նկարահանվել է մի քանի ֆիլմերում, այդ թվում՝ Լարա Քրոֆթում՝ «Դամբարանների արշավող», «Միստր և տիկին Սմիթ» և «Մալեֆիսենտ»:</v>
      </c>
    </row>
    <row r="3209">
      <c r="A3209" s="1" t="s">
        <v>6327</v>
      </c>
      <c r="B3209" s="2" t="s">
        <v>6328</v>
      </c>
      <c r="C3209" s="3" t="str">
        <f>IFERROR(__xludf.DUMMYFUNCTION("GOOGLETRANSLATE(A3209,""en"",""hy"")"),"ո՞ր ռադիոկայանն է միանում Uga Football-ը:")</f>
        <v>ո՞ր ռադիոկայանն է միանում Uga Football-ը:</v>
      </c>
      <c r="D3209" s="3" t="str">
        <f>IFERROR(__xludf.DUMMYFUNCTION("GOOGLETRANSLATE(B3209,""en"",""hy"")"),"Ռադիոկայանը, որտեղ միանում է UGA ֆուտբոլը, կարող է տարբեր լինել՝ կախված կոնկրետ խաղից և գտնվելու վայրից: Լավագույնն այն է, որ ստուգեք տեղական ցանկերը կամ UGA Athletics կայքը առավել ճշգրիտ տեղեկատվության համար:")</f>
        <v>Ռադիոկայանը, որտեղ միանում է UGA ֆուտբոլը, կարող է տարբեր լինել՝ կախված կոնկրետ խաղից և գտնվելու վայրից: Լավագույնն այն է, որ ստուգեք տեղական ցանկերը կամ UGA Athletics կայքը առավել ճշգրիտ տեղեկատվության համար:</v>
      </c>
    </row>
    <row r="3210">
      <c r="A3210" s="1" t="s">
        <v>6329</v>
      </c>
      <c r="B3210" s="2" t="s">
        <v>6330</v>
      </c>
      <c r="C3210" s="3" t="str">
        <f>IFERROR(__xludf.DUMMYFUNCTION("GOOGLETRANSLATE(A3210,""en"",""hy"")"),"ո՞ւմ է պատկանում քրայսլեր կորպորացիան:")</f>
        <v>ո՞ւմ է պատկանում քրայսլեր կորպորացիան:</v>
      </c>
      <c r="D3210" s="3" t="str">
        <f>IFERROR(__xludf.DUMMYFUNCTION("GOOGLETRANSLATE(B3210,""en"",""hy"")"),"Stellantis-ը պատկանում է Chrysler Corporation-ին:")</f>
        <v>Stellantis-ը պատկանում է Chrysler Corporation-ին:</v>
      </c>
    </row>
    <row r="3211">
      <c r="A3211" s="1" t="s">
        <v>6331</v>
      </c>
      <c r="B3211" s="2" t="s">
        <v>6332</v>
      </c>
      <c r="C3211" s="3" t="str">
        <f>IFERROR(__xludf.DUMMYFUNCTION("GOOGLETRANSLATE(A3211,""en"",""hy"")"),"որտեղից էր սկզբնապես Ջորջ Վաշինգթոնը:")</f>
        <v>որտեղից էր սկզբնապես Ջորջ Վաշինգթոնը:</v>
      </c>
      <c r="D3211" s="3" t="str">
        <f>IFERROR(__xludf.DUMMYFUNCTION("GOOGLETRANSLATE(B3211,""en"",""hy"")"),"Ջորջ Վաշինգտոնը ծագումով Վիրջինիայից էր:")</f>
        <v>Ջորջ Վաշինգտոնը ծագումով Վիրջինիայից էր:</v>
      </c>
    </row>
    <row r="3212">
      <c r="A3212" s="1" t="s">
        <v>6333</v>
      </c>
      <c r="B3212" s="2" t="s">
        <v>6334</v>
      </c>
      <c r="C3212" s="3" t="str">
        <f>IFERROR(__xludf.DUMMYFUNCTION("GOOGLETRANSLATE(A3212,""en"",""hy"")"),"ո՞ր երկրից է Քրիստոֆեր Կոլումբոսը")</f>
        <v>ո՞ր երկրից է Քրիստոֆեր Կոլումբոսը</v>
      </c>
      <c r="D3212" s="3" t="str">
        <f>IFERROR(__xludf.DUMMYFUNCTION("GOOGLETRANSLATE(B3212,""en"",""hy"")"),"Իտալիա.")</f>
        <v>Իտալիա.</v>
      </c>
    </row>
    <row r="3213">
      <c r="A3213" s="1" t="s">
        <v>6335</v>
      </c>
      <c r="B3213" s="2" t="s">
        <v>6336</v>
      </c>
      <c r="C3213" s="3" t="str">
        <f>IFERROR(__xludf.DUMMYFUNCTION("GOOGLETRANSLATE(A3213,""en"",""hy"")"),"ով էր Մայքլ Ջ Ֆոքսը:")</f>
        <v>ով էր Մայքլ Ջ Ֆոքսը:</v>
      </c>
      <c r="D3213" s="3" t="str">
        <f>IFERROR(__xludf.DUMMYFUNCTION("GOOGLETRANSLATE(B3213,""en"",""hy"")"),"Մայքլ Ջ. Ֆոքսը կանադական ծագմամբ ամերիկացի դերասան էր, ով առավել հայտնի է «Վերադարձ դեպի ապագա» ֆիլմաշարում իր դերերով։")</f>
        <v>Մայքլ Ջ. Ֆոքսը կանադական ծագմամբ ամերիկացի դերասան էր, ով առավել հայտնի է «Վերադարձ դեպի ապագա» ֆիլմաշարում իր դերերով։</v>
      </c>
    </row>
    <row r="3214">
      <c r="A3214" s="1" t="s">
        <v>6337</v>
      </c>
      <c r="B3214" s="2" t="s">
        <v>6338</v>
      </c>
      <c r="C3214" s="3" t="str">
        <f>IFERROR(__xludf.DUMMYFUNCTION("GOOGLETRANSLATE(A3214,""en"",""hy"")"),"ինչ ֆիլմերում է խաղացել Ջեննա Դյուանը")</f>
        <v>ինչ ֆիլմերում է խաղացել Ջեննա Դյուանը</v>
      </c>
      <c r="D3214" s="3" t="str">
        <f>IFERROR(__xludf.DUMMYFUNCTION("GOOGLETRANSLATE(B3214,""en"",""hy"")"),"Ջեննա Դյուանը նկարահանվել է այնպիսի ֆիլմերում, ինչպիսիք են «Step Up», «Take the Lead» և «Tamara»:")</f>
        <v>Ջեննա Դյուանը նկարահանվել է այնպիսի ֆիլմերում, ինչպիսիք են «Step Up», «Take the Lead» և «Tamara»:</v>
      </c>
    </row>
    <row r="3215">
      <c r="A3215" s="1" t="s">
        <v>6339</v>
      </c>
      <c r="B3215" s="2" t="s">
        <v>6340</v>
      </c>
      <c r="C3215" s="3" t="str">
        <f>IFERROR(__xludf.DUMMYFUNCTION("GOOGLETRANSLATE(A3215,""en"",""hy"")"),"ինչ է բոսնիերենը")</f>
        <v>ինչ է բոսնիերենը</v>
      </c>
      <c r="D3215" s="3" t="str">
        <f>IFERROR(__xludf.DUMMYFUNCTION("GOOGLETRANSLATE(B3215,""en"",""hy"")"),"Բոսնիայի լեզուն Բոսնիա և Հերցեգովինայի պաշտոնական լեզուներից մեկն է։")</f>
        <v>Բոսնիայի լեզուն Բոսնիա և Հերցեգովինայի պաշտոնական լեզուներից մեկն է։</v>
      </c>
    </row>
    <row r="3216">
      <c r="A3216" s="1" t="s">
        <v>6341</v>
      </c>
      <c r="B3216" s="2" t="s">
        <v>6342</v>
      </c>
      <c r="C3216" s="3" t="str">
        <f>IFERROR(__xludf.DUMMYFUNCTION("GOOGLETRANSLATE(A3216,""en"",""hy"")"),"ինչ է Սալման Խանի հայրանունը:")</f>
        <v>ինչ է Սալման Խանի հայրանունը:</v>
      </c>
      <c r="D3216" s="3" t="str">
        <f>IFERROR(__xludf.DUMMYFUNCTION("GOOGLETRANSLATE(B3216,""en"",""hy"")"),"Սալիմ Խան")</f>
        <v>Սալիմ Խան</v>
      </c>
    </row>
    <row r="3217">
      <c r="A3217" s="1" t="s">
        <v>6343</v>
      </c>
      <c r="B3217" s="2" t="s">
        <v>6344</v>
      </c>
      <c r="C3217" s="3" t="str">
        <f>IFERROR(__xludf.DUMMYFUNCTION("GOOGLETRANSLATE(A3217,""en"",""hy"")"),"որտեղից է Շոն Ջոնսոն մարմնամարզիկը:")</f>
        <v>որտեղից է Շոն Ջոնսոն մարմնամարզիկը:</v>
      </c>
      <c r="D3217" s="3" t="str">
        <f>IFERROR(__xludf.DUMMYFUNCTION("GOOGLETRANSLATE(B3217,""en"",""hy"")"),"Շոն Ջոնսոնը ԱՄՆ-ից է։")</f>
        <v>Շոն Ջոնսոնը ԱՄՆ-ից է։</v>
      </c>
    </row>
    <row r="3218">
      <c r="A3218" s="1" t="s">
        <v>6345</v>
      </c>
      <c r="B3218" s="2" t="s">
        <v>6346</v>
      </c>
      <c r="C3218" s="3" t="str">
        <f>IFERROR(__xludf.DUMMYFUNCTION("GOOGLETRANSLATE(A3218,""en"",""hy"")"),"ի՞նչ փող է օգտագործում փղոսկրի ափը։")</f>
        <v>ի՞նչ փող է օգտագործում փղոսկրի ափը։</v>
      </c>
      <c r="D3218" s="3" t="str">
        <f>IFERROR(__xludf.DUMMYFUNCTION("GOOGLETRANSLATE(B3218,""en"",""hy"")"),"Փղոսկրի Ափը որպես արժույթ օգտագործում է Արևմտյան Աֆրիկայի CFA ֆրանկը։")</f>
        <v>Փղոսկրի Ափը որպես արժույթ օգտագործում է Արևմտյան Աֆրիկայի CFA ֆրանկը։</v>
      </c>
    </row>
    <row r="3219">
      <c r="A3219" s="1" t="s">
        <v>6347</v>
      </c>
      <c r="B3219" s="2" t="s">
        <v>6348</v>
      </c>
      <c r="C3219" s="3" t="str">
        <f>IFERROR(__xludf.DUMMYFUNCTION("GOOGLETRANSLATE(A3219,""en"",""hy"")"),"ո՞ր գրողներն են ազդել Չարլզ Դիքենսի վրա:")</f>
        <v>ո՞ր գրողներն են ազդել Չարլզ Դիքենսի վրա:</v>
      </c>
      <c r="D3219" s="3" t="str">
        <f>IFERROR(__xludf.DUMMYFUNCTION("GOOGLETRANSLATE(B3219,""en"",""hy"")"),"Չարլզ Դիքենսի վրա ազդած գրողներից են Ուիլյամ Շեքսպիրը, Հենրի Ֆիլդինգը, Թոբիաս Սմոլեթը և Ջոնաթան Սվիֆթը։")</f>
        <v>Չարլզ Դիքենսի վրա ազդած գրողներից են Ուիլյամ Շեքսպիրը, Հենրի Ֆիլդինգը, Թոբիաս Սմոլեթը և Ջոնաթան Սվիֆթը։</v>
      </c>
    </row>
    <row r="3220">
      <c r="A3220" s="1" t="s">
        <v>6349</v>
      </c>
      <c r="B3220" s="2" t="s">
        <v>6350</v>
      </c>
      <c r="C3220" s="3" t="str">
        <f>IFERROR(__xludf.DUMMYFUNCTION("GOOGLETRANSLATE(A3220,""en"",""hy"")"),"որտեղի՞ց է Ռոջեր Ֆեդերերը sui-ից:")</f>
        <v>որտեղի՞ց է Ռոջեր Ֆեդերերը sui-ից:</v>
      </c>
      <c r="D3220" s="3" t="str">
        <f>IFERROR(__xludf.DUMMYFUNCTION("GOOGLETRANSLATE(B3220,""en"",""hy"")"),"Ռոջեր Ֆեդերերը Շվեյցարիայից է։")</f>
        <v>Ռոջեր Ֆեդերերը Շվեյցարիայից է։</v>
      </c>
    </row>
    <row r="3221">
      <c r="A3221" s="1" t="s">
        <v>6351</v>
      </c>
      <c r="B3221" s="2" t="s">
        <v>6352</v>
      </c>
      <c r="C3221" s="3" t="str">
        <f>IFERROR(__xludf.DUMMYFUNCTION("GOOGLETRANSLATE(A3221,""en"",""hy"")"),"ինչ գումար պետք է բերեմ Դոմինիկյան:")</f>
        <v>ինչ գումար պետք է բերեմ Դոմինիկյան:</v>
      </c>
      <c r="D3221" s="3" t="str">
        <f>IFERROR(__xludf.DUMMYFUNCTION("GOOGLETRANSLATE(B3221,""en"",""hy"")"),"Դոմինիկյան Հանրապետություն մեկնելիս խորհուրդ է տրվում բերել դոմինիկյան պեսո:")</f>
        <v>Դոմինիկյան Հանրապետություն մեկնելիս խորհուրդ է տրվում բերել դոմինիկյան պեսո:</v>
      </c>
    </row>
    <row r="3222">
      <c r="A3222" s="1" t="s">
        <v>6353</v>
      </c>
      <c r="B3222" s="2" t="s">
        <v>6354</v>
      </c>
      <c r="C3222" s="3" t="str">
        <f>IFERROR(__xludf.DUMMYFUNCTION("GOOGLETRANSLATE(A3222,""en"",""hy"")"),"ո՞րն է Մայքլ Բուբլի երաժշտության ոճը:")</f>
        <v>ո՞րն է Մայքլ Բուբլի երաժշտության ոճը:</v>
      </c>
      <c r="D3222" s="3" t="str">
        <f>IFERROR(__xludf.DUMMYFUNCTION("GOOGLETRANSLATE(B3222,""en"",""hy"")"),"Մայքլ Բուբլեի երաժշտության ոճը հիմնականում փոփ և ավանդական փոփ է:")</f>
        <v>Մայքլ Բուբլեի երաժշտության ոճը հիմնականում փոփ և ավանդական փոփ է:</v>
      </c>
    </row>
    <row r="3223">
      <c r="A3223" s="1" t="s">
        <v>6355</v>
      </c>
      <c r="B3223" s="2" t="s">
        <v>6356</v>
      </c>
      <c r="C3223" s="3" t="str">
        <f>IFERROR(__xludf.DUMMYFUNCTION("GOOGLETRANSLATE(A3223,""en"",""hy"")"),"որտեղ են Ֆլորիդա Մարլինսը:")</f>
        <v>որտեղ են Ֆլորիդա Մարլինսը:</v>
      </c>
      <c r="D3223" s="3" t="str">
        <f>IFERROR(__xludf.DUMMYFUNCTION("GOOGLETRANSLATE(B3223,""en"",""hy"")"),"Ֆլորիդայի Մարլինսը խաղացել է Մայամիում, Ֆլորիդա:")</f>
        <v>Ֆլորիդայի Մարլինսը խաղացել է Մայամիում, Ֆլորիդա:</v>
      </c>
    </row>
    <row r="3224">
      <c r="A3224" s="1" t="s">
        <v>6357</v>
      </c>
      <c r="B3224" s="2" t="s">
        <v>6358</v>
      </c>
      <c r="C3224" s="3" t="str">
        <f>IFERROR(__xludf.DUMMYFUNCTION("GOOGLETRANSLATE(A3224,""en"",""hy"")"),"ո՞ր ֆիլմերում է նկարահանվել Թեյլոր Լոթները")</f>
        <v>ո՞ր ֆիլմերում է նկարահանվել Թեյլոր Լոթները</v>
      </c>
      <c r="D3224" s="3" t="str">
        <f>IFERROR(__xludf.DUMMYFUNCTION("GOOGLETRANSLATE(B3224,""en"",""hy"")"),"Որոշ ֆիլմեր, որոնցում նկարահանվել է Թեյլոր Լոթները, ներառում են «Մթնշաղ», «Մթնշաղի սագա. Նոր լուսին», «Մթնշաղի սագա. խավարում» և «Առևանգում»:")</f>
        <v>Որոշ ֆիլմեր, որոնցում նկարահանվել է Թեյլոր Լոթները, ներառում են «Մթնշաղ», «Մթնշաղի սագա. Նոր լուսին», «Մթնշաղի սագա. խավարում» և «Առևանգում»:</v>
      </c>
    </row>
    <row r="3225">
      <c r="A3225" s="1" t="s">
        <v>6359</v>
      </c>
      <c r="B3225" s="2" t="s">
        <v>6360</v>
      </c>
      <c r="C3225" s="3" t="str">
        <f>IFERROR(__xludf.DUMMYFUNCTION("GOOGLETRANSLATE(A3225,""en"",""hy"")"),"ի՞նչ էր անում Նիքսոնը, երբ նախագահ էր:")</f>
        <v>ի՞նչ էր անում Նիքսոնը, երբ նախագահ էր:</v>
      </c>
      <c r="D3225" s="3" t="str">
        <f>IFERROR(__xludf.DUMMYFUNCTION("GOOGLETRANSLATE(B3225,""en"",""hy"")"),"Երբ նա նախագահ էր, Նիքսոնը վարում էր տարբեր քաղաքականություններ, ինչպիսիք են Նոր տնտեսական քաղաքականությունը, հետամուտ էր Խորհրդային Միության հետ լարվածությանը, ստեղծեց Շրջակա միջավայրի պաշտպանության գործակալությունը և ստորագրեց Փարիզի խաղաղության համաձայ"&amp;"նագիրը Վիետնամի պատերազմին վերջ տալու համար:")</f>
        <v>Երբ նա նախագահ էր, Նիքսոնը վարում էր տարբեր քաղաքականություններ, ինչպիսիք են Նոր տնտեսական քաղաքականությունը, հետամուտ էր Խորհրդային Միության հետ լարվածությանը, ստեղծեց Շրջակա միջավայրի պաշտպանության գործակալությունը և ստորագրեց Փարիզի խաղաղության համաձայնագիրը Վիետնամի պատերազմին վերջ տալու համար:</v>
      </c>
    </row>
    <row r="3226">
      <c r="A3226" s="1" t="s">
        <v>6361</v>
      </c>
      <c r="B3226" s="2" t="s">
        <v>6362</v>
      </c>
      <c r="C3226" s="3" t="str">
        <f>IFERROR(__xludf.DUMMYFUNCTION("GOOGLETRANSLATE(A3226,""en"",""hy"")"),"ինչ են խոսում եգիպտացիները")</f>
        <v>ինչ են խոսում եգիպտացիները</v>
      </c>
      <c r="D3226" s="3" t="str">
        <f>IFERROR(__xludf.DUMMYFUNCTION("GOOGLETRANSLATE(B3226,""en"",""hy"")"),"Եգիպտացիները խոսում են արաբերեն:")</f>
        <v>Եգիպտացիները խոսում են արաբերեն:</v>
      </c>
    </row>
    <row r="3227">
      <c r="A3227" s="1" t="s">
        <v>6363</v>
      </c>
      <c r="B3227" s="2" t="s">
        <v>6364</v>
      </c>
      <c r="C3227" s="3" t="str">
        <f>IFERROR(__xludf.DUMMYFUNCTION("GOOGLETRANSLATE(A3227,""en"",""hy"")"),"ի՞նչ լեզվով էին խոսում եգիպտացիները։")</f>
        <v>ի՞նչ լեզվով էին խոսում եգիպտացիները։</v>
      </c>
      <c r="D3227" s="3" t="str">
        <f>IFERROR(__xludf.DUMMYFUNCTION("GOOGLETRANSLATE(B3227,""en"",""hy"")"),"Եգիպտացիները խոսում էին հին եգիպտերեն:")</f>
        <v>Եգիպտացիները խոսում էին հին եգիպտերեն:</v>
      </c>
    </row>
    <row r="3228">
      <c r="A3228" s="1" t="s">
        <v>6365</v>
      </c>
      <c r="B3228" s="2" t="s">
        <v>6366</v>
      </c>
      <c r="C3228" s="3" t="str">
        <f>IFERROR(__xludf.DUMMYFUNCTION("GOOGLETRANSLATE(A3228,""en"",""hy"")"),"ով է խաղում Սառա Մարշալը")</f>
        <v>ով է խաղում Սառա Մարշալը</v>
      </c>
      <c r="D3228" s="3" t="str">
        <f>IFERROR(__xludf.DUMMYFUNCTION("GOOGLETRANSLATE(B3228,""en"",""hy"")"),"Ջեյսոն Սեգելը խաղում է Սառա Մարշալի դերը։")</f>
        <v>Ջեյսոն Սեգելը խաղում է Սառա Մարշալի դերը։</v>
      </c>
    </row>
    <row r="3229">
      <c r="A3229" s="1" t="s">
        <v>6367</v>
      </c>
      <c r="B3229" s="2" t="s">
        <v>6368</v>
      </c>
      <c r="C3229" s="3" t="str">
        <f>IFERROR(__xludf.DUMMYFUNCTION("GOOGLETRANSLATE(A3229,""en"",""hy"")"),"ինչի՞ն էր հավատում սափրագլուխը:")</f>
        <v>ինչի՞ն էր հավատում սափրագլուխը:</v>
      </c>
      <c r="D3229" s="3" t="str">
        <f>IFERROR(__xludf.DUMMYFUNCTION("GOOGLETRANSLATE(B3229,""en"",""hy"")"),"Սքիները հավատում էր վարքագծի տեսությանը, և որ վարքի վրա ազդում են շրջակա միջավայրի գործոնները, այլ ոչ թե ներքին վիճակները:")</f>
        <v>Սքիները հավատում էր վարքագծի տեսությանը, և որ վարքի վրա ազդում են շրջակա միջավայրի գործոնները, այլ ոչ թե ներքին վիճակները:</v>
      </c>
    </row>
    <row r="3230">
      <c r="A3230" s="1" t="s">
        <v>6369</v>
      </c>
      <c r="B3230" s="2" t="s">
        <v>6370</v>
      </c>
      <c r="C3230" s="3" t="str">
        <f>IFERROR(__xludf.DUMMYFUNCTION("GOOGLETRANSLATE(A3230,""en"",""hy"")"),"Ե՞րբ է բեյբ Ռութը սկսել բեյսբոլ խաղալ mlb-ում:")</f>
        <v>Ե՞րբ է բեյբ Ռութը սկսել բեյսբոլ խաղալ mlb-ում:</v>
      </c>
      <c r="D3230" s="3" t="str">
        <f>IFERROR(__xludf.DUMMYFUNCTION("GOOGLETRANSLATE(B3230,""en"",""hy"")"),"Բեյբ Ռութը սկսել է բեյսբոլ խաղալ MLB-ում 1914 թվականին։")</f>
        <v>Բեյբ Ռութը սկսել է բեյսբոլ խաղալ MLB-ում 1914 թվականին։</v>
      </c>
    </row>
    <row r="3231">
      <c r="A3231" s="1" t="s">
        <v>6371</v>
      </c>
      <c r="B3231" s="2" t="s">
        <v>345</v>
      </c>
      <c r="C3231" s="3" t="str">
        <f>IFERROR(__xludf.DUMMYFUNCTION("GOOGLETRANSLATE(A3231,""en"",""hy"")"),"ինչպիսի՞ միապետություն ուներ Անգլիան փառահեղ հեղափոխության ժամանակ:")</f>
        <v>ինչպիսի՞ միապետություն ուներ Անգլիան փառահեղ հեղափոխության ժամանակ:</v>
      </c>
      <c r="D3231" s="3" t="str">
        <f>IFERROR(__xludf.DUMMYFUNCTION("GOOGLETRANSLATE(B3231,""en"",""hy"")"),"Սահմանադրական միապետություն.")</f>
        <v>Սահմանադրական միապետություն.</v>
      </c>
    </row>
    <row r="3232">
      <c r="A3232" s="1" t="s">
        <v>6372</v>
      </c>
      <c r="B3232" s="2" t="s">
        <v>6373</v>
      </c>
      <c r="C3232" s="3" t="str">
        <f>IFERROR(__xludf.DUMMYFUNCTION("GOOGLETRANSLATE(A3232,""en"",""hy"")"),"ով է լարի վրա մարլո խաղում")</f>
        <v>ով է լարի վրա մարլո խաղում</v>
      </c>
      <c r="D3232" s="3" t="str">
        <f>IFERROR(__xludf.DUMMYFUNCTION("GOOGLETRANSLATE(B3232,""en"",""hy"")"),"Ջեյմի Հեկտոր.")</f>
        <v>Ջեյմի Հեկտոր.</v>
      </c>
    </row>
    <row r="3233">
      <c r="A3233" s="1" t="s">
        <v>6374</v>
      </c>
      <c r="B3233" s="2" t="s">
        <v>6375</v>
      </c>
      <c r="C3233" s="3" t="str">
        <f>IFERROR(__xludf.DUMMYFUNCTION("GOOGLETRANSLATE(A3233,""en"",""hy"")"),"ո՞րն է Կալիֆորնիայի Ինգլվուդի փոստային կոդը:")</f>
        <v>ո՞րն է Կալիֆորնիայի Ինգլվուդի փոստային կոդը:</v>
      </c>
      <c r="D3233" s="3" t="str">
        <f>IFERROR(__xludf.DUMMYFUNCTION("GOOGLETRANSLATE(B3233,""en"",""hy"")"),"Inglewood, California փոստային կոդը 90301։")</f>
        <v>Inglewood, California փոստային կոդը 90301։</v>
      </c>
    </row>
    <row r="3234">
      <c r="A3234" s="1" t="s">
        <v>6376</v>
      </c>
      <c r="B3234" s="2" t="s">
        <v>6377</v>
      </c>
      <c r="C3234" s="3" t="str">
        <f>IFERROR(__xludf.DUMMYFUNCTION("GOOGLETRANSLATE(A3234,""en"",""hy"")"),"Ո՞վ է եղել առաջին դերասանը, ով մարմնավորել է Էդվարդ Քուերմեյնին:")</f>
        <v>Ո՞վ է եղել առաջին դերասանը, ով մարմնավորել է Էդվարդ Քուերմեյնին:</v>
      </c>
      <c r="D3234" s="3" t="str">
        <f>IFERROR(__xludf.DUMMYFUNCTION("GOOGLETRANSLATE(B3234,""en"",""hy"")"),"Դեյվիդ Լյուիս")</f>
        <v>Դեյվիդ Լյուիս</v>
      </c>
    </row>
    <row r="3235">
      <c r="A3235" s="1" t="s">
        <v>6378</v>
      </c>
      <c r="B3235" s="2" t="s">
        <v>6379</v>
      </c>
      <c r="C3235" s="3" t="str">
        <f>IFERROR(__xludf.DUMMYFUNCTION("GOOGLETRANSLATE(A3235,""en"",""hy"")"),"որտե՞ղ է գնացել google-ի հիմնադիրը քոլեջ:")</f>
        <v>որտե՞ղ է գնացել google-ի հիմնադիրը քոլեջ:</v>
      </c>
      <c r="D3235" s="3" t="str">
        <f>IFERROR(__xludf.DUMMYFUNCTION("GOOGLETRANSLATE(B3235,""en"",""hy"")"),"Google-ի հիմնադիր Լարի Փեյջը սովորել է Սթենֆորդի համալսարան քոլեջում կրթություն ստանալու համար:")</f>
        <v>Google-ի հիմնադիր Լարի Փեյջը սովորել է Սթենֆորդի համալսարան քոլեջում կրթություն ստանալու համար:</v>
      </c>
    </row>
    <row r="3236">
      <c r="A3236" s="1" t="s">
        <v>6380</v>
      </c>
      <c r="B3236" s="2" t="s">
        <v>6381</v>
      </c>
      <c r="C3236" s="3" t="str">
        <f>IFERROR(__xludf.DUMMYFUNCTION("GOOGLETRANSLATE(A3236,""en"",""hy"")"),"ինչ արժույթ է օգտագործվում Գերմանիայում 2012 թ.")</f>
        <v>ինչ արժույթ է օգտագործվում Գերմանիայում 2012 թ.</v>
      </c>
      <c r="D3236" s="3" t="str">
        <f>IFERROR(__xludf.DUMMYFUNCTION("GOOGLETRANSLATE(B3236,""en"",""hy"")"),"2012 թվականին Գերմանիայում օգտագործված արժույթը եվրոն էր։")</f>
        <v>2012 թվականին Գերմանիայում օգտագործված արժույթը եվրոն էր։</v>
      </c>
    </row>
    <row r="3237">
      <c r="A3237" s="1" t="s">
        <v>6382</v>
      </c>
      <c r="B3237" s="2" t="s">
        <v>6383</v>
      </c>
      <c r="C3237" s="3" t="str">
        <f>IFERROR(__xludf.DUMMYFUNCTION("GOOGLETRANSLATE(A3237,""en"",""hy"")"),"ի՞նչը դարձրեց Ռոալդ Դալին հայտնի:")</f>
        <v>ի՞նչը դարձրեց Ռոալդ Դալին հայտնի:</v>
      </c>
      <c r="D3237" s="3" t="str">
        <f>IFERROR(__xludf.DUMMYFUNCTION("GOOGLETRANSLATE(B3237,""en"",""hy"")"),"Ռոալդ Դալը հայտնի դարձավ իր մանկական գրքերով, այդ թվում՝ «Չարլին և շոկոլադի գործարանը» և «Մաթիլդան»։")</f>
        <v>Ռոալդ Դալը հայտնի դարձավ իր մանկական գրքերով, այդ թվում՝ «Չարլին և շոկոլադի գործարանը» և «Մաթիլդան»։</v>
      </c>
    </row>
    <row r="3238">
      <c r="A3238" s="1" t="s">
        <v>6384</v>
      </c>
      <c r="B3238" s="2" t="s">
        <v>6385</v>
      </c>
      <c r="C3238" s="3" t="str">
        <f>IFERROR(__xludf.DUMMYFUNCTION("GOOGLETRANSLATE(A3238,""en"",""hy"")"),"ի՞նչ դպրոց է հաճախել Մարտին Լյութեր Քինգ կրտսերը:")</f>
        <v>ի՞նչ դպրոց է հաճախել Մարտին Լյութեր Քինգ կրտսերը:</v>
      </c>
      <c r="D3238" s="3" t="str">
        <f>IFERROR(__xludf.DUMMYFUNCTION("GOOGLETRANSLATE(B3238,""en"",""hy"")"),"Մարտին Լյութեր Քինգ կրտսերը հաճախել է Մորհաուս քոլեջը, Քրոզեր աստվածաբանական ճեմարանը և Բոստոնի համալսարանը։")</f>
        <v>Մարտին Լյութեր Քինգ կրտսերը հաճախել է Մորհաուս քոլեջը, Քրոզեր աստվածաբանական ճեմարանը և Բոստոնի համալսարանը։</v>
      </c>
    </row>
    <row r="3239">
      <c r="A3239" s="1" t="s">
        <v>6386</v>
      </c>
      <c r="B3239" s="2" t="s">
        <v>6387</v>
      </c>
      <c r="C3239" s="3" t="str">
        <f>IFERROR(__xludf.DUMMYFUNCTION("GOOGLETRANSLATE(A3239,""en"",""hy"")"),"ում հետ ամուսնացավ Լենի Կրավիցը:")</f>
        <v>ում հետ ամուսնացավ Լենի Կրավիցը:</v>
      </c>
      <c r="D3239" s="3" t="str">
        <f>IFERROR(__xludf.DUMMYFUNCTION("GOOGLETRANSLATE(B3239,""en"",""hy"")"),"Լեննի Կրավիցն ամուսնացել է դերասանուհի Լիզա Բոնետի հետ։")</f>
        <v>Լեննի Կրավիցն ամուսնացել է դերասանուհի Լիզա Բոնետի հետ։</v>
      </c>
    </row>
    <row r="3240">
      <c r="A3240" s="1" t="s">
        <v>6388</v>
      </c>
      <c r="B3240" s="2" t="s">
        <v>6389</v>
      </c>
      <c r="C3240" s="3" t="str">
        <f>IFERROR(__xludf.DUMMYFUNCTION("GOOGLETRANSLATE(A3240,""en"",""hy"")"),"ո՞րն է Կանադայի երկրորդ պաշտոնական լեզուն:")</f>
        <v>ո՞րն է Կանադայի երկրորդ պաշտոնական լեզուն:</v>
      </c>
      <c r="D3240" s="3" t="str">
        <f>IFERROR(__xludf.DUMMYFUNCTION("GOOGLETRANSLATE(B3240,""en"",""hy"")"),"ֆրանսերեն")</f>
        <v>ֆրանսերեն</v>
      </c>
    </row>
    <row r="3241">
      <c r="A3241" s="1" t="s">
        <v>6390</v>
      </c>
      <c r="B3241" s="2" t="s">
        <v>6391</v>
      </c>
      <c r="C3241" s="3" t="str">
        <f>IFERROR(__xludf.DUMMYFUNCTION("GOOGLETRANSLATE(A3241,""en"",""hy"")"),"ով է մարզել դալասի կովբոյներին 1996 թվականին:")</f>
        <v>ով է մարզել դալասի կովբոյներին 1996 թվականին:</v>
      </c>
      <c r="D3241" s="3" t="str">
        <f>IFERROR(__xludf.DUMMYFUNCTION("GOOGLETRANSLATE(B3241,""en"",""hy"")"),"Բարրի Շվեյցեր.")</f>
        <v>Բարրի Շվեյցեր.</v>
      </c>
    </row>
    <row r="3242">
      <c r="A3242" s="1" t="s">
        <v>6392</v>
      </c>
      <c r="B3242" s="2" t="s">
        <v>6393</v>
      </c>
      <c r="C3242" s="3" t="str">
        <f>IFERROR(__xludf.DUMMYFUNCTION("GOOGLETRANSLATE(A3242,""en"",""hy"")"),"ո՞ր երկրում էր ապրում Պոնսե դե Լեոնը")</f>
        <v>ո՞ր երկրում էր ապրում Պոնսե դե Լեոնը</v>
      </c>
      <c r="D3242" s="3" t="str">
        <f>IFERROR(__xludf.DUMMYFUNCTION("GOOGLETRANSLATE(B3242,""en"",""hy"")"),"Պոնսե դե Լեոնն ապրում էր Իսպանիայում։")</f>
        <v>Պոնսե դե Լեոնն ապրում էր Իսպանիայում։</v>
      </c>
    </row>
    <row r="3243">
      <c r="A3243" s="1" t="s">
        <v>6394</v>
      </c>
      <c r="B3243" s="2" t="s">
        <v>6395</v>
      </c>
      <c r="C3243" s="3" t="str">
        <f>IFERROR(__xludf.DUMMYFUNCTION("GOOGLETRANSLATE(A3243,""en"",""hy"")"),"ինչ են անվանում ռուսերեն լեզուն")</f>
        <v>ինչ են անվանում ռուսերեն լեզուն</v>
      </c>
      <c r="D3243" s="3" t="str">
        <f>IFERROR(__xludf.DUMMYFUNCTION("GOOGLETRANSLATE(B3243,""en"",""hy"")"),"Ռուսաստանում լեզուն կոչվում է ռուսերեն:")</f>
        <v>Ռուսաստանում լեզուն կոչվում է ռուսերեն:</v>
      </c>
    </row>
    <row r="3244">
      <c r="A3244" s="1" t="s">
        <v>6396</v>
      </c>
      <c r="B3244" s="2" t="s">
        <v>6397</v>
      </c>
      <c r="C3244" s="3" t="str">
        <f>IFERROR(__xludf.DUMMYFUNCTION("GOOGLETRANSLATE(A3244,""en"",""hy"")"),"ինչ է նշանակում Օստին անունը:")</f>
        <v>ինչ է նշանակում Օստին անունը:</v>
      </c>
      <c r="D3244" s="3" t="str">
        <f>IFERROR(__xludf.DUMMYFUNCTION("GOOGLETRANSLATE(B3244,""en"",""hy"")"),"Օսթին անունը նշանակում է «մեծ» կամ «հոյակապ»:")</f>
        <v>Օսթին անունը նշանակում է «մեծ» կամ «հոյակապ»:</v>
      </c>
    </row>
    <row r="3245">
      <c r="A3245" s="1" t="s">
        <v>6398</v>
      </c>
      <c r="B3245" s="2" t="s">
        <v>6399</v>
      </c>
      <c r="C3245" s="3" t="str">
        <f>IFERROR(__xludf.DUMMYFUNCTION("GOOGLETRANSLATE(A3245,""en"",""hy"")"),"Ո՞վ է խաղում Հենկ Բասկետը 2010 թվականի նոյեմբերին:")</f>
        <v>Ո՞վ է խաղում Հենկ Բասկետը 2010 թվականի նոյեմբերին:</v>
      </c>
      <c r="D3245" s="3" t="str">
        <f>IFERROR(__xludf.DUMMYFUNCTION("GOOGLETRANSLATE(B3245,""en"",""hy"")"),"2010 թվականի նոյեմբերի դրությամբ Հենք Բասկետը չի խաղում որևէ թիմում։")</f>
        <v>2010 թվականի նոյեմբերի դրությամբ Հենք Բասկետը չի խաղում որևէ թիմում։</v>
      </c>
    </row>
    <row r="3246">
      <c r="A3246" s="1" t="s">
        <v>6400</v>
      </c>
      <c r="B3246" s="2" t="s">
        <v>6401</v>
      </c>
      <c r="C3246" s="3" t="str">
        <f>IFERROR(__xludf.DUMMYFUNCTION("GOOGLETRANSLATE(A3246,""en"",""hy"")"),"ով էր ԱՄՆ նախագահը 1971թ.")</f>
        <v>ով էր ԱՄՆ նախագահը 1971թ.</v>
      </c>
      <c r="D3246" s="3" t="str">
        <f>IFERROR(__xludf.DUMMYFUNCTION("GOOGLETRANSLATE(B3246,""en"",""hy"")"),"Ռիչարդ Նիքսոն.")</f>
        <v>Ռիչարդ Նիքսոն.</v>
      </c>
    </row>
    <row r="3247">
      <c r="A3247" s="1" t="s">
        <v>6402</v>
      </c>
      <c r="B3247" s="2" t="s">
        <v>6403</v>
      </c>
      <c r="C3247" s="3" t="str">
        <f>IFERROR(__xludf.DUMMYFUNCTION("GOOGLETRANSLATE(A3247,""en"",""hy"")"),"ո՞ր թիմում է խաղացել Ռոնալդուն")</f>
        <v>ո՞ր թիմում է խաղացել Ռոնալդուն</v>
      </c>
      <c r="D3247" s="3" t="str">
        <f>IFERROR(__xludf.DUMMYFUNCTION("GOOGLETRANSLATE(B3247,""en"",""hy"")"),"Ռոնալդուն իր կարիերայի ընթացքում խաղացել է մի քանի թիմերում, այդ թվում՝ Լիսաբոնի «Սպորտինգում», «Մանչեսթեր Յունայթեդում», «Ռեալում», «Յուվենտուսում», իսկ ներկայումս հանդես է գալիս «Ալ Նասրում»:")</f>
        <v>Ռոնալդուն իր կարիերայի ընթացքում խաղացել է մի քանի թիմերում, այդ թվում՝ Լիսաբոնի «Սպորտինգում», «Մանչեսթեր Յունայթեդում», «Ռեալում», «Յուվենտուսում», իսկ ներկայումս հանդես է գալիս «Ալ Նասրում»:</v>
      </c>
    </row>
    <row r="3248">
      <c r="A3248" s="1" t="s">
        <v>6404</v>
      </c>
      <c r="B3248" s="2" t="s">
        <v>6405</v>
      </c>
      <c r="C3248" s="3" t="str">
        <f>IFERROR(__xludf.DUMMYFUNCTION("GOOGLETRANSLATE(A3248,""en"",""hy"")"),"ինչ անել այսօր բիրմինգհեմում Մեծ Բրիտանիայում:")</f>
        <v>ինչ անել այսօր բիրմինգհեմում Մեծ Բրիտանիայում:</v>
      </c>
      <c r="D3248" s="3" t="str">
        <f>IFERROR(__xludf.DUMMYFUNCTION("GOOGLETRANSLATE(B3248,""en"",""hy"")"),"Այսօր կան մի քանի բաներ, որոնք դուք կարող եք անել Բիրմինգհեմում, Մեծ Բրիտանիա: Որոշ տարբերակներ ներառում են այցելել թանգարաններ, ինչպիսիք են Բիրմինգհեմի թանգարանը և արվեստի պատկերասրահը կամ Thinktank գիտության թանգարանը, ուսումնասիրել ջրանցքները Brindleyp"&amp;"lace-ում, գնումներ կատարել Bullring առևտրի կենտրոնում կամ զբոսնել քաղաքի բազմաթիվ այգիներից մեկում, ինչպիսիք են Cannon Hill Park-ը կամ Sutton-ը: Պուրակ.")</f>
        <v>Այսօր կան մի քանի բաներ, որոնք դուք կարող եք անել Բիրմինգհեմում, Մեծ Բրիտանիա: Որոշ տարբերակներ ներառում են այցելել թանգարաններ, ինչպիսիք են Բիրմինգհեմի թանգարանը և արվեստի պատկերասրահը կամ Thinktank գիտության թանգարանը, ուսումնասիրել ջրանցքները Brindleyplace-ում, գնումներ կատարել Bullring առևտրի կենտրոնում կամ զբոսնել քաղաքի բազմաթիվ այգիներից մեկում, ինչպիսիք են Cannon Hill Park-ը կամ Sutton-ը: Պուրակ.</v>
      </c>
    </row>
    <row r="3249">
      <c r="A3249" s="1" t="s">
        <v>6406</v>
      </c>
      <c r="B3249" s="2" t="s">
        <v>6407</v>
      </c>
      <c r="C3249" s="3" t="str">
        <f>IFERROR(__xludf.DUMMYFUNCTION("GOOGLETRANSLATE(A3249,""en"",""hy"")"),"ո՞վ էր Թիմոթի Մակվիի հանցակիցը:")</f>
        <v>ո՞վ էր Թիմոթի Մակվիի հանցակիցը:</v>
      </c>
      <c r="D3249" s="3" t="str">
        <f>IFERROR(__xludf.DUMMYFUNCTION("GOOGLETRANSLATE(B3249,""en"",""hy"")"),"Թերի Նիկոլս.")</f>
        <v>Թերի Նիկոլս.</v>
      </c>
    </row>
    <row r="3250">
      <c r="A3250" s="1" t="s">
        <v>6408</v>
      </c>
      <c r="B3250" s="2" t="s">
        <v>6409</v>
      </c>
      <c r="C3250" s="3" t="str">
        <f>IFERROR(__xludf.DUMMYFUNCTION("GOOGLETRANSLATE(A3250,""en"",""hy"")"),"քանի՞ տարեկան է Հյուսիսային Կորեայի ներկայիս նախագահը:")</f>
        <v>քանի՞ տարեկան է Հյուսիսային Կորեայի ներկայիս նախագահը:</v>
      </c>
      <c r="D3250" s="3" t="str">
        <f>IFERROR(__xludf.DUMMYFUNCTION("GOOGLETRANSLATE(B3250,""en"",""hy"")"),"2021 թվականի սեպտեմբերի դրությամբ Հյուսիսային Կորեայի ներկայիս նախագահ Կիմ Չեն Ընը համարվում է 36 տարեկան։")</f>
        <v>2021 թվականի սեպտեմբերի դրությամբ Հյուսիսային Կորեայի ներկայիս նախագահ Կիմ Չեն Ընը համարվում է 36 տարեկան։</v>
      </c>
    </row>
    <row r="3251">
      <c r="A3251" s="1" t="s">
        <v>6410</v>
      </c>
      <c r="B3251" s="2" t="s">
        <v>6411</v>
      </c>
      <c r="C3251" s="3" t="str">
        <f>IFERROR(__xludf.DUMMYFUNCTION("GOOGLETRANSLATE(A3251,""en"",""hy"")"),"ինչ շոուում է խաղում tamera mowry-ն:")</f>
        <v>ինչ շոուում է խաղում tamera mowry-ն:</v>
      </c>
      <c r="D3251" s="3" t="str">
        <f>IFERROR(__xludf.DUMMYFUNCTION("GOOGLETRANSLATE(B3251,""en"",""hy"")"),"Թամերա Մաուրին խաղում է «Քույր, քույր» ֆիլմում։")</f>
        <v>Թամերա Մաուրին խաղում է «Քույր, քույր» ֆիլմում։</v>
      </c>
    </row>
    <row r="3252">
      <c r="A3252" s="1" t="s">
        <v>6412</v>
      </c>
      <c r="B3252" s="2" t="s">
        <v>395</v>
      </c>
      <c r="C3252" s="3" t="str">
        <f>IFERROR(__xludf.DUMMYFUNCTION("GOOGLETRANSLATE(A3252,""en"",""hy"")"),"ինչ լեզվով են խոսում Ավստրալիայում մարդիկ:")</f>
        <v>ինչ լեզվով են խոսում Ավստրալիայում մարդիկ:</v>
      </c>
      <c r="D3252" s="3" t="str">
        <f>IFERROR(__xludf.DUMMYFUNCTION("GOOGLETRANSLATE(B3252,""en"",""hy"")"),"Անգլերեն.")</f>
        <v>Անգլերեն.</v>
      </c>
    </row>
    <row r="3253">
      <c r="A3253" s="1" t="s">
        <v>6413</v>
      </c>
      <c r="B3253" s="2" t="s">
        <v>6414</v>
      </c>
      <c r="C3253" s="3" t="str">
        <f>IFERROR(__xludf.DUMMYFUNCTION("GOOGLETRANSLATE(A3253,""en"",""hy"")"),"Ո՞ր քոլեջն է գտնվում Գրելի Կոլորադոյում:")</f>
        <v>Ո՞ր քոլեջն է գտնվում Գրելի Կոլորադոյում:</v>
      </c>
      <c r="D3253" s="3" t="str">
        <f>IFERROR(__xludf.DUMMYFUNCTION("GOOGLETRANSLATE(B3253,""en"",""hy"")"),"Հյուսիսային Կոլորադոյի համալսարան.")</f>
        <v>Հյուսիսային Կոլորադոյի համալսարան.</v>
      </c>
    </row>
    <row r="3254">
      <c r="A3254" s="1" t="s">
        <v>6415</v>
      </c>
      <c r="B3254" s="2" t="s">
        <v>6416</v>
      </c>
      <c r="C3254" s="3" t="str">
        <f>IFERROR(__xludf.DUMMYFUNCTION("GOOGLETRANSLATE(A3254,""en"",""hy"")"),"Ո՞ր երկրների միջով է հոսում Նիգեր գետը:")</f>
        <v>Ո՞ր երկրների միջով է հոսում Նիգեր գետը:</v>
      </c>
      <c r="D3254" s="3" t="str">
        <f>IFERROR(__xludf.DUMMYFUNCTION("GOOGLETRANSLATE(B3254,""en"",""hy"")"),"Նիգեր գետը հոսում է Գվինեայի, Մալիի, Նիգերի, Բենինի և Նիգերիայի երկրների միջով։")</f>
        <v>Նիգեր գետը հոսում է Գվինեայի, Մալիի, Նիգերի, Բենինի և Նիգերիայի երկրների միջով։</v>
      </c>
    </row>
    <row r="3255">
      <c r="A3255" s="1" t="s">
        <v>6417</v>
      </c>
      <c r="B3255" s="2" t="s">
        <v>6418</v>
      </c>
      <c r="C3255" s="3" t="str">
        <f>IFERROR(__xludf.DUMMYFUNCTION("GOOGLETRANSLATE(A3255,""en"",""hy"")"),"ո՞րն է Արիզոնայի պաշտոնական պետական ​​ծաղիկը:")</f>
        <v>ո՞րն է Արիզոնայի պաշտոնական պետական ​​ծաղիկը:</v>
      </c>
      <c r="D3255" s="3" t="str">
        <f>IFERROR(__xludf.DUMMYFUNCTION("GOOGLETRANSLATE(B3255,""en"",""hy"")"),"Արիզոնայի պաշտոնական պետական ​​ծաղիկը Saguaro Cactus Blossom-ն է:")</f>
        <v>Արիզոնայի պաշտոնական պետական ​​ծաղիկը Saguaro Cactus Blossom-ն է:</v>
      </c>
    </row>
    <row r="3256">
      <c r="A3256" s="1" t="s">
        <v>6419</v>
      </c>
      <c r="B3256" s="2" t="s">
        <v>6420</v>
      </c>
      <c r="C3256" s="3" t="str">
        <f>IFERROR(__xludf.DUMMYFUNCTION("GOOGLETRANSLATE(A3256,""en"",""hy"")"),"ո՞ր կրոնն է Պակիստանում մարդկանց մեծ մասը:")</f>
        <v>ո՞ր կրոնն է Պակիստանում մարդկանց մեծ մասը:</v>
      </c>
      <c r="D3256" s="3" t="str">
        <f>IFERROR(__xludf.DUMMYFUNCTION("GOOGLETRANSLATE(B3256,""en"",""hy"")"),"իսլամ")</f>
        <v>իսլամ</v>
      </c>
    </row>
    <row r="3257">
      <c r="A3257" s="1" t="s">
        <v>6421</v>
      </c>
      <c r="B3257" s="2" t="s">
        <v>6422</v>
      </c>
      <c r="C3257" s="3" t="str">
        <f>IFERROR(__xludf.DUMMYFUNCTION("GOOGLETRANSLATE(A3257,""en"",""hy"")"),"որտեղ են գտնվում բուրգերը Եգիպտոսում:")</f>
        <v>որտեղ են գտնվում բուրգերը Եգիպտոսում:</v>
      </c>
      <c r="D3257" s="3" t="str">
        <f>IFERROR(__xludf.DUMMYFUNCTION("GOOGLETRANSLATE(B3257,""en"",""hy"")"),"Բուրգերը գտնվում են Եգիպտոսի Գիզայում։")</f>
        <v>Բուրգերը գտնվում են Եգիպտոսի Գիզայում։</v>
      </c>
    </row>
    <row r="3258">
      <c r="A3258" s="1" t="s">
        <v>6423</v>
      </c>
      <c r="B3258" s="2" t="s">
        <v>6424</v>
      </c>
      <c r="C3258" s="3" t="str">
        <f>IFERROR(__xludf.DUMMYFUNCTION("GOOGLETRANSLATE(A3258,""en"",""hy"")"),"ինչ խաղեր է պատրաստել bungie-ն:")</f>
        <v>ինչ խաղեր է պատրաստել bungie-ն:</v>
      </c>
      <c r="D3258" s="3" t="str">
        <f>IFERROR(__xludf.DUMMYFUNCTION("GOOGLETRANSLATE(B3258,""en"",""hy"")"),"Bungie-ն ստեղծել է այնպիսի խաղեր, ինչպիսիք են Halo շարքը և Destiny:")</f>
        <v>Bungie-ն ստեղծել է այնպիսի խաղեր, ինչպիսիք են Halo շարքը և Destiny:</v>
      </c>
    </row>
    <row r="3259">
      <c r="A3259" s="1" t="s">
        <v>6425</v>
      </c>
      <c r="B3259" s="2" t="s">
        <v>6426</v>
      </c>
      <c r="C3259" s="3" t="str">
        <f>IFERROR(__xludf.DUMMYFUNCTION("GOOGLETRANSLATE(A3259,""en"",""hy"")"),"ով է խաղում Կրիշտիանու Ռոնալդուն 2012 թ.")</f>
        <v>ով է խաղում Կրիշտիանու Ռոնալդուն 2012 թ.</v>
      </c>
      <c r="D3259" s="3" t="str">
        <f>IFERROR(__xludf.DUMMYFUNCTION("GOOGLETRANSLATE(B3259,""en"",""hy"")"),"Կրիշտիանու Ռոնալդուն Մադրիդի «Ռեալում» հանդես է եկել 2012 թվականին։")</f>
        <v>Կրիշտիանու Ռոնալդուն Մադրիդի «Ռեալում» հանդես է եկել 2012 թվականին։</v>
      </c>
    </row>
    <row r="3260">
      <c r="A3260" s="1" t="s">
        <v>6427</v>
      </c>
      <c r="B3260" s="2" t="s">
        <v>6428</v>
      </c>
      <c r="C3260" s="3" t="str">
        <f>IFERROR(__xludf.DUMMYFUNCTION("GOOGLETRANSLATE(A3260,""en"",""hy"")"),"ինչպիսի՞ օրենքներ էր պահանջում Մերի Հարիս Ջոնսը:")</f>
        <v>ինչպիսի՞ օրենքներ էր պահանջում Մերի Հարիս Ջոնսը:</v>
      </c>
      <c r="D3260" s="3" t="str">
        <f>IFERROR(__xludf.DUMMYFUNCTION("GOOGLETRANSLATE(B3260,""en"",""hy"")"),"Մերի Հարիս Ջոնսը, որը նաև հայտնի է որպես Մայր Ջոնս, պահանջում էր աշխատողների աշխատանքային իրավունքներ և պաշտպանություն, ներառյալ ավելի լավ աշխատանքային պայմաններ, արդար աշխատավարձ և դադարեցնել երեխաների աշխատանքը:")</f>
        <v>Մերի Հարիս Ջոնսը, որը նաև հայտնի է որպես Մայր Ջոնս, պահանջում էր աշխատողների աշխատանքային իրավունքներ և պաշտպանություն, ներառյալ ավելի լավ աշխատանքային պայմաններ, արդար աշխատավարձ և դադարեցնել երեխաների աշխատանքը:</v>
      </c>
    </row>
    <row r="3261">
      <c r="A3261" s="1" t="s">
        <v>6429</v>
      </c>
      <c r="B3261" s="2" t="s">
        <v>6430</v>
      </c>
      <c r="C3261" s="3" t="str">
        <f>IFERROR(__xludf.DUMMYFUNCTION("GOOGLETRANSLATE(A3261,""en"",""hy"")"),"Ո՞ր թիմում առաջինը խաղաց Կոբի Բրայանտը:")</f>
        <v>Ո՞ր թիմում առաջինը խաղաց Կոբի Բրայանտը:</v>
      </c>
      <c r="D3261" s="3" t="str">
        <f>IFERROR(__xludf.DUMMYFUNCTION("GOOGLETRANSLATE(B3261,""en"",""hy"")"),"Այն թիմը, որտեղ առաջինը խաղացել է Կոբի Բրայանտը, եղել է Լոս Անջելես Լեյքերսը:")</f>
        <v>Այն թիմը, որտեղ առաջինը խաղացել է Կոբի Բրայանտը, եղել է Լոս Անջելես Լեյքերսը:</v>
      </c>
    </row>
    <row r="3262">
      <c r="A3262" s="1" t="s">
        <v>6431</v>
      </c>
      <c r="B3262" s="2" t="s">
        <v>6432</v>
      </c>
      <c r="C3262" s="3" t="str">
        <f>IFERROR(__xludf.DUMMYFUNCTION("GOOGLETRANSLATE(A3262,""en"",""hy"")"),"ինչպիսի՞ կառավարություն ունի Վիետնամը.")</f>
        <v>ինչպիսի՞ կառավարություն ունի Վիետնամը.</v>
      </c>
      <c r="D3262" s="3" t="str">
        <f>IFERROR(__xludf.DUMMYFUNCTION("GOOGLETRANSLATE(B3262,""en"",""hy"")"),"Վիետնամն ունի սոցիալիստական ​​հանրապետական ​​կառավարման ձև:")</f>
        <v>Վիետնամն ունի սոցիալիստական ​​հանրապետական ​​կառավարման ձև:</v>
      </c>
    </row>
    <row r="3263">
      <c r="A3263" s="1" t="s">
        <v>6433</v>
      </c>
      <c r="B3263" s="2" t="s">
        <v>6434</v>
      </c>
      <c r="C3263" s="3" t="str">
        <f>IFERROR(__xludf.DUMMYFUNCTION("GOOGLETRANSLATE(A3263,""en"",""hy"")"),"ինչ լեզվով են խոսում Շվեյցարիայում")</f>
        <v>ինչ լեզվով են խոսում Շվեյցարիայում</v>
      </c>
      <c r="D3263" s="3" t="str">
        <f>IFERROR(__xludf.DUMMYFUNCTION("GOOGLETRANSLATE(B3263,""en"",""hy"")"),"Շվեյցարիան ունի չորս պաշտոնական լեզու՝ գերմաներեն, ֆրանսերեն, իտալերեն և ռոմանշերեն:")</f>
        <v>Շվեյցարիան ունի չորս պաշտոնական լեզու՝ գերմաներեն, ֆրանսերեն, իտալերեն և ռոմանշերեն:</v>
      </c>
    </row>
    <row r="3264">
      <c r="A3264" s="1" t="s">
        <v>6435</v>
      </c>
      <c r="B3264" s="2" t="s">
        <v>6436</v>
      </c>
      <c r="C3264" s="3" t="str">
        <f>IFERROR(__xludf.DUMMYFUNCTION("GOOGLETRANSLATE(A3264,""en"",""hy"")"),"որտեղ մնալ Հռոմի հարեւանությամբ:")</f>
        <v>որտեղ մնալ Հռոմի հարեւանությամբ:</v>
      </c>
      <c r="D3264" s="3" t="str">
        <f>IFERROR(__xludf.DUMMYFUNCTION("GOOGLETRANSLATE(B3264,""en"",""hy"")"),"Տրաստևերեն, Centro Storico-ն և Monti-ն հայտնի թաղամասեր են, որոնք պետք է դիտարկել Հռոմում մնալու մասին:")</f>
        <v>Տրաստևերեն, Centro Storico-ն և Monti-ն հայտնի թաղամասեր են, որոնք պետք է դիտարկել Հռոմում մնալու մասին:</v>
      </c>
    </row>
    <row r="3265">
      <c r="A3265" s="1" t="s">
        <v>6437</v>
      </c>
      <c r="B3265" s="2" t="s">
        <v>6438</v>
      </c>
      <c r="C3265" s="3" t="str">
        <f>IFERROR(__xludf.DUMMYFUNCTION("GOOGLETRANSLATE(A3265,""en"",""hy"")"),"ի՞նչ ոճի արվեստ է ստեղծել Վան Գոգը:")</f>
        <v>ի՞նչ ոճի արվեստ է ստեղծել Վան Գոգը:</v>
      </c>
      <c r="D3265" s="3" t="str">
        <f>IFERROR(__xludf.DUMMYFUNCTION("GOOGLETRANSLATE(B3265,""en"",""hy"")"),"Վան Գոգը ստեղծել է արվեստի ոճ, որը հայտնի է որպես հետիմպրեսիոնիզմ:")</f>
        <v>Վան Գոգը ստեղծել է արվեստի ոճ, որը հայտնի է որպես հետիմպրեսիոնիզմ:</v>
      </c>
    </row>
    <row r="3266">
      <c r="A3266" s="1" t="s">
        <v>6439</v>
      </c>
      <c r="B3266" s="2" t="s">
        <v>6440</v>
      </c>
      <c r="C3266" s="3" t="str">
        <f>IFERROR(__xludf.DUMMYFUNCTION("GOOGLETRANSLATE(A3266,""en"",""hy"")"),"ինչ է ամերիկյան կարկանդակ երգի մասին:")</f>
        <v>ինչ է ամերիկյան կարկանդակ երգի մասին:</v>
      </c>
      <c r="D3266" s="3" t="str">
        <f>IFERROR(__xludf.DUMMYFUNCTION("GOOGLETRANSLATE(B3266,""en"",""hy"")"),"«American Pie»-ը Դոն Մաքլինի երգն է, որը վկայակոչում է 1950-ականների և 1960-ականների կարևոր իրադարձություններն ու մշակութային պատկերակները և հաճախ մեկնաբանվում է որպես այդ ժամանակահատվածում ամերիկյան անմեղության և իդեալների անկման այլաբանություն:")</f>
        <v>«American Pie»-ը Դոն Մաքլինի երգն է, որը վկայակոչում է 1950-ականների և 1960-ականների կարևոր իրադարձություններն ու մշակութային պատկերակները և հաճախ մեկնաբանվում է որպես այդ ժամանակահատվածում ամերիկյան անմեղության և իդեալների անկման այլաբանություն:</v>
      </c>
    </row>
    <row r="3267">
      <c r="A3267" s="1" t="s">
        <v>6441</v>
      </c>
      <c r="B3267" s="2" t="s">
        <v>6442</v>
      </c>
      <c r="C3267" s="3" t="str">
        <f>IFERROR(__xludf.DUMMYFUNCTION("GOOGLETRANSLATE(A3267,""en"",""hy"")"),"ինչ են համարվում պորտուգալացիները:")</f>
        <v>ինչ են համարվում պորտուգալացիները:</v>
      </c>
      <c r="D3267" s="3" t="str">
        <f>IFERROR(__xludf.DUMMYFUNCTION("GOOGLETRANSLATE(B3267,""en"",""hy"")"),"Պորտուգալացիները համարվում են Պորտուգալիայի քաղաքացիներ։")</f>
        <v>Պորտուգալացիները համարվում են Պորտուգալիայի քաղաքացիներ։</v>
      </c>
    </row>
    <row r="3268">
      <c r="A3268" s="1" t="s">
        <v>6443</v>
      </c>
      <c r="B3268" s="2" t="s">
        <v>6444</v>
      </c>
      <c r="C3268" s="3" t="str">
        <f>IFERROR(__xludf.DUMMYFUNCTION("GOOGLETRANSLATE(A3268,""en"",""hy"")"),"ինչ ֆիլմերում է նկարահանվել Անջելինա Ջոլին.")</f>
        <v>ինչ ֆիլմերում է նկարահանվել Անջելինա Ջոլին.</v>
      </c>
      <c r="D3268" s="3" t="str">
        <f>IFERROR(__xludf.DUMMYFUNCTION("GOOGLETRANSLATE(B3268,""en"",""hy"")"),"Որոշ ֆիլմեր, որոնցում նկարահանվել է Անջելինա Ջոլին, ներառում են «Լարա Քրոֆթ. Դամբարանների արշավող», «Մալեֆիսենտ», «Աղ», «Փնտրվում է» և «Պարոն և տիկին Սմիթ»:")</f>
        <v>Որոշ ֆիլմեր, որոնցում նկարահանվել է Անջելինա Ջոլին, ներառում են «Լարա Քրոֆթ. Դամբարանների արշավող», «Մալեֆիսենտ», «Աղ», «Փնտրվում է» և «Պարոն և տիկին Սմիթ»:</v>
      </c>
    </row>
    <row r="3269">
      <c r="A3269" s="1" t="s">
        <v>6445</v>
      </c>
      <c r="B3269" s="2" t="s">
        <v>6446</v>
      </c>
      <c r="C3269" s="3" t="str">
        <f>IFERROR(__xludf.DUMMYFUNCTION("GOOGLETRANSLATE(A3269,""en"",""hy"")"),"որտեղ էր գտնվում հին Կարթագենը")</f>
        <v>որտեղ էր գտնվում հին Կարթագենը</v>
      </c>
      <c r="D3269" s="3" t="str">
        <f>IFERROR(__xludf.DUMMYFUNCTION("GOOGLETRANSLATE(B3269,""en"",""hy"")"),"Հին Կարթագենը գտնվում էր ներկայիս Թունիսում։")</f>
        <v>Հին Կարթագենը գտնվում էր ներկայիս Թունիսում։</v>
      </c>
    </row>
    <row r="3270">
      <c r="A3270" s="1" t="s">
        <v>6447</v>
      </c>
      <c r="B3270" s="2" t="s">
        <v>6448</v>
      </c>
      <c r="C3270" s="3" t="str">
        <f>IFERROR(__xludf.DUMMYFUNCTION("GOOGLETRANSLATE(A3270,""en"",""hy"")"),"ի՞նչ տեսակի նկարներ է արել Մարկ Շագալը:")</f>
        <v>ի՞նչ տեսակի նկարներ է արել Մարկ Շագալը:</v>
      </c>
      <c r="D3270" s="3" t="str">
        <f>IFERROR(__xludf.DUMMYFUNCTION("GOOGLETRANSLATE(B3270,""en"",""hy"")"),"Մարկ Շագալը հիմնականում նկարներ էր անում այնպիսի ոճով, որը միաձուլում էր կուբիզմի և ֆովիզմի տարրերը իր առանձնահատուկ պատկերների և սիմվոլիզմի հետ:")</f>
        <v>Մարկ Շագալը հիմնականում նկարներ էր անում այնպիսի ոճով, որը միաձուլում էր կուբիզմի և ֆովիզմի տարրերը իր առանձնահատուկ պատկերների և սիմվոլիզմի հետ:</v>
      </c>
    </row>
    <row r="3271">
      <c r="A3271" s="1" t="s">
        <v>6449</v>
      </c>
      <c r="B3271" s="2" t="s">
        <v>6450</v>
      </c>
      <c r="C3271" s="3" t="str">
        <f>IFERROR(__xludf.DUMMYFUNCTION("GOOGLETRANSLATE(A3271,""en"",""hy"")"),"ի՞նչ ասաց Հայզենբերգը էլեկտրոնների մասին:")</f>
        <v>ի՞նչ ասաց Հայզենբերգը էլեկտրոնների մասին:</v>
      </c>
      <c r="D3271" s="3" t="str">
        <f>IFERROR(__xludf.DUMMYFUNCTION("GOOGLETRANSLATE(B3271,""en"",""hy"")"),"Հայզենբերգը հայտարարեց, որ էլեկտրոնի ճշգրիտ դիրքն ու իմպուլսը չի կարող միաժամանակ որոշվել։")</f>
        <v>Հայզենբերգը հայտարարեց, որ էլեկտրոնի ճշգրիտ դիրքն ու իմպուլսը չի կարող միաժամանակ որոշվել։</v>
      </c>
    </row>
    <row r="3272">
      <c r="A3272" s="1" t="s">
        <v>6451</v>
      </c>
      <c r="B3272" s="2" t="s">
        <v>6452</v>
      </c>
      <c r="C3272" s="3" t="str">
        <f>IFERROR(__xludf.DUMMYFUNCTION("GOOGLETRANSLATE(A3272,""en"",""hy"")"),"Ո՞ր ֆիլմերի համար է երաժշտությունը գրել Հովարդ Շորը:")</f>
        <v>Ո՞ր ֆիլմերի համար է երաժշտությունը գրել Հովարդ Շորը:</v>
      </c>
      <c r="D3272" s="3" t="str">
        <f>IFERROR(__xludf.DUMMYFUNCTION("GOOGLETRANSLATE(B3272,""en"",""hy"")"),"Հովարդ Շորը երաժշտություն է գրել այնպիսի ֆիլմերի համար, ինչպիսիք են «Մատանիների տիրակալը» եռերգությունը, «Հոբիթ» եռերգությունը և «Ավիատորը»:")</f>
        <v>Հովարդ Շորը երաժշտություն է գրել այնպիսի ֆիլմերի համար, ինչպիսիք են «Մատանիների տիրակալը» եռերգությունը, «Հոբիթ» եռերգությունը և «Ավիատորը»:</v>
      </c>
    </row>
    <row r="3273">
      <c r="A3273" s="1" t="s">
        <v>6453</v>
      </c>
      <c r="B3273" s="2" t="s">
        <v>6454</v>
      </c>
      <c r="C3273" s="3" t="str">
        <f>IFERROR(__xludf.DUMMYFUNCTION("GOOGLETRANSLATE(A3273,""en"",""hy"")"),"ինչ են խոսում չիլիացիները")</f>
        <v>ինչ են խոսում չիլիացիները</v>
      </c>
      <c r="D3273" s="3" t="str">
        <f>IFERROR(__xludf.DUMMYFUNCTION("GOOGLETRANSLATE(B3273,""en"",""hy"")"),"Չիլիացիները խոսում են իսպաներեն։")</f>
        <v>Չիլիացիները խոսում են իսպաներեն։</v>
      </c>
    </row>
    <row r="3274">
      <c r="A3274" s="1" t="s">
        <v>6455</v>
      </c>
      <c r="B3274" s="2" t="s">
        <v>6456</v>
      </c>
      <c r="C3274" s="3" t="str">
        <f>IFERROR(__xludf.DUMMYFUNCTION("GOOGLETRANSLATE(A3274,""en"",""hy"")"),"որո՞նք էին Ֆրեդերիկ Դուգլասի ձեռքբերումները:")</f>
        <v>որո՞նք էին Ֆրեդերիկ Դուգլասի ձեռքբերումները:</v>
      </c>
      <c r="D3274" s="3" t="str">
        <f>IFERROR(__xludf.DUMMYFUNCTION("GOOGLETRANSLATE(B3274,""en"",""hy"")"),"Ֆրեդերիկ Դուգլասի ձեռքբերումները ներառում են ականավոր աբոլիցիոնիստ, գրող, խոսնակ և պետական ​​գործիչ լինելը: Նա նաև նշանակալից դեր է խաղացել ստրկության վերջը մղելու և բոլոր անհատների համար հավասար իրավունքների պաշտպանության համար:")</f>
        <v>Ֆրեդերիկ Դուգլասի ձեռքբերումները ներառում են ականավոր աբոլիցիոնիստ, գրող, խոսնակ և պետական ​​գործիչ լինելը: Նա նաև նշանակալից դեր է խաղացել ստրկության վերջը մղելու և բոլոր անհատների համար հավասար իրավունքների պաշտպանության համար:</v>
      </c>
    </row>
    <row r="3275">
      <c r="A3275" s="1" t="s">
        <v>6457</v>
      </c>
      <c r="B3275" s="2" t="s">
        <v>6458</v>
      </c>
      <c r="C3275" s="3" t="str">
        <f>IFERROR(__xludf.DUMMYFUNCTION("GOOGLETRANSLATE(A3275,""en"",""hy"")"),"ով է նվագում Քենեթ 30 ռոքի վրա:")</f>
        <v>ով է նվագում Քենեթ 30 ռոքի վրա:</v>
      </c>
      <c r="D3275" s="3" t="str">
        <f>IFERROR(__xludf.DUMMYFUNCTION("GOOGLETRANSLATE(B3275,""en"",""hy"")"),"Ջեք ՄակԲրայեր")</f>
        <v>Ջեք ՄակԲրայեր</v>
      </c>
    </row>
    <row r="3276">
      <c r="A3276" s="1" t="s">
        <v>6459</v>
      </c>
      <c r="B3276" s="2" t="s">
        <v>6460</v>
      </c>
      <c r="C3276" s="3" t="str">
        <f>IFERROR(__xludf.DUMMYFUNCTION("GOOGLETRANSLATE(A3276,""en"",""hy"")"),"երբ են օլիմպիական խաղերը")</f>
        <v>երբ են օլիմպիական խաղերը</v>
      </c>
      <c r="D3276" s="3" t="str">
        <f>IFERROR(__xludf.DUMMYFUNCTION("GOOGLETRANSLATE(B3276,""en"",""hy"")"),"Օլիմպիական խաղերն անցկացվում են չորս տարին մեկ անգամ։")</f>
        <v>Օլիմպիական խաղերն անցկացվում են չորս տարին մեկ անգամ։</v>
      </c>
    </row>
    <row r="3277">
      <c r="A3277" s="1" t="s">
        <v>6461</v>
      </c>
      <c r="B3277" s="2" t="s">
        <v>6462</v>
      </c>
      <c r="C3277" s="3" t="str">
        <f>IFERROR(__xludf.DUMMYFUNCTION("GOOGLETRANSLATE(A3277,""en"",""hy"")"),"ինչ է դավենպորտ Այովա փոստային կոդը:")</f>
        <v>ինչ է դավենպորտ Այովա փոստային կոդը:</v>
      </c>
      <c r="D3277" s="3" t="str">
        <f>IFERROR(__xludf.DUMMYFUNCTION("GOOGLETRANSLATE(B3277,""en"",""hy"")"),"Այովա նահանգի Դավենպորտի փոստային կոդը 52801։")</f>
        <v>Այովա նահանգի Դավենպորտի փոստային կոդը 52801։</v>
      </c>
    </row>
    <row r="3278">
      <c r="A3278" s="1" t="s">
        <v>6463</v>
      </c>
      <c r="B3278" s="2" t="s">
        <v>6464</v>
      </c>
      <c r="C3278" s="3" t="str">
        <f>IFERROR(__xludf.DUMMYFUNCTION("GOOGLETRANSLATE(A3278,""en"",""hy"")"),"որտեղ է գտնվում Ռայլի ֆերմա:")</f>
        <v>որտեղ է գտնվում Ռայլի ֆերմա:</v>
      </c>
      <c r="D3278" s="3" t="str">
        <f>IFERROR(__xludf.DUMMYFUNCTION("GOOGLETRANSLATE(B3278,""en"",""hy"")"),"Riley's Farm-ը գտնվում է Կալիֆորնիայի Օք Գլեն քաղաքում:")</f>
        <v>Riley's Farm-ը գտնվում է Կալիֆորնիայի Օք Գլեն քաղաքում:</v>
      </c>
    </row>
    <row r="3279">
      <c r="A3279" s="1" t="s">
        <v>6465</v>
      </c>
      <c r="B3279" s="2" t="s">
        <v>6466</v>
      </c>
      <c r="C3279" s="3" t="str">
        <f>IFERROR(__xludf.DUMMYFUNCTION("GOOGLETRANSLATE(A3279,""en"",""hy"")"),"ով է Նյու Յորք Նիքսի ներկայիս մարզիչը.")</f>
        <v>ով է Նյու Յորք Նիքսի ներկայիս մարզիչը.</v>
      </c>
      <c r="D3279" s="3" t="str">
        <f>IFERROR(__xludf.DUMMYFUNCTION("GOOGLETRANSLATE(B3279,""en"",""hy"")"),"«Նյու Յորք Նիքսի» ներկայիս մարզիչը Թոմ Թիբոդոն է։")</f>
        <v>«Նյու Յորք Նիքսի» ներկայիս մարզիչը Թոմ Թիբոդոն է։</v>
      </c>
    </row>
    <row r="3280">
      <c r="A3280" s="1" t="s">
        <v>6467</v>
      </c>
      <c r="B3280" s="2" t="s">
        <v>6468</v>
      </c>
      <c r="C3280" s="3" t="str">
        <f>IFERROR(__xludf.DUMMYFUNCTION("GOOGLETRANSLATE(A3280,""en"",""hy"")"),"ի՞նչ էր Ուիլյամ Շեքսպիրի երեխաների անունը։")</f>
        <v>ի՞նչ էր Ուիլյամ Շեքսպիրի երեխաների անունը։</v>
      </c>
      <c r="D3280" s="3" t="str">
        <f>IFERROR(__xludf.DUMMYFUNCTION("GOOGLETRANSLATE(B3280,""en"",""hy"")"),"Սուսաննա, Ջուդիթ և Համնեթ:")</f>
        <v>Սուսաննա, Ջուդիթ և Համնեթ:</v>
      </c>
    </row>
    <row r="3281">
      <c r="A3281" s="1" t="s">
        <v>6469</v>
      </c>
      <c r="B3281" s="2" t="s">
        <v>6470</v>
      </c>
      <c r="C3281" s="3" t="str">
        <f>IFERROR(__xludf.DUMMYFUNCTION("GOOGLETRANSLATE(A3281,""en"",""hy"")"),"ինչ կազմակերպություն է արել դոկտ. Քարթեր գ. Վուդսոնը գտել է?")</f>
        <v>ինչ կազմակերպություն է արել դոկտ. Քարթեր գ. Վուդսոնը գտել է?</v>
      </c>
      <c r="D3281" s="3" t="str">
        <f>IFERROR(__xludf.DUMMYFUNCTION("GOOGLETRANSLATE(B3281,""en"",""hy"")"),"Դոկտոր Քարթեր Գ. Վուդսոնը հիմնադրել է Աֆրոամերիկացիների կյանքի և պատմության ուսումնասիրության ասոցիացիան (ASALH):")</f>
        <v>Դոկտոր Քարթեր Գ. Վուդսոնը հիմնադրել է Աֆրոամերիկացիների կյանքի և պատմության ուսումնասիրության ասոցիացիան (ASALH):</v>
      </c>
    </row>
    <row r="3282">
      <c r="A3282" s="1" t="s">
        <v>6471</v>
      </c>
      <c r="B3282" s="2" t="s">
        <v>6472</v>
      </c>
      <c r="C3282" s="3" t="str">
        <f>IFERROR(__xludf.DUMMYFUNCTION("GOOGLETRANSLATE(A3282,""en"",""hy"")"),"ո՞ւմ է պատկանում «Սթիլերս» ֆուտբոլային թիմը:")</f>
        <v>ո՞ւմ է պատկանում «Սթիլերս» ֆուտբոլային թիմը:</v>
      </c>
      <c r="D3282" s="3" t="str">
        <f>IFERROR(__xludf.DUMMYFUNCTION("GOOGLETRANSLATE(B3282,""en"",""hy"")"),"Ռունիների ընտանիքը.")</f>
        <v>Ռունիների ընտանիքը.</v>
      </c>
    </row>
    <row r="3283">
      <c r="A3283" s="1" t="s">
        <v>6473</v>
      </c>
      <c r="B3283" s="2" t="s">
        <v>6474</v>
      </c>
      <c r="C3283" s="3" t="str">
        <f>IFERROR(__xludf.DUMMYFUNCTION("GOOGLETRANSLATE(A3283,""en"",""hy"")"),"ինչ արժույթ է ընդունում Ջամայկան:")</f>
        <v>ինչ արժույթ է ընդունում Ջամայկան:</v>
      </c>
      <c r="D3283" s="3" t="str">
        <f>IFERROR(__xludf.DUMMYFUNCTION("GOOGLETRANSLATE(B3283,""en"",""hy"")"),"Ճամայկան ընդունում է Յամայկայի դոլարը որպես արժույթ։")</f>
        <v>Ճամայկան ընդունում է Յամայկայի դոլարը որպես արժույթ։</v>
      </c>
    </row>
    <row r="3284">
      <c r="A3284" s="1" t="s">
        <v>6475</v>
      </c>
      <c r="B3284" s="2" t="s">
        <v>6476</v>
      </c>
      <c r="C3284" s="3" t="str">
        <f>IFERROR(__xludf.DUMMYFUNCTION("GOOGLETRANSLATE(A3284,""en"",""hy"")"),"ովքե՞ր են խաղացել Հովարդ Սթերն ինտիմ մասերում:")</f>
        <v>ովքե՞ր են խաղացել Հովարդ Սթերն ինտիմ մասերում:</v>
      </c>
      <c r="D3284" s="3" t="str">
        <f>IFERROR(__xludf.DUMMYFUNCTION("GOOGLETRANSLATE(B3284,""en"",""hy"")"),"Հովարդ Սթերնը իրեն խաղացել է «Մասնավոր մասեր» ֆիլմում։")</f>
        <v>Հովարդ Սթերնը իրեն խաղացել է «Մասնավոր մասեր» ֆիլմում։</v>
      </c>
    </row>
    <row r="3285">
      <c r="A3285" s="1" t="s">
        <v>6477</v>
      </c>
      <c r="B3285" s="2" t="s">
        <v>6478</v>
      </c>
      <c r="C3285" s="3" t="str">
        <f>IFERROR(__xludf.DUMMYFUNCTION("GOOGLETRANSLATE(A3285,""en"",""hy"")"),"Ե՞րբ են երկրները միացել Եվրոպական միությանը.")</f>
        <v>Ե՞րբ են երկրները միացել Եվրոպական միությանը.</v>
      </c>
      <c r="D3285" s="3" t="str">
        <f>IFERROR(__xludf.DUMMYFUNCTION("GOOGLETRANSLATE(B3285,""en"",""hy"")"),"Տարբեր երկրներ տարբեր ժամանակներում անդամակցել են Եվրամիությանը։ Առաջին վեց երկրները (Բելգիան, Գերմանիան, Ֆրանսիան, Իտալիան, Լյուքսեմբուրգը և Նիդեռլանդները) միացան 1957թ.-ին: Այդ ժամանակից ի վեր շատ այլ երկրներ միացել են ժամանակի տարբեր կետերում, օրինակ՝ "&amp;"Մեծ Բրիտանիան 1973 թվականին և Խորվաթիան 2013 թվականին:")</f>
        <v>Տարբեր երկրներ տարբեր ժամանակներում անդամակցել են Եվրամիությանը։ Առաջին վեց երկրները (Բելգիան, Գերմանիան, Ֆրանսիան, Իտալիան, Լյուքսեմբուրգը և Նիդեռլանդները) միացան 1957թ.-ին: Այդ ժամանակից ի վեր շատ այլ երկրներ միացել են ժամանակի տարբեր կետերում, օրինակ՝ Մեծ Բրիտանիան 1973 թվականին և Խորվաթիան 2013 թվականին:</v>
      </c>
    </row>
    <row r="3286">
      <c r="A3286" s="1" t="s">
        <v>6479</v>
      </c>
      <c r="B3286" s="2" t="s">
        <v>6480</v>
      </c>
      <c r="C3286" s="3" t="str">
        <f>IFERROR(__xludf.DUMMYFUNCTION("GOOGLETRANSLATE(A3286,""en"",""hy"")"),"Ի՞նչ գյուտեր է արել Լեոնարդո դա Վինչին:")</f>
        <v>Ի՞նչ գյուտեր է արել Լեոնարդո դա Վինչին:</v>
      </c>
      <c r="D3286" s="3" t="str">
        <f>IFERROR(__xludf.DUMMYFUNCTION("GOOGLETRANSLATE(B3286,""en"",""hy"")"),"Լեոնարդո դա Վինչին հորինել է տարբեր իրեր, այդ թվում՝ թռչող մեքենա, պարաշյուտ և ինքնագնաց սայլ, ի թիվս այլոց:")</f>
        <v>Լեոնարդո դա Վինչին հորինել է տարբեր իրեր, այդ թվում՝ թռչող մեքենա, պարաշյուտ և ինքնագնաց սայլ, ի թիվս այլոց:</v>
      </c>
    </row>
    <row r="3287">
      <c r="A3287" s="1" t="s">
        <v>6481</v>
      </c>
      <c r="B3287" s="2" t="s">
        <v>6482</v>
      </c>
      <c r="C3287" s="3" t="str">
        <f>IFERROR(__xludf.DUMMYFUNCTION("GOOGLETRANSLATE(A3287,""en"",""hy"")"),"Ո՞ր թիմում է խաղում Ռոնալդինյոն.")</f>
        <v>Ո՞ր թիմում է խաղում Ռոնալդինյոն.</v>
      </c>
      <c r="D3287" s="3" t="str">
        <f>IFERROR(__xludf.DUMMYFUNCTION("GOOGLETRANSLATE(B3287,""en"",""hy"")"),"Ռոնալդինյոն ավարտել է պրոֆեսիոնալ ֆուտբոլը.")</f>
        <v>Ռոնալդինյոն ավարտել է պրոֆեսիոնալ ֆուտբոլը.</v>
      </c>
    </row>
    <row r="3288">
      <c r="A3288" s="1" t="s">
        <v>6483</v>
      </c>
      <c r="B3288" s="2" t="s">
        <v>6484</v>
      </c>
      <c r="C3288" s="3" t="str">
        <f>IFERROR(__xludf.DUMMYFUNCTION("GOOGLETRANSLATE(A3288,""en"",""hy"")"),"որտեղից է Էրիկ Կանտորը")</f>
        <v>որտեղից է Էրիկ Կանտորը</v>
      </c>
      <c r="D3288" s="3" t="str">
        <f>IFERROR(__xludf.DUMMYFUNCTION("GOOGLETRANSLATE(B3288,""en"",""hy"")"),"Էրիկ Քանտորը Ռիչմոնդից է, Վիրջինիա, ԱՄՆ:")</f>
        <v>Էրիկ Քանտորը Ռիչմոնդից է, Վիրջինիա, ԱՄՆ:</v>
      </c>
    </row>
    <row r="3289">
      <c r="A3289" s="1" t="s">
        <v>6485</v>
      </c>
      <c r="B3289" s="2" t="s">
        <v>6486</v>
      </c>
      <c r="C3289" s="3" t="str">
        <f>IFERROR(__xludf.DUMMYFUNCTION("GOOGLETRANSLATE(A3289,""en"",""hy"")"),"ինչպես է կոչվում Շվեդիայի արժույթը:")</f>
        <v>ինչպես է կոչվում Շվեդիայի արժույթը:</v>
      </c>
      <c r="D3289" s="3" t="str">
        <f>IFERROR(__xludf.DUMMYFUNCTION("GOOGLETRANSLATE(B3289,""en"",""hy"")"),"Շվեդիայի արժույթը կոչվում է շվեդական կրոն։")</f>
        <v>Շվեդիայի արժույթը կոչվում է շվեդական կրոն։</v>
      </c>
    </row>
    <row r="3290">
      <c r="A3290" s="1" t="s">
        <v>6487</v>
      </c>
      <c r="B3290" s="2" t="s">
        <v>6488</v>
      </c>
      <c r="C3290" s="3" t="str">
        <f>IFERROR(__xludf.DUMMYFUNCTION("GOOGLETRANSLATE(A3290,""en"",""hy"")"),"Ո՞ր դպրոց է հաճախել Քեմ Նյուտոնը մինչև Օբերնը:")</f>
        <v>Ո՞ր դպրոց է հաճախել Քեմ Նյուտոնը մինչև Օբերնը:</v>
      </c>
      <c r="D3290" s="3" t="str">
        <f>IFERROR(__xludf.DUMMYFUNCTION("GOOGLETRANSLATE(B3290,""en"",""hy"")"),"Քեմ Նյուտոնը հաճախել է Բլինի քոլեջը, նախքան Օբերնի համալսարան տեղափոխվելը:")</f>
        <v>Քեմ Նյուտոնը հաճախել է Բլինի քոլեջը, նախքան Օբերնի համալսարան տեղափոխվելը:</v>
      </c>
    </row>
    <row r="3291">
      <c r="A3291" s="1" t="s">
        <v>6489</v>
      </c>
      <c r="B3291" s="2" t="s">
        <v>6490</v>
      </c>
      <c r="C3291" s="3" t="str">
        <f>IFERROR(__xludf.DUMMYFUNCTION("GOOGLETRANSLATE(A3291,""en"",""hy"")"),"որտեղ է մեծացել Թիմ Մակգրոն:")</f>
        <v>որտեղ է մեծացել Թիմ Մակգրոն:</v>
      </c>
      <c r="D3291" s="3" t="str">
        <f>IFERROR(__xludf.DUMMYFUNCTION("GOOGLETRANSLATE(B3291,""en"",""hy"")"),"Թիմ ՄաքԳրոուն մեծացել է Ստարտում, Լուիզիանա:")</f>
        <v>Թիմ ՄաքԳրոուն մեծացել է Ստարտում, Լուիզիանա:</v>
      </c>
    </row>
    <row r="3292">
      <c r="A3292" s="1" t="s">
        <v>6491</v>
      </c>
      <c r="B3292" s="2" t="s">
        <v>6492</v>
      </c>
      <c r="C3292" s="3" t="str">
        <f>IFERROR(__xludf.DUMMYFUNCTION("GOOGLETRANSLATE(A3292,""en"",""hy"")"),"Ե՞րբ են ny հսկաները հաղթել սուպերգավաթը:")</f>
        <v>Ե՞րբ են ny հսկաները հաղթել սուպերգավաթը:</v>
      </c>
      <c r="D3292" s="3" t="str">
        <f>IFERROR(__xludf.DUMMYFUNCTION("GOOGLETRANSLATE(B3292,""en"",""hy"")"),"NY Giants-ը հաղթել է Super Bowl-ը չորս անգամ՝ 1987, 1991, 2008 և 2012 թվականներին:")</f>
        <v>NY Giants-ը հաղթել է Super Bowl-ը չորս անգամ՝ 1987, 1991, 2008 և 2012 թվականներին:</v>
      </c>
    </row>
    <row r="3293">
      <c r="A3293" s="1" t="s">
        <v>6493</v>
      </c>
      <c r="B3293" s="2" t="s">
        <v>6494</v>
      </c>
      <c r="C3293" s="3" t="str">
        <f>IFERROR(__xludf.DUMMYFUNCTION("GOOGLETRANSLATE(A3293,""en"",""hy"")"),"Ե՞րբ է Քերին առաջադրվել նախագահի պաշտոնում:")</f>
        <v>Ե՞րբ է Քերին առաջադրվել նախագահի պաշտոնում:</v>
      </c>
      <c r="D3293" s="3" t="str">
        <f>IFERROR(__xludf.DUMMYFUNCTION("GOOGLETRANSLATE(B3293,""en"",""hy"")"),"Քերին առաջադրվել է նախագահի պաշտոնում 2004 թվականին։")</f>
        <v>Քերին առաջադրվել է նախագահի պաշտոնում 2004 թվականին։</v>
      </c>
    </row>
    <row r="3294">
      <c r="A3294" s="1" t="s">
        <v>6495</v>
      </c>
      <c r="B3294" s="2" t="s">
        <v>6496</v>
      </c>
      <c r="C3294" s="3" t="str">
        <f>IFERROR(__xludf.DUMMYFUNCTION("GOOGLETRANSLATE(A3294,""en"",""hy"")"),"ինչ է Շվեդիայի արժույթը")</f>
        <v>ինչ է Շվեդիայի արժույթը</v>
      </c>
      <c r="D3294" s="3" t="str">
        <f>IFERROR(__xludf.DUMMYFUNCTION("GOOGLETRANSLATE(B3294,""en"",""hy"")"),"Շվեդիայի արժույթը շվեդական կրոնն է (SEK):")</f>
        <v>Շվեդիայի արժույթը շվեդական կրոնն է (SEK):</v>
      </c>
    </row>
    <row r="3295">
      <c r="A3295" s="1" t="s">
        <v>6497</v>
      </c>
      <c r="B3295" s="2" t="s">
        <v>6498</v>
      </c>
      <c r="C3295" s="3" t="str">
        <f>IFERROR(__xludf.DUMMYFUNCTION("GOOGLETRANSLATE(A3295,""en"",""hy"")"),"ի՞նչ արժույթ է օգտագործում Հունաստանը")</f>
        <v>ի՞նչ արժույթ է օգտագործում Հունաստանը</v>
      </c>
      <c r="D3295" s="3" t="str">
        <f>IFERROR(__xludf.DUMMYFUNCTION("GOOGLETRANSLATE(B3295,""en"",""hy"")"),"Հունաստանն օգտագործում է եվրոն.")</f>
        <v>Հունաստանն օգտագործում է եվրոն.</v>
      </c>
    </row>
    <row r="3296">
      <c r="A3296" s="1" t="s">
        <v>6499</v>
      </c>
      <c r="B3296" s="2" t="s">
        <v>6500</v>
      </c>
      <c r="C3296" s="3" t="str">
        <f>IFERROR(__xludf.DUMMYFUNCTION("GOOGLETRANSLATE(A3296,""en"",""hy"")"),"Ո՞վ է խաղում Սոնի Բիլ Ուիլյամսը 2012 թ.")</f>
        <v>Ո՞վ է խաղում Սոնի Բիլ Ուիլյամսը 2012 թ.</v>
      </c>
      <c r="D3296" s="3" t="str">
        <f>IFERROR(__xludf.DUMMYFUNCTION("GOOGLETRANSLATE(B3296,""en"",""hy"")"),"Սոնի Բիլ Ուիլյամսը 2012 թվականին խաղացել է «Սիդնեյի Ռոստերսի» կազմում։")</f>
        <v>Սոնի Բիլ Ուիլյամսը 2012 թվականին խաղացել է «Սիդնեյի Ռոստերսի» կազմում։</v>
      </c>
    </row>
    <row r="3297">
      <c r="A3297" s="1" t="s">
        <v>6501</v>
      </c>
      <c r="B3297" s="2" t="s">
        <v>6502</v>
      </c>
      <c r="C3297" s="3" t="str">
        <f>IFERROR(__xludf.DUMMYFUNCTION("GOOGLETRANSLATE(A3297,""en"",""hy"")"),"ովքեր են Յուտա նահանգի սենատորները")</f>
        <v>ովքեր են Յուտա նահանգի սենատորները</v>
      </c>
      <c r="D3297" s="3" t="str">
        <f>IFERROR(__xludf.DUMMYFUNCTION("GOOGLETRANSLATE(B3297,""en"",""hy"")"),"Յուտա նահանգի ներկայիս սենատորներն են Մայք Լին և Միթ Ռոմնին:")</f>
        <v>Յուտա նահանգի ներկայիս սենատորներն են Մայք Լին և Միթ Ռոմնին:</v>
      </c>
    </row>
    <row r="3298">
      <c r="A3298" s="1" t="s">
        <v>6503</v>
      </c>
      <c r="B3298" s="2" t="s">
        <v>6504</v>
      </c>
      <c r="C3298" s="3" t="str">
        <f>IFERROR(__xludf.DUMMYFUNCTION("GOOGLETRANSLATE(A3298,""en"",""hy"")"),"ո՞րն է georgetown ga-ի փոստային կոդը:")</f>
        <v>ո՞րն է georgetown ga-ի փոստային կոդը:</v>
      </c>
      <c r="D3298" s="3" t="str">
        <f>IFERROR(__xludf.DUMMYFUNCTION("GOOGLETRANSLATE(B3298,""en"",""hy"")"),"Ջորջթաուն, GA-ի փոստային կոդը 39854։")</f>
        <v>Ջորջթաուն, GA-ի փոստային կոդը 39854։</v>
      </c>
    </row>
    <row r="3299">
      <c r="A3299" s="1" t="s">
        <v>6505</v>
      </c>
      <c r="B3299" s="2" t="s">
        <v>6506</v>
      </c>
      <c r="C3299" s="3" t="str">
        <f>IFERROR(__xludf.DUMMYFUNCTION("GOOGLETRANSLATE(A3299,""en"",""hy"")"),"ո՞ւմ համար է խաղացել Մայքլ Վիկը 2008 թվականին:")</f>
        <v>ո՞ւմ համար է խաղացել Մայքլ Վիկը 2008 թվականին:</v>
      </c>
      <c r="D3299" s="3" t="str">
        <f>IFERROR(__xludf.DUMMYFUNCTION("GOOGLETRANSLATE(B3299,""en"",""hy"")"),"Մայքլ Վիկը 2008 թվականին խաղացել է Ֆիլադելֆիա Իգլսում։")</f>
        <v>Մայքլ Վիկը 2008 թվականին խաղացել է Ֆիլադելֆիա Իգլսում։</v>
      </c>
    </row>
    <row r="3300">
      <c r="A3300" s="1" t="s">
        <v>6507</v>
      </c>
      <c r="B3300" s="2" t="s">
        <v>6508</v>
      </c>
      <c r="C3300" s="3" t="str">
        <f>IFERROR(__xludf.DUMMYFUNCTION("GOOGLETRANSLATE(A3300,""en"",""hy"")"),"Ե՞րբ է տեղի ունեցել շնաձկան վերջին հարձակումը Մաուիում:")</f>
        <v>Ե՞րբ է տեղի ունեցել շնաձկան վերջին հարձակումը Մաուիում:</v>
      </c>
      <c r="D3300" s="3" t="str">
        <f>IFERROR(__xludf.DUMMYFUNCTION("GOOGLETRANSLATE(B3300,""en"",""hy"")"),"Շնաձկների վերջին հարձակումը Մաուիում տեղի է ունեցել 2021 թվականի ապրիլի 9-ին։")</f>
        <v>Շնաձկների վերջին հարձակումը Մաուիում տեղի է ունեցել 2021 թվականի ապրիլի 9-ին։</v>
      </c>
    </row>
    <row r="3301">
      <c r="A3301" s="1" t="s">
        <v>6509</v>
      </c>
      <c r="B3301" s="2" t="s">
        <v>6510</v>
      </c>
      <c r="C3301" s="3" t="str">
        <f>IFERROR(__xludf.DUMMYFUNCTION("GOOGLETRANSLATE(A3301,""en"",""hy"")"),"ինչպիսի՞ կառավարություն ուներ Եգիպտոսը.")</f>
        <v>ինչպիսի՞ կառավարություն ուներ Եգիպտոսը.</v>
      </c>
      <c r="D3301" s="3" t="str">
        <f>IFERROR(__xludf.DUMMYFUNCTION("GOOGLETRANSLATE(B3301,""en"",""hy"")"),"Եգիպտոսում գործում է նախագահական կառավարման համակարգ։")</f>
        <v>Եգիպտոսում գործում է նախագահական կառավարման համակարգ։</v>
      </c>
    </row>
    <row r="3302">
      <c r="A3302" s="1" t="s">
        <v>6511</v>
      </c>
      <c r="B3302" s="2" t="s">
        <v>6512</v>
      </c>
      <c r="C3302" s="3" t="str">
        <f>IFERROR(__xludf.DUMMYFUNCTION("GOOGLETRANSLATE(A3302,""en"",""hy"")"),"որտեղի՞ց է Ռիհաննան էթնիկապես")</f>
        <v>որտեղի՞ց է Ռիհաննան էթնիկապես</v>
      </c>
      <c r="D3302" s="3" t="str">
        <f>IFERROR(__xludf.DUMMYFUNCTION("GOOGLETRANSLATE(B3302,""en"",""hy"")"),"Ռիհաննան էթնիկապես Բարբադոսից է:")</f>
        <v>Ռիհաննան էթնիկապես Բարբադոսից է:</v>
      </c>
    </row>
    <row r="3303">
      <c r="A3303" s="1" t="s">
        <v>6513</v>
      </c>
      <c r="B3303" s="2" t="s">
        <v>6514</v>
      </c>
      <c r="C3303" s="3" t="str">
        <f>IFERROR(__xludf.DUMMYFUNCTION("GOOGLETRANSLATE(A3303,""en"",""hy"")"),"որտեղ էր գտնվում ասորական քաղաքակրթությունը.")</f>
        <v>որտեղ էր գտնվում ասորական քաղաքակրթությունը.</v>
      </c>
      <c r="D3303" s="3" t="str">
        <f>IFERROR(__xludf.DUMMYFUNCTION("GOOGLETRANSLATE(B3303,""en"",""hy"")"),"Ասորական քաղաքակրթությունը գտնվում էր Հին Միջագետքում՝ ներկայիս Իրաքում, Սիրիայում և Թուրքիայում։")</f>
        <v>Ասորական քաղաքակրթությունը գտնվում էր Հին Միջագետքում՝ ներկայիս Իրաքում, Սիրիայում և Թուրքիայում։</v>
      </c>
    </row>
    <row r="3304">
      <c r="A3304" s="1" t="s">
        <v>6515</v>
      </c>
      <c r="B3304" s="2" t="s">
        <v>6516</v>
      </c>
      <c r="C3304" s="3" t="str">
        <f>IFERROR(__xludf.DUMMYFUNCTION("GOOGLETRANSLATE(A3304,""en"",""hy"")"),"ինչի՞ց է մահացել բարոն դե Մոնտեսքյոն.")</f>
        <v>ինչի՞ց է մահացել բարոն դե Մոնտեսքյոն.</v>
      </c>
      <c r="D3304" s="3" t="str">
        <f>IFERROR(__xludf.DUMMYFUNCTION("GOOGLETRANSLATE(B3304,""en"",""hy"")"),"Բարոն դե Մոնտեսքյոն մահացել է տենդից։")</f>
        <v>Բարոն դե Մոնտեսքյոն մահացել է տենդից։</v>
      </c>
    </row>
    <row r="3305">
      <c r="A3305" s="1" t="s">
        <v>6517</v>
      </c>
      <c r="B3305" s="2" t="s">
        <v>6518</v>
      </c>
      <c r="C3305" s="3" t="str">
        <f>IFERROR(__xludf.DUMMYFUNCTION("GOOGLETRANSLATE(A3305,""en"",""hy"")"),"ովքեր են Իլինոյսի ներկայիս սենատորները:")</f>
        <v>ովքեր են Իլինոյսի ներկայիս սենատորները:</v>
      </c>
      <c r="D3305" s="3" t="str">
        <f>IFERROR(__xludf.DUMMYFUNCTION("GOOGLETRANSLATE(B3305,""en"",""hy"")"),"Դիկ Դուրբին և Թեմմի Դաքվորթ.")</f>
        <v>Դիկ Դուրբին և Թեմմի Դաքվորթ.</v>
      </c>
    </row>
    <row r="3306">
      <c r="A3306" s="1" t="s">
        <v>6519</v>
      </c>
      <c r="B3306" s="2" t="s">
        <v>6520</v>
      </c>
      <c r="C3306" s="3" t="str">
        <f>IFERROR(__xludf.DUMMYFUNCTION("GOOGLETRANSLATE(A3306,""en"",""hy"")"),"ինչ անել Նեշվիլում")</f>
        <v>ինչ անել Նեշվիլում</v>
      </c>
      <c r="D3306" s="3" t="str">
        <f>IFERROR(__xludf.DUMMYFUNCTION("GOOGLETRANSLATE(B3306,""en"",""hy"")"),"Նեշվիլում կարող եք այցելել հայտնի տեսարժան վայրեր, ինչպիսիք են Country Music Hall of Fame-ը, ուսումնասիրել Բրոդվեյի աշխույժ երաժշտական ​​տեսարանը և վայելել համեղ հարավային խոհանոց:")</f>
        <v>Նեշվիլում կարող եք այցելել հայտնի տեսարժան վայրեր, ինչպիսիք են Country Music Hall of Fame-ը, ուսումնասիրել Բրոդվեյի աշխույժ երաժշտական ​​տեսարանը և վայելել համեղ հարավային խոհանոց:</v>
      </c>
    </row>
    <row r="3307">
      <c r="A3307" s="1" t="s">
        <v>6521</v>
      </c>
      <c r="B3307" s="2" t="s">
        <v>6522</v>
      </c>
      <c r="C3307" s="3" t="str">
        <f>IFERROR(__xludf.DUMMYFUNCTION("GOOGLETRANSLATE(A3307,""en"",""hy"")"),"ի՞նչ գյուտեր է արել Ռոբերտ Հուկը:")</f>
        <v>ի՞նչ գյուտեր է արել Ռոբերտ Հուկը:</v>
      </c>
      <c r="D3307" s="3" t="str">
        <f>IFERROR(__xludf.DUMMYFUNCTION("GOOGLETRANSLATE(B3307,""en"",""hy"")"),"Ռ.")</f>
        <v>Ռ.</v>
      </c>
    </row>
    <row r="3308">
      <c r="A3308" s="1" t="s">
        <v>6523</v>
      </c>
      <c r="B3308" s="2" t="s">
        <v>6524</v>
      </c>
      <c r="C3308" s="3" t="str">
        <f>IFERROR(__xludf.DUMMYFUNCTION("GOOGLETRANSLATE(A3308,""en"",""hy"")"),"ով է խաղում Պատրիկ Ջեյնի կնոջը:")</f>
        <v>ով է խաղում Պատրիկ Ջեյնի կնոջը:</v>
      </c>
      <c r="D3308" s="3" t="str">
        <f>IFERROR(__xludf.DUMMYFUNCTION("GOOGLETRANSLATE(B3308,""en"",""hy"")"),"Ռոբին Թուննի")</f>
        <v>Ռոբին Թուննի</v>
      </c>
    </row>
    <row r="3309">
      <c r="A3309" s="1" t="s">
        <v>6525</v>
      </c>
      <c r="B3309" s="2" t="s">
        <v>6526</v>
      </c>
      <c r="C3309" s="3" t="str">
        <f>IFERROR(__xludf.DUMMYFUNCTION("GOOGLETRANSLATE(A3309,""en"",""hy"")"),"Ո՞ր թիմում է խաղում դերիկ Ռոուզը:")</f>
        <v>Ո՞ր թիմում է խաղում դերիկ Ռոուզը:</v>
      </c>
      <c r="D3309" s="3" t="str">
        <f>IFERROR(__xludf.DUMMYFUNCTION("GOOGLETRANSLATE(B3309,""en"",""hy"")"),"Դերիկ Ռոուզը ներկայումս խաղում է «Նյու Յորք Նիքսում»:")</f>
        <v>Դերիկ Ռոուզը ներկայումս խաղում է «Նյու Յորք Նիքսում»:</v>
      </c>
    </row>
    <row r="3310">
      <c r="A3310" s="1" t="s">
        <v>6527</v>
      </c>
      <c r="B3310" s="2" t="s">
        <v>6528</v>
      </c>
      <c r="C3310" s="3" t="str">
        <f>IFERROR(__xludf.DUMMYFUNCTION("GOOGLETRANSLATE(A3310,""en"",""hy"")"),"Ո՞ր երկրներ է արտահանում Նոր Զելանդիան:")</f>
        <v>Ո՞ր երկրներ է արտահանում Նոր Զելանդիան:</v>
      </c>
      <c r="D3310" s="3" t="str">
        <f>IFERROR(__xludf.DUMMYFUNCTION("GOOGLETRANSLATE(B3310,""en"",""hy"")"),"Նոր Զելանդիան արտահանում է մի շարք երկրներ, ներառյալ Ավստրալիա, Չինաստան, Միացյալ Նահանգներ, Ճապոնիա և Միացյալ Թագավորություն, ի թիվս այլոց:")</f>
        <v>Նոր Զելանդիան արտահանում է մի շարք երկրներ, ներառյալ Ավստրալիա, Չինաստան, Միացյալ Նահանգներ, Ճապոնիա և Միացյալ Թագավորություն, ի թիվս այլոց:</v>
      </c>
    </row>
    <row r="3311">
      <c r="A3311" s="1" t="s">
        <v>6529</v>
      </c>
      <c r="B3311" s="2" t="s">
        <v>6530</v>
      </c>
      <c r="C3311" s="3" t="str">
        <f>IFERROR(__xludf.DUMMYFUNCTION("GOOGLETRANSLATE(A3311,""en"",""hy"")"),"ինչպիսի՞ իշխանություն ունի նախկին Խորհրդային Միությունը։")</f>
        <v>ինչպիսի՞ իշխանություն ունի նախկին Խորհրդային Միությունը։</v>
      </c>
      <c r="D3311" s="3" t="str">
        <f>IFERROR(__xludf.DUMMYFUNCTION("GOOGLETRANSLATE(B3311,""en"",""hy"")"),"Նախկին Խորհրդային Միությունն ուներ սոցիալիստական ​​կառավարություն։")</f>
        <v>Նախկին Խորհրդային Միությունն ուներ սոցիալիստական ​​կառավարություն։</v>
      </c>
    </row>
    <row r="3312">
      <c r="A3312" s="1" t="s">
        <v>6531</v>
      </c>
      <c r="B3312" s="2" t="s">
        <v>2024</v>
      </c>
      <c r="C3312" s="3" t="str">
        <f>IFERROR(__xludf.DUMMYFUNCTION("GOOGLETRANSLATE(A3312,""en"",""hy"")"),"ի՞նչ հիվանդությունից է մահացել Հյուլ Հաուսերը:")</f>
        <v>ի՞նչ հիվանդությունից է մահացել Հյուլ Հաուսերը:</v>
      </c>
      <c r="D3312" s="3" t="str">
        <f>IFERROR(__xludf.DUMMYFUNCTION("GOOGLETRANSLATE(B3312,""en"",""hy"")"),"Հյուել Հաուսերը մահացել է շագանակագեղձի քաղցկեղից։")</f>
        <v>Հյուել Հաուսերը մահացել է շագանակագեղձի քաղցկեղից։</v>
      </c>
    </row>
    <row r="3313">
      <c r="A3313" s="1" t="s">
        <v>6532</v>
      </c>
      <c r="B3313" s="2" t="s">
        <v>6533</v>
      </c>
      <c r="C3313" s="3" t="str">
        <f>IFERROR(__xludf.DUMMYFUNCTION("GOOGLETRANSLATE(A3313,""en"",""hy"")"),"ինչ մեքենաների մոդելներ է արտադրում gm-ը:")</f>
        <v>ինչ մեքենաների մոդելներ է արտադրում gm-ը:</v>
      </c>
      <c r="D3313" s="3" t="str">
        <f>IFERROR(__xludf.DUMMYFUNCTION("GOOGLETRANSLATE(B3313,""en"",""hy"")"),"GM-ն արտադրում է ավտոմեքենաների մի շարք մոդելներ, այդ թվում՝ Chevrolet, Buick, GMC և Cadillac:")</f>
        <v>GM-ն արտադրում է ավտոմեքենաների մի շարք մոդելներ, այդ թվում՝ Chevrolet, Buick, GMC և Cadillac:</v>
      </c>
    </row>
    <row r="3314">
      <c r="A3314" s="1" t="s">
        <v>6534</v>
      </c>
      <c r="B3314" s="2" t="s">
        <v>6535</v>
      </c>
      <c r="C3314" s="3" t="str">
        <f>IFERROR(__xludf.DUMMYFUNCTION("GOOGLETRANSLATE(A3314,""en"",""hy"")"),"Զելդա խաղի ո՞ր լեգենդն է առաջինը:")</f>
        <v>Զելդա խաղի ո՞ր լեգենդն է առաջինը:</v>
      </c>
      <c r="D3314" s="3" t="str">
        <f>IFERROR(__xludf.DUMMYFUNCTION("GOOGLETRANSLATE(B3314,""en"",""hy"")"),"Առաջին Legend of Zelda խաղը կոչվում է «The Legend of Zelda» Nintendo Entertainment System-ի համար (NES):")</f>
        <v>Առաջին Legend of Zelda խաղը կոչվում է «The Legend of Zelda» Nintendo Entertainment System-ի համար (NES):</v>
      </c>
    </row>
    <row r="3315">
      <c r="A3315" s="1" t="s">
        <v>6536</v>
      </c>
      <c r="B3315" s="2" t="s">
        <v>6537</v>
      </c>
      <c r="C3315" s="3" t="str">
        <f>IFERROR(__xludf.DUMMYFUNCTION("GOOGLETRANSLATE(A3315,""en"",""hy"")"),"ինչ ազգություն է Զակ դե լա Ռոշան:")</f>
        <v>ինչ ազգություն է Զակ դե լա Ռոշան:</v>
      </c>
      <c r="D3315" s="3" t="str">
        <f>IFERROR(__xludf.DUMMYFUNCTION("GOOGLETRANSLATE(B3315,""en"",""hy"")"),"Զակ դե լա Ռոշան ամերիկացի է։")</f>
        <v>Զակ դե լա Ռոշան ամերիկացի է։</v>
      </c>
    </row>
    <row r="3316">
      <c r="A3316" s="1" t="s">
        <v>6538</v>
      </c>
      <c r="B3316" s="2" t="s">
        <v>6539</v>
      </c>
      <c r="C3316" s="3" t="str">
        <f>IFERROR(__xludf.DUMMYFUNCTION("GOOGLETRANSLATE(A3316,""en"",""hy"")"),"ինչի՞ց է մահացել Մոցարտը.")</f>
        <v>ինչի՞ց է մահացել Մոցարտը.</v>
      </c>
      <c r="D3316" s="3" t="str">
        <f>IFERROR(__xludf.DUMMYFUNCTION("GOOGLETRANSLATE(B3316,""en"",""hy"")"),"Մոցարտը մահացավ ծանր հիվանդությունից, հնարավոր է ռևմատիկ տենդից կամ երիկամների անբավարարությունից:")</f>
        <v>Մոցարտը մահացավ ծանր հիվանդությունից, հնարավոր է ռևմատիկ տենդից կամ երիկամների անբավարարությունից:</v>
      </c>
    </row>
    <row r="3317">
      <c r="A3317" s="1" t="s">
        <v>6540</v>
      </c>
      <c r="B3317" s="2" t="s">
        <v>6541</v>
      </c>
      <c r="C3317" s="3" t="str">
        <f>IFERROR(__xludf.DUMMYFUNCTION("GOOGLETRANSLATE(A3317,""en"",""hy"")"),"քանի՞ տարի են պողպատեները հաղթել սուպերգավաթը:")</f>
        <v>քանի՞ տարի են պողպատեները հաղթել սուպերգավաթը:</v>
      </c>
      <c r="D3317" s="3" t="str">
        <f>IFERROR(__xludf.DUMMYFUNCTION("GOOGLETRANSLATE(B3317,""en"",""hy"")"),"Պիտսբուրգ Սթիլերսը հաղթել է Super Bowl-ը հետևյալ տարիներին՝ 1974, 1975, 1978, 1979, 2005 և 2008 թվականներին:")</f>
        <v>Պիտսբուրգ Սթիլերսը հաղթել է Super Bowl-ը հետևյալ տարիներին՝ 1974, 1975, 1978, 1979, 2005 և 2008 թվականներին:</v>
      </c>
    </row>
    <row r="3318">
      <c r="A3318" s="1" t="s">
        <v>6542</v>
      </c>
      <c r="B3318" s="2" t="s">
        <v>6543</v>
      </c>
      <c r="C3318" s="3" t="str">
        <f>IFERROR(__xludf.DUMMYFUNCTION("GOOGLETRANSLATE(A3318,""en"",""hy"")"),"ինչի՞ց է մահացել դոկ Հոլիդեյը")</f>
        <v>ինչի՞ց է մահացել դոկ Հոլիդեյը</v>
      </c>
      <c r="D3318" s="3" t="str">
        <f>IFERROR(__xludf.DUMMYFUNCTION("GOOGLETRANSLATE(B3318,""en"",""hy"")"),"Դոկ Հոլիդեյը մահացել է տուբերկուլյոզից։")</f>
        <v>Դոկ Հոլիդեյը մահացել է տուբերկուլյոզից։</v>
      </c>
    </row>
    <row r="3319">
      <c r="A3319" s="1" t="s">
        <v>6544</v>
      </c>
      <c r="B3319" s="2" t="s">
        <v>6545</v>
      </c>
      <c r="C3319" s="3" t="str">
        <f>IFERROR(__xludf.DUMMYFUNCTION("GOOGLETRANSLATE(A3319,""en"",""hy"")"),"ինչ երկրներ է պատկանում Բրիտանիան")</f>
        <v>ինչ երկրներ է պատկանում Բրիտանիան</v>
      </c>
      <c r="D3319" s="3" t="str">
        <f>IFERROR(__xludf.DUMMYFUNCTION("GOOGLETRANSLATE(B3319,""en"",""hy"")"),"Բրիտանիան ոչ մի երկրի սեփականատեր չէ. Այնուամենայնիվ, այն ունի 14 անդրծովյան տարածքներ ամբողջ աշխարհում:")</f>
        <v>Բրիտանիան ոչ մի երկրի սեփականատեր չէ. Այնուամենայնիվ, այն ունի 14 անդրծովյան տարածքներ ամբողջ աշխարհում:</v>
      </c>
    </row>
    <row r="3320">
      <c r="A3320" s="1" t="s">
        <v>6546</v>
      </c>
      <c r="B3320" s="2" t="s">
        <v>6547</v>
      </c>
      <c r="C3320" s="3" t="str">
        <f>IFERROR(__xludf.DUMMYFUNCTION("GOOGLETRANSLATE(A3320,""en"",""hy"")"),"ինչ կառավարություն ունի Ֆրանսիան")</f>
        <v>ինչ կառավարություն ունի Ֆրանսիան</v>
      </c>
      <c r="D3320" s="3" t="str">
        <f>IFERROR(__xludf.DUMMYFUNCTION("GOOGLETRANSLATE(B3320,""en"",""hy"")"),"Ֆրանսիան ունի կիսանախագահական հանրապետություն։")</f>
        <v>Ֆրանսիան ունի կիսանախագահական հանրապետություն։</v>
      </c>
    </row>
    <row r="3321">
      <c r="A3321" s="1" t="s">
        <v>6548</v>
      </c>
      <c r="B3321" s="2" t="s">
        <v>1117</v>
      </c>
      <c r="C3321" s="3" t="str">
        <f>IFERROR(__xludf.DUMMYFUNCTION("GOOGLETRANSLATE(A3321,""en"",""hy"")"),"Ո՞վ է խաղացել Դորոթիի դերը Օզ-ի հրաշագործ ֆիլմում:")</f>
        <v>Ո՞վ է խաղացել Դորոթիի դերը Օզ-ի հրաշագործ ֆիլմում:</v>
      </c>
      <c r="D3321" s="3" t="str">
        <f>IFERROR(__xludf.DUMMYFUNCTION("GOOGLETRANSLATE(B3321,""en"",""hy"")"),"Ջուդի Գարլենդ.")</f>
        <v>Ջուդի Գարլենդ.</v>
      </c>
    </row>
    <row r="3322">
      <c r="A3322" s="1" t="s">
        <v>6549</v>
      </c>
      <c r="B3322" s="2" t="s">
        <v>6550</v>
      </c>
      <c r="C3322" s="3" t="str">
        <f>IFERROR(__xludf.DUMMYFUNCTION("GOOGLETRANSLATE(A3322,""en"",""hy"")"),"ով էր kfc-ի սեփականատերը")</f>
        <v>ով էր kfc-ի սեփականատերը</v>
      </c>
      <c r="D3322" s="3" t="str">
        <f>IFERROR(__xludf.DUMMYFUNCTION("GOOGLETRANSLATE(B3322,""en"",""hy"")"),"Գնդապետ Հարլանդ Սանդերս.")</f>
        <v>Գնդապետ Հարլանդ Սանդերս.</v>
      </c>
    </row>
    <row r="3323">
      <c r="A3323" s="1" t="s">
        <v>6551</v>
      </c>
      <c r="B3323" s="2" t="s">
        <v>6552</v>
      </c>
      <c r="C3323" s="3" t="str">
        <f>IFERROR(__xludf.DUMMYFUNCTION("GOOGLETRANSLATE(A3323,""en"",""hy"")"),"որտեղ է մահացել Ռոբին Գիբը")</f>
        <v>որտեղ է մահացել Ռոբին Գիբը</v>
      </c>
      <c r="D3323" s="3" t="str">
        <f>IFERROR(__xludf.DUMMYFUNCTION("GOOGLETRANSLATE(B3323,""en"",""hy"")"),"Ռոբին Գիբը մահացել է Լոնդոնում, Անգլիա։")</f>
        <v>Ռոբին Գիբը մահացել է Լոնդոնում, Անգլիա։</v>
      </c>
    </row>
    <row r="3324">
      <c r="A3324" s="1" t="s">
        <v>6553</v>
      </c>
      <c r="B3324" s="2" t="s">
        <v>6554</v>
      </c>
      <c r="C3324" s="3" t="str">
        <f>IFERROR(__xludf.DUMMYFUNCTION("GOOGLETRANSLATE(A3324,""en"",""hy"")"),"ո՞ր երկրներն են գտնվում Միջերկրական ծովում:")</f>
        <v>ո՞ր երկրներն են գտնվում Միջերկրական ծովում:</v>
      </c>
      <c r="D3324" s="3" t="str">
        <f>IFERROR(__xludf.DUMMYFUNCTION("GOOGLETRANSLATE(B3324,""en"",""hy"")"),"Միջերկրական ծովի երկրներն են՝ Իսպանիան, Ֆրանսիան, Մոնակոն, Իտալիան, Մալթան, Սլովենիան, Խորվաթիան, Բոսնիա և Հերցեգովինան, Չեռնոգորիան, Ալբանիան, Հունաստանը, Կիպրոսը, Թուրքիան, Սիրիան, Լիբանանը, Իսրայելը և Եգիպտոսը:")</f>
        <v>Միջերկրական ծովի երկրներն են՝ Իսպանիան, Ֆրանսիան, Մոնակոն, Իտալիան, Մալթան, Սլովենիան, Խորվաթիան, Բոսնիա և Հերցեգովինան, Չեռնոգորիան, Ալբանիան, Հունաստանը, Կիպրոսը, Թուրքիան, Սիրիան, Լիբանանը, Իսրայելը և Եգիպտոսը:</v>
      </c>
    </row>
    <row r="3325">
      <c r="A3325" s="1" t="s">
        <v>6555</v>
      </c>
      <c r="B3325" s="2" t="s">
        <v>6556</v>
      </c>
      <c r="C3325" s="3" t="str">
        <f>IFERROR(__xludf.DUMMYFUNCTION("GOOGLETRANSLATE(A3325,""en"",""hy"")"),"ի՞նչ լեզուներով են խոսում Ռուսաստանում:")</f>
        <v>ի՞նչ լեզուներով են խոսում Ռուսաստանում:</v>
      </c>
      <c r="D3325" s="3" t="str">
        <f>IFERROR(__xludf.DUMMYFUNCTION("GOOGLETRANSLATE(B3325,""en"",""hy"")"),"Ռուսաստանի պաշտոնական լեզուն ռուսերենն է։")</f>
        <v>Ռուսաստանի պաշտոնական լեզուն ռուսերենն է։</v>
      </c>
    </row>
    <row r="3326">
      <c r="A3326" s="1" t="s">
        <v>6557</v>
      </c>
      <c r="B3326" s="2" t="s">
        <v>6558</v>
      </c>
      <c r="C3326" s="3" t="str">
        <f>IFERROR(__xludf.DUMMYFUNCTION("GOOGLETRANSLATE(A3326,""en"",""hy"")"),"ով է խաղում Ջիմ Հալպերտ")</f>
        <v>ով է խաղում Ջիմ Հալպերտ</v>
      </c>
      <c r="D3326" s="3" t="str">
        <f>IFERROR(__xludf.DUMMYFUNCTION("GOOGLETRANSLATE(B3326,""en"",""hy"")"),"Ջոն Կրասինսկի.")</f>
        <v>Ջոն Կրասինսկի.</v>
      </c>
    </row>
    <row r="3327">
      <c r="A3327" s="1" t="s">
        <v>6559</v>
      </c>
      <c r="B3327" s="2" t="s">
        <v>6560</v>
      </c>
      <c r="C3327" s="3" t="str">
        <f>IFERROR(__xludf.DUMMYFUNCTION("GOOGLETRANSLATE(A3327,""en"",""hy"")"),"ե՞րբ են հիմնադրվել ֆիլիները:")</f>
        <v>ե՞րբ են հիմնադրվել ֆիլիները:</v>
      </c>
      <c r="D3327" s="3" t="str">
        <f>IFERROR(__xludf.DUMMYFUNCTION("GOOGLETRANSLATE(B3327,""en"",""hy"")"),"Phillies-ը հիմնադրվել է 1883 թվականին։")</f>
        <v>Phillies-ը հիմնադրվել է 1883 թվականին։</v>
      </c>
    </row>
    <row r="3328">
      <c r="A3328" s="1" t="s">
        <v>6561</v>
      </c>
      <c r="B3328" s="2" t="s">
        <v>6562</v>
      </c>
      <c r="C3328" s="3" t="str">
        <f>IFERROR(__xludf.DUMMYFUNCTION("GOOGLETRANSLATE(A3328,""en"",""hy"")"),"ովքե՞ր են Ջոն Քաբոտի ծնողները")</f>
        <v>ովքե՞ր են Ջոն Քաբոտի ծնողները</v>
      </c>
      <c r="D3328" s="3" t="str">
        <f>IFERROR(__xludf.DUMMYFUNCTION("GOOGLETRANSLATE(B3328,""en"",""hy"")"),"Ջոն Քաբոտի ծնողներն էին Ջուլիո Կաբոտոն և Մատեա Կաբոտոն։")</f>
        <v>Ջոն Քաբոտի ծնողներն էին Ջուլիո Կաբոտոն և Մատեա Կաբոտոն։</v>
      </c>
    </row>
    <row r="3329">
      <c r="A3329" s="1" t="s">
        <v>6563</v>
      </c>
      <c r="B3329" s="2" t="s">
        <v>6564</v>
      </c>
      <c r="C3329" s="3" t="str">
        <f>IFERROR(__xludf.DUMMYFUNCTION("GOOGLETRANSLATE(A3329,""en"",""hy"")"),"ո՞րն է ԱՄՆ-ի Մոնտանայի մայրաքաղաքը:")</f>
        <v>ո՞րն է ԱՄՆ-ի Մոնտանայի մայրաքաղաքը:</v>
      </c>
      <c r="D3329" s="3" t="str">
        <f>IFERROR(__xludf.DUMMYFUNCTION("GOOGLETRANSLATE(B3329,""en"",""hy"")"),"ԱՄՆ-ի Մոնտանայի մայրաքաղաքը Հելենան է։")</f>
        <v>ԱՄՆ-ի Մոնտանայի մայրաքաղաքը Հելենան է։</v>
      </c>
    </row>
    <row r="3330">
      <c r="A3330" s="1" t="s">
        <v>6565</v>
      </c>
      <c r="B3330" s="2" t="s">
        <v>6566</v>
      </c>
      <c r="C3330" s="3" t="str">
        <f>IFERROR(__xludf.DUMMYFUNCTION("GOOGLETRANSLATE(A3330,""en"",""hy"")"),"ո՞վ է հաջորդել Ուիլյամ Մքքինլիին որպես նախագահ:")</f>
        <v>ո՞վ է հաջորդել Ուիլյամ Մքքինլիին որպես նախագահ:</v>
      </c>
      <c r="D3330" s="3" t="str">
        <f>IFERROR(__xludf.DUMMYFUNCTION("GOOGLETRANSLATE(B3330,""en"",""hy"")"),"Թեոդոր Ռուզվելտ.")</f>
        <v>Թեոդոր Ռուզվելտ.</v>
      </c>
    </row>
    <row r="3331">
      <c r="A3331" s="1" t="s">
        <v>6567</v>
      </c>
      <c r="B3331" s="2" t="s">
        <v>6568</v>
      </c>
      <c r="C3331" s="3" t="str">
        <f>IFERROR(__xludf.DUMMYFUNCTION("GOOGLETRANSLATE(A3331,""en"",""hy"")"),"որտեղ է ապրում Ջեյմի Չանգը")</f>
        <v>որտեղ է ապրում Ջեյմի Չանգը</v>
      </c>
      <c r="D3331" s="3" t="str">
        <f>IFERROR(__xludf.DUMMYFUNCTION("GOOGLETRANSLATE(B3331,""en"",""hy"")"),"Ջեյմի Չունգի ներկայիս նստավայրը հրապարակայնորեն չի բացահայտվում:")</f>
        <v>Ջեյմի Չունգի ներկայիս նստավայրը հրապարակայնորեն չի բացահայտվում:</v>
      </c>
    </row>
    <row r="3332">
      <c r="A3332" s="1" t="s">
        <v>6569</v>
      </c>
      <c r="B3332" s="2" t="s">
        <v>6570</v>
      </c>
      <c r="C3332" s="3" t="str">
        <f>IFERROR(__xludf.DUMMYFUNCTION("GOOGLETRANSLATE(A3332,""en"",""hy"")"),"Ինչո՞վ է հայտնի Ջորջ Վաշինգտոն Քարվերը:")</f>
        <v>Ինչո՞վ է հայտնի Ջորջ Վաշինգտոն Քարվերը:</v>
      </c>
      <c r="D3332" s="3" t="str">
        <f>IFERROR(__xludf.DUMMYFUNCTION("GOOGLETRANSLATE(B3332,""en"",""hy"")"),"Ջորջ Վաշինգտոն Քարվերը հայտնի էր որպես գիտնական և գյուտարար իր աշխատանքով, մասնավորապես գյուղատնտեսության ոլորտում և գետնանուշի նորարարական կիրառումներ մշակելով:")</f>
        <v>Ջորջ Վաշինգտոն Քարվերը հայտնի էր որպես գիտնական և գյուտարար իր աշխատանքով, մասնավորապես գյուղատնտեսության ոլորտում և գետնանուշի նորարարական կիրառումներ մշակելով:</v>
      </c>
    </row>
    <row r="3333">
      <c r="A3333" s="1" t="s">
        <v>6571</v>
      </c>
      <c r="B3333" s="2" t="s">
        <v>6572</v>
      </c>
      <c r="C3333" s="3" t="str">
        <f>IFERROR(__xludf.DUMMYFUNCTION("GOOGLETRANSLATE(A3333,""en"",""hy"")"),"ո՞րն է վայրի փայտի փոստային կոդը:")</f>
        <v>ո՞րն է վայրի փայտի փոստային կոդը:</v>
      </c>
      <c r="D3333" s="3" t="str">
        <f>IFERROR(__xludf.DUMMYFUNCTION("GOOGLETRANSLATE(B3333,""en"",""hy"")"),"Wildwood-ի փոստային կոդը 08260։")</f>
        <v>Wildwood-ի փոստային կոդը 08260։</v>
      </c>
    </row>
    <row r="3334">
      <c r="A3334" s="1" t="s">
        <v>6573</v>
      </c>
      <c r="B3334" s="2" t="s">
        <v>6574</v>
      </c>
      <c r="C3334" s="3" t="str">
        <f>IFERROR(__xludf.DUMMYFUNCTION("GOOGLETRANSLATE(A3334,""en"",""hy"")"),"ինչ փողի արժույթ է օգտագործում Կանադան:")</f>
        <v>ինչ փողի արժույթ է օգտագործում Կանադան:</v>
      </c>
      <c r="D3334" s="3" t="str">
        <f>IFERROR(__xludf.DUMMYFUNCTION("GOOGLETRANSLATE(B3334,""en"",""hy"")"),"Կանադան որպես արժույթ օգտագործում է Կանադական դոլարը։")</f>
        <v>Կանադան որպես արժույթ օգտագործում է Կանադական դոլարը։</v>
      </c>
    </row>
    <row r="3335">
      <c r="A3335" s="1" t="s">
        <v>6575</v>
      </c>
      <c r="B3335" s="2" t="s">
        <v>6576</v>
      </c>
      <c r="C3335" s="3" t="str">
        <f>IFERROR(__xludf.DUMMYFUNCTION("GOOGLETRANSLATE(A3335,""en"",""hy"")"),"որտեղ է տեղի ունեցել Բրոնքսի հեքիաթը:")</f>
        <v>որտեղ է տեղի ունեցել Բրոնքսի հեքիաթը:</v>
      </c>
      <c r="D3335" s="3" t="str">
        <f>IFERROR(__xludf.DUMMYFUNCTION("GOOGLETRANSLATE(B3335,""en"",""hy"")"),"Բրոնքսի հեքիաթը տեղի է ունենում Նյու Յորքի Բրոնքս քաղաքում:")</f>
        <v>Բրոնքսի հեքիաթը տեղի է ունենում Նյու Յորքի Բրոնքս քաղաքում:</v>
      </c>
    </row>
    <row r="3336">
      <c r="A3336" s="1" t="s">
        <v>6577</v>
      </c>
      <c r="B3336" s="2" t="s">
        <v>6578</v>
      </c>
      <c r="C3336" s="3" t="str">
        <f>IFERROR(__xludf.DUMMYFUNCTION("GOOGLETRANSLATE(A3336,""en"",""hy"")"),"ով է բարձրաձայնում ray in Archer?")</f>
        <v>ով է բարձրաձայնում ray in Archer?</v>
      </c>
      <c r="D3336" s="3" t="str">
        <f>IFERROR(__xludf.DUMMYFUNCTION("GOOGLETRANSLATE(B3336,""en"",""hy"")"),"Ադամ Ռիդ.")</f>
        <v>Ադամ Ռիդ.</v>
      </c>
    </row>
    <row r="3337">
      <c r="A3337" s="1" t="s">
        <v>6579</v>
      </c>
      <c r="B3337" s="2" t="s">
        <v>6580</v>
      </c>
      <c r="C3337" s="3" t="str">
        <f>IFERROR(__xludf.DUMMYFUNCTION("GOOGLETRANSLATE(A3337,""en"",""hy"")"),"ի՞նչ փողեր են օգտագործում Ռուսաստանում.")</f>
        <v>ի՞նչ փողեր են օգտագործում Ռուսաստանում.</v>
      </c>
      <c r="D3337" s="3" t="str">
        <f>IFERROR(__xludf.DUMMYFUNCTION("GOOGLETRANSLATE(B3337,""en"",""hy"")"),"Ռուսաստանում օգտագործվող արժույթը ռուսական ռուբլին է։")</f>
        <v>Ռուսաստանում օգտագործվող արժույթը ռուսական ռուբլին է։</v>
      </c>
    </row>
    <row r="3338">
      <c r="A3338" s="1" t="s">
        <v>6581</v>
      </c>
      <c r="B3338" s="2" t="s">
        <v>6582</v>
      </c>
      <c r="C3338" s="3" t="str">
        <f>IFERROR(__xludf.DUMMYFUNCTION("GOOGLETRANSLATE(A3338,""en"",""hy"")"),"ինչ է նշանակում uvm քոլեջ:")</f>
        <v>ինչ է նշանակում uvm քոլեջ:</v>
      </c>
      <c r="D3338" s="3" t="str">
        <f>IFERROR(__xludf.DUMMYFUNCTION("GOOGLETRANSLATE(B3338,""en"",""hy"")"),"UVM-ն նշանակում է Վերմոնտի համալսարան:")</f>
        <v>UVM-ն նշանակում է Վերմոնտի համալսարան:</v>
      </c>
    </row>
    <row r="3339">
      <c r="A3339" s="1" t="s">
        <v>6583</v>
      </c>
      <c r="B3339" s="2" t="s">
        <v>6584</v>
      </c>
      <c r="C3339" s="3" t="str">
        <f>IFERROR(__xludf.DUMMYFUNCTION("GOOGLETRANSLATE(A3339,""en"",""hy"")"),"ով է խաղում Էդվարդ Էլրիկի դերը")</f>
        <v>ով է խաղում Էդվարդ Էլրիկի դերը</v>
      </c>
      <c r="D3339" s="3" t="str">
        <f>IFERROR(__xludf.DUMMYFUNCTION("GOOGLETRANSLATE(B3339,""en"",""hy"")"),"Դերասանը, ով մարմնավորում է Էդվարդ Էլրիկին Fullmetal Alchemist սերիալում, Ռոմի Պարկն է (ճապոներեն) և Վիկ Մինյոնան (անգլերեն)։")</f>
        <v>Դերասանը, ով մարմնավորում է Էդվարդ Էլրիկին Fullmetal Alchemist սերիալում, Ռոմի Պարկն է (ճապոներեն) և Վիկ Մինյոնան (անգլերեն)։</v>
      </c>
    </row>
    <row r="3340">
      <c r="A3340" s="1" t="s">
        <v>6585</v>
      </c>
      <c r="B3340" s="2" t="s">
        <v>6586</v>
      </c>
      <c r="C3340" s="3" t="str">
        <f>IFERROR(__xludf.DUMMYFUNCTION("GOOGLETRANSLATE(A3340,""en"",""hy"")"),"ի՞նչ էր փնտրում Սամուել դե Շամպլենը:")</f>
        <v>ի՞նչ էր փնտրում Սամուել դե Շամպլենը:</v>
      </c>
      <c r="D3340" s="3" t="str">
        <f>IFERROR(__xludf.DUMMYFUNCTION("GOOGLETRANSLATE(B3340,""en"",""hy"")"),"Սամուել դե Շամպլենը ճանապարհ էր փնտրում դեպի Արևելյան Հնդկաստան և Չինաստան։")</f>
        <v>Սամուել դե Շամպլենը ճանապարհ էր փնտրում դեպի Արևելյան Հնդկաստան և Չինաստան։</v>
      </c>
    </row>
    <row r="3341">
      <c r="A3341" s="1" t="s">
        <v>6587</v>
      </c>
      <c r="B3341" s="2" t="s">
        <v>6588</v>
      </c>
      <c r="C3341" s="3" t="str">
        <f>IFERROR(__xludf.DUMMYFUNCTION("GOOGLETRANSLATE(A3341,""en"",""hy"")"),"ով է խաղում լոլա նապաստակ Looney Tunes շոուում:")</f>
        <v>ով է խաղում լոլա նապաստակ Looney Tunes շոուում:</v>
      </c>
      <c r="D3341" s="3" t="str">
        <f>IFERROR(__xludf.DUMMYFUNCTION("GOOGLETRANSLATE(B3341,""en"",""hy"")"),"Քրիստեն Ուիգ")</f>
        <v>Քրիստեն Ուիգ</v>
      </c>
    </row>
    <row r="3342">
      <c r="A3342" s="1" t="s">
        <v>6589</v>
      </c>
      <c r="B3342" s="2" t="s">
        <v>6590</v>
      </c>
      <c r="C3342" s="3" t="str">
        <f>IFERROR(__xludf.DUMMYFUNCTION("GOOGLETRANSLATE(A3342,""en"",""hy"")"),"ի՞նչ անել Չիկագոյում այս շաբաթավերջին երեխաների հետ:")</f>
        <v>ի՞նչ անել Չիկագոյում այս շաբաթավերջին երեխաների հետ:</v>
      </c>
      <c r="D3342" s="3" t="str">
        <f>IFERROR(__xludf.DUMMYFUNCTION("GOOGLETRANSLATE(B3342,""en"",""hy"")"),"Այցելեք Շեդ ակվարիում, գնացեք ընտանիքի համար հարմար ճարտարապետական ​​նավով էքսկուրսիա, ստուգեք Millennium Park and the Bean-ը, ուսումնասիրեք Չիկագոյի մանկական թանգարանը, զբոսնեք Navy Pier-ով և վայելեք խնջույք Գրանթ Պարկում:")</f>
        <v>Այցելեք Շեդ ակվարիում, գնացեք ընտանիքի համար հարմար ճարտարապետական ​​նավով էքսկուրսիա, ստուգեք Millennium Park and the Bean-ը, ուսումնասիրեք Չիկագոյի մանկական թանգարանը, զբոսնեք Navy Pier-ով և վայելեք խնջույք Գրանթ Պարկում:</v>
      </c>
    </row>
    <row r="3343">
      <c r="A3343" s="1" t="s">
        <v>6591</v>
      </c>
      <c r="B3343" s="2" t="s">
        <v>6592</v>
      </c>
      <c r="C3343" s="3" t="str">
        <f>IFERROR(__xludf.DUMMYFUNCTION("GOOGLETRANSLATE(A3343,""en"",""hy"")"),"ինչ փող է տալիս Գերմանիան")</f>
        <v>ինչ փող է տալիս Գերմանիան</v>
      </c>
      <c r="D3343" s="3" t="str">
        <f>IFERROR(__xludf.DUMMYFUNCTION("GOOGLETRANSLATE(B3343,""en"",""hy"")"),"Գերմանիայում օգտագործվող արժույթը եվրոն է։")</f>
        <v>Գերմանիայում օգտագործվող արժույթը եվրոն է։</v>
      </c>
    </row>
    <row r="3344">
      <c r="A3344" s="1" t="s">
        <v>6593</v>
      </c>
      <c r="B3344" s="2" t="s">
        <v>6594</v>
      </c>
      <c r="C3344" s="3" t="str">
        <f>IFERROR(__xludf.DUMMYFUNCTION("GOOGLETRANSLATE(A3344,""en"",""hy"")"),"Ուոլթեր Ռեյլին ում համար նավարկեց:")</f>
        <v>Ուոլթեր Ռեյլին ում համար նավարկեց:</v>
      </c>
      <c r="D3344" s="3" t="str">
        <f>IFERROR(__xludf.DUMMYFUNCTION("GOOGLETRANSLATE(B3344,""en"",""hy"")"),"Ուոլթեր Ռալեյը նավարկեց Անգլիա:")</f>
        <v>Ուոլթեր Ռալեյը նավարկեց Անգլիա:</v>
      </c>
    </row>
    <row r="3345">
      <c r="A3345" s="1" t="s">
        <v>6595</v>
      </c>
      <c r="B3345" s="2" t="s">
        <v>6596</v>
      </c>
      <c r="C3345" s="3" t="str">
        <f>IFERROR(__xludf.DUMMYFUNCTION("GOOGLETRANSLATE(A3345,""en"",""hy"")"),"ո՞ր քաղաքներն են ընդգրկված Մարիկոպա շրջանի մեջ:")</f>
        <v>ո՞ր քաղաքներն են ընդգրկված Մարիկոպա շրջանի մեջ:</v>
      </c>
      <c r="D3345" s="3" t="str">
        <f>IFERROR(__xludf.DUMMYFUNCTION("GOOGLETRANSLATE(B3345,""en"",""hy"")"),"Phoenix, Mesa, Chandler, Glendale, Scottsdale, Gilbert, Tempe, Peoria, Surprise, Avondale, Goodyear, Buckeye, Queen Creek, Fountain Hills, El Mirage, Sun City, Sun City West, Anthem և Tolleson:")</f>
        <v>Phoenix, Mesa, Chandler, Glendale, Scottsdale, Gilbert, Tempe, Peoria, Surprise, Avondale, Goodyear, Buckeye, Queen Creek, Fountain Hills, El Mirage, Sun City, Sun City West, Anthem և Tolleson:</v>
      </c>
    </row>
    <row r="3346">
      <c r="A3346" s="1" t="s">
        <v>6597</v>
      </c>
      <c r="B3346" s="2" t="s">
        <v>6598</v>
      </c>
      <c r="C3346" s="3" t="str">
        <f>IFERROR(__xludf.DUMMYFUNCTION("GOOGLETRANSLATE(A3346,""en"",""hy"")"),"որտեղ է ապրել Ֆրենկ Բաումը")</f>
        <v>որտեղ է ապրել Ֆրենկ Բաումը</v>
      </c>
      <c r="D3346" s="3" t="str">
        <f>IFERROR(__xludf.DUMMYFUNCTION("GOOGLETRANSLATE(B3346,""en"",""hy"")"),"Ֆրենկ Բաումն իր կյանքի ընթացքում ապրել է տարբեր վայրերում, այդ թվում՝ Չիկագոյում, Իլինոյսում և Կալիֆոռնիայում:")</f>
        <v>Ֆրենկ Բաումն իր կյանքի ընթացքում ապրել է տարբեր վայրերում, այդ թվում՝ Չիկագոյում, Իլինոյսում և Կալիֆոռնիայում:</v>
      </c>
    </row>
    <row r="3347">
      <c r="A3347" s="1" t="s">
        <v>6599</v>
      </c>
      <c r="B3347" s="2" t="s">
        <v>6600</v>
      </c>
      <c r="C3347" s="3" t="str">
        <f>IFERROR(__xludf.DUMMYFUNCTION("GOOGLETRANSLATE(A3347,""en"",""hy"")"),"որ ժամին է սկսվում Գրան Պրին")</f>
        <v>որ ժամին է սկսվում Գրան Պրին</v>
      </c>
      <c r="D3347" s="3" t="str">
        <f>IFERROR(__xludf.DUMMYFUNCTION("GOOGLETRANSLATE(B3347,""en"",""hy"")"),"Գրան պրին մեկնարկում է 14:00-ին:")</f>
        <v>Գրան պրին մեկնարկում է 14:00-ին:</v>
      </c>
    </row>
    <row r="3348">
      <c r="A3348" s="1" t="s">
        <v>6601</v>
      </c>
      <c r="B3348" s="2" t="s">
        <v>6602</v>
      </c>
      <c r="C3348" s="3" t="str">
        <f>IFERROR(__xludf.DUMMYFUNCTION("GOOGLETRANSLATE(A3348,""en"",""hy"")"),"ինչ վայրեր կարելի է տեսնել Դուբայում:")</f>
        <v>ինչ վայրեր կարելի է տեսնել Դուբայում:</v>
      </c>
      <c r="D3348" s="3" t="str">
        <f>IFERROR(__xludf.DUMMYFUNCTION("GOOGLETRANSLATE(B3348,""en"",""hy"")"),"Բուրջ Խալիֆան, Դուբայ Մոլը, Պալմ Ջումեյրան, Դուբայի Մարինան և Դուբայի թանգարանը Դուբայում տեսարժան վայրերից են:")</f>
        <v>Բուրջ Խալիֆան, Դուբայ Մոլը, Պալմ Ջումեյրան, Դուբայի Մարինան և Դուբայի թանգարանը Դուբայում տեսարժան վայրերից են:</v>
      </c>
    </row>
    <row r="3349">
      <c r="A3349" s="1" t="s">
        <v>6603</v>
      </c>
      <c r="B3349" s="2" t="s">
        <v>6604</v>
      </c>
      <c r="C3349" s="3" t="str">
        <f>IFERROR(__xludf.DUMMYFUNCTION("GOOGLETRANSLATE(A3349,""en"",""hy"")"),"որտեղից է Ջոնի Դեփը")</f>
        <v>որտեղից է Ջոնի Դեփը</v>
      </c>
      <c r="D3349" s="3" t="str">
        <f>IFERROR(__xludf.DUMMYFUNCTION("GOOGLETRANSLATE(B3349,""en"",""hy"")"),"Ջոնի Դեփը ԱՄՆ Կենտուկի նահանգի Օուենսբորո քաղաքից է:")</f>
        <v>Ջոնի Դեփը ԱՄՆ Կենտուկի նահանգի Օուենսբորո քաղաքից է:</v>
      </c>
    </row>
    <row r="3350">
      <c r="A3350" s="1" t="s">
        <v>6605</v>
      </c>
      <c r="B3350" s="2" t="s">
        <v>6606</v>
      </c>
      <c r="C3350" s="3" t="str">
        <f>IFERROR(__xludf.DUMMYFUNCTION("GOOGLETRANSLATE(A3350,""en"",""hy"")"),"ինչ կերպարներ է հնչեցնում Թոդ Հաբերկորնը:")</f>
        <v>ինչ կերպարներ է հնչեցնում Թոդ Հաբերկորնը:</v>
      </c>
      <c r="D3350" s="3" t="str">
        <f>IFERROR(__xludf.DUMMYFUNCTION("GOOGLETRANSLATE(B3350,""en"",""hy"")"),"Թոդ Հաբերկորնը հնչյունավորում է բազմաթիվ անիմեների և վիդեո խաղերի հերոսներին, այդ թվում՝ Նացու Դրագնիլին Fairy Tail-ում, Հարուկա Նանասեին՝ Free!-ում և Լինգ Յաոյին Fullmetal Alchemist: Brotherhood-ում:")</f>
        <v>Թոդ Հաբերկորնը հնչյունավորում է բազմաթիվ անիմեների և վիդեո խաղերի հերոսներին, այդ թվում՝ Նացու Դրագնիլին Fairy Tail-ում, Հարուկա Նանասեին՝ Free!-ում և Լինգ Յաոյին Fullmetal Alchemist: Brotherhood-ում:</v>
      </c>
    </row>
    <row r="3351">
      <c r="A3351" s="1" t="s">
        <v>6607</v>
      </c>
      <c r="B3351" s="2" t="s">
        <v>6608</v>
      </c>
      <c r="C3351" s="3" t="str">
        <f>IFERROR(__xludf.DUMMYFUNCTION("GOOGLETRANSLATE(A3351,""en"",""hy"")"),"որտեղի՞ց է գալիս լատիներենը")</f>
        <v>որտեղի՞ց է գալիս լատիներենը</v>
      </c>
      <c r="D3351" s="3" t="str">
        <f>IFERROR(__xludf.DUMMYFUNCTION("GOOGLETRANSLATE(B3351,""en"",""hy"")"),"Լատինական լեզուն առաջացել է Հին Հռոմում։")</f>
        <v>Լատինական լեզուն առաջացել է Հին Հռոմում։</v>
      </c>
    </row>
    <row r="3352">
      <c r="A3352" s="1" t="s">
        <v>6609</v>
      </c>
      <c r="B3352" s="2" t="s">
        <v>6610</v>
      </c>
      <c r="C3352" s="3" t="str">
        <f>IFERROR(__xludf.DUMMYFUNCTION("GOOGLETRANSLATE(A3352,""en"",""hy"")"),"ինչ լեզվով են խոսում պակիստանցիները")</f>
        <v>ինչ լեզվով են խոսում պակիստանցիները</v>
      </c>
      <c r="D3352" s="3" t="str">
        <f>IFERROR(__xludf.DUMMYFUNCTION("GOOGLETRANSLATE(B3352,""en"",""hy"")"),"Պակիստանցիները հիմնականում խոսում են ուրդու, բայց կան նաև տարբեր տարածաշրջանային լեզուներ, որոնք խոսում են տարբեր նահանգներում:")</f>
        <v>Պակիստանցիները հիմնականում խոսում են ուրդու, բայց կան նաև տարբեր տարածաշրջանային լեզուներ, որոնք խոսում են տարբեր նահանգներում:</v>
      </c>
    </row>
    <row r="3353">
      <c r="A3353" s="1" t="s">
        <v>6611</v>
      </c>
      <c r="B3353" s="2" t="s">
        <v>6612</v>
      </c>
      <c r="C3353" s="3" t="str">
        <f>IFERROR(__xludf.DUMMYFUNCTION("GOOGLETRANSLATE(A3353,""en"",""hy"")"),"ինչ է սահմանակից Չինաստանը")</f>
        <v>ինչ է սահմանակից Չինաստանը</v>
      </c>
      <c r="D3353" s="3" t="str">
        <f>IFERROR(__xludf.DUMMYFUNCTION("GOOGLETRANSLATE(B3353,""en"",""hy"")"),"Չինաստանը սահմանակից է 14 երկրների՝ Ռուսաստանին, Մոնղոլիային, Ղազախստանին, Ղրղզստանին, Տաջիկստանին, Աֆղանստանին, Պակիստանին, Հնդկաստանին, Նեպալին, Բութանին, Մյանմարին (Բիրմա), Լաոսին, Վիետնամին և Հյուսիսային Կորեային:")</f>
        <v>Չինաստանը սահմանակից է 14 երկրների՝ Ռուսաստանին, Մոնղոլիային, Ղազախստանին, Ղրղզստանին, Տաջիկստանին, Աֆղանստանին, Պակիստանին, Հնդկաստանին, Նեպալին, Բութանին, Մյանմարին (Բիրմա), Լաոսին, Վիետնամին և Հյուսիսային Կորեային:</v>
      </c>
    </row>
    <row r="3354">
      <c r="A3354" s="1" t="s">
        <v>6613</v>
      </c>
      <c r="B3354" s="2" t="s">
        <v>6614</v>
      </c>
      <c r="C3354" s="3" t="str">
        <f>IFERROR(__xludf.DUMMYFUNCTION("GOOGLETRANSLATE(A3354,""en"",""hy"")"),"երբ է մեկնարկում Ռուսաստանի լիգան")</f>
        <v>երբ է մեկնարկում Ռուսաստանի լիգան</v>
      </c>
      <c r="D3354" s="3" t="str">
        <f>IFERROR(__xludf.DUMMYFUNCTION("GOOGLETRANSLATE(B3354,""en"",""hy"")"),"Ռուսական լիգան սովորաբար սկսվում է հուլիսին կամ օգոստոսին:")</f>
        <v>Ռուսական լիգան սովորաբար սկսվում է հուլիսին կամ օգոստոսին:</v>
      </c>
    </row>
    <row r="3355">
      <c r="A3355" s="1" t="s">
        <v>6615</v>
      </c>
      <c r="B3355" s="2" t="s">
        <v>6616</v>
      </c>
      <c r="C3355" s="3" t="str">
        <f>IFERROR(__xludf.DUMMYFUNCTION("GOOGLETRANSLATE(A3355,""en"",""hy"")"),"ինչո՞վ էր հայտնի Ալիս Ուոքերը:")</f>
        <v>ինչո՞վ էր հայտնի Ալիս Ուոքերը:</v>
      </c>
      <c r="D3355" s="3" t="str">
        <f>IFERROR(__xludf.DUMMYFUNCTION("GOOGLETRANSLATE(B3355,""en"",""hy"")"),"Էլիս Ուոքերը հայտնի է որպես ամերիկացի վիպասան, բանաստեղծ և ակտիվիստ, որն առավել հայտնի է իր «Մանուշակագույն գույնը» վեպով, որը 1983 թվականին արժանացել է Պուլիտցերյան մրցանակի գեղարվեստական ​​գրականության համար։")</f>
        <v>Էլիս Ուոքերը հայտնի է որպես ամերիկացի վիպասան, բանաստեղծ և ակտիվիստ, որն առավել հայտնի է իր «Մանուշակագույն գույնը» վեպով, որը 1983 թվականին արժանացել է Պուլիտցերյան մրցանակի գեղարվեստական ​​գրականության համար։</v>
      </c>
    </row>
    <row r="3356">
      <c r="A3356" s="1" t="s">
        <v>6617</v>
      </c>
      <c r="B3356" s="2" t="s">
        <v>5814</v>
      </c>
      <c r="C3356" s="3" t="str">
        <f>IFERROR(__xludf.DUMMYFUNCTION("GOOGLETRANSLATE(A3356,""en"",""hy"")"),"որտեղ է Մայքլ Ջեքսոնը դպրոց հաճախել")</f>
        <v>որտեղ է Մայքլ Ջեքսոնը դպրոց հաճախել</v>
      </c>
      <c r="D3356" s="3" t="str">
        <f>IFERROR(__xludf.DUMMYFUNCTION("GOOGLETRANSLATE(B3356,""en"",""hy"")"),"Մայքլ Ջեքսոնը հաճախել է Գարդներ փողոցի տարրական դպրոցը Լոս Անջելեսում, Կալիֆորնիա:")</f>
        <v>Մայքլ Ջեքսոնը հաճախել է Գարդներ փողոցի տարրական դպրոցը Լոս Անջելեսում, Կալիֆորնիա:</v>
      </c>
    </row>
    <row r="3357">
      <c r="A3357" s="1" t="s">
        <v>6618</v>
      </c>
      <c r="B3357" s="2" t="s">
        <v>6619</v>
      </c>
      <c r="C3357" s="3" t="str">
        <f>IFERROR(__xludf.DUMMYFUNCTION("GOOGLETRANSLATE(A3357,""en"",""hy"")"),"որտեղի՞ց են ծագում հաբիլացիները:")</f>
        <v>որտեղի՞ց են ծագում հաբիլացիները:</v>
      </c>
      <c r="D3357" s="3" t="str">
        <f>IFERROR(__xludf.DUMMYFUNCTION("GOOGLETRANSLATE(B3357,""en"",""hy"")"),"Հաիթիի բնակիչները հիմնականում գալիս են Հայիթիից, որը գտնվում է Կարիբյան ավազանում:")</f>
        <v>Հաիթիի բնակիչները հիմնականում գալիս են Հայիթիից, որը գտնվում է Կարիբյան ավազանում:</v>
      </c>
    </row>
    <row r="3358">
      <c r="A3358" s="1" t="s">
        <v>6620</v>
      </c>
      <c r="B3358" s="2" t="s">
        <v>6621</v>
      </c>
      <c r="C3358" s="3" t="str">
        <f>IFERROR(__xludf.DUMMYFUNCTION("GOOGLETRANSLATE(A3358,""en"",""hy"")"),"որտեղ է ժամային գոտին Կենտուկիում:")</f>
        <v>որտեղ է ժամային գոտին Կենտուկիում:</v>
      </c>
      <c r="D3358" s="3" t="str">
        <f>IFERROR(__xludf.DUMMYFUNCTION("GOOGLETRANSLATE(B3358,""en"",""hy"")"),"Կենտուկին գտնվում է Արևելյան ժամային գոտում։")</f>
        <v>Կենտուկին գտնվում է Արևելյան ժամային գոտում։</v>
      </c>
    </row>
    <row r="3359">
      <c r="A3359" s="1" t="s">
        <v>6622</v>
      </c>
      <c r="B3359" s="2" t="s">
        <v>6623</v>
      </c>
      <c r="C3359" s="3" t="str">
        <f>IFERROR(__xludf.DUMMYFUNCTION("GOOGLETRANSLATE(A3359,""en"",""hy"")"),"ինչ ալբոմների վրա է նվագել Ջոն Ֆրուսիանտեն:")</f>
        <v>ինչ ալբոմների վրա է նվագել Ջոն Ֆրուսիանտեն:</v>
      </c>
      <c r="D3359" s="3" t="str">
        <f>IFERROR(__xludf.DUMMYFUNCTION("GOOGLETRANSLATE(B3359,""en"",""hy"")"),"Ջոն Ֆրուսիանտեն նվագել է Red Hot Chili Peppers խմբի հետ մի քանի ալբոմներում, այդ թվում՝ «Blood Sugar Sex Magik», «Californication» և «Stadium Arcadium»։")</f>
        <v>Ջոն Ֆրուսիանտեն նվագել է Red Hot Chili Peppers խմբի հետ մի քանի ալբոմներում, այդ թվում՝ «Blood Sugar Sex Magik», «Californication» և «Stadium Arcadium»։</v>
      </c>
    </row>
    <row r="3360">
      <c r="A3360" s="1" t="s">
        <v>6624</v>
      </c>
      <c r="B3360" s="2" t="s">
        <v>6625</v>
      </c>
      <c r="C3360" s="3" t="str">
        <f>IFERROR(__xludf.DUMMYFUNCTION("GOOGLETRANSLATE(A3360,""en"",""hy"")"),"ի՞նչն է ազդել Ուիթմենի պոեզիայի վրա:")</f>
        <v>ի՞նչն է ազդել Ուիթմենի պոեզիայի վրա:</v>
      </c>
      <c r="D3360" s="3" t="str">
        <f>IFERROR(__xludf.DUMMYFUNCTION("GOOGLETRANSLATE(B3360,""en"",""hy"")"),"Ուոլթ Ուիթմենի պոեզիայի վրա ազդել են բնությունը, ժողովրդավարությունը և մարդկային մարմինը։")</f>
        <v>Ուոլթ Ուիթմենի պոեզիայի վրա ազդել են բնությունը, ժողովրդավարությունը և մարդկային մարմինը։</v>
      </c>
    </row>
    <row r="3361">
      <c r="A3361" s="1" t="s">
        <v>6626</v>
      </c>
      <c r="B3361" s="2" t="s">
        <v>6627</v>
      </c>
      <c r="C3361" s="3" t="str">
        <f>IFERROR(__xludf.DUMMYFUNCTION("GOOGLETRANSLATE(A3361,""en"",""hy"")"),"ի՞նչ է արել Մարտին Լյութեր Քինգ կրտսերը իր կյանքում:")</f>
        <v>ի՞նչ է արել Մարտին Լյութեր Քինգ կրտսերը իր կյանքում:</v>
      </c>
      <c r="D3361" s="3" t="str">
        <f>IFERROR(__xludf.DUMMYFUNCTION("GOOGLETRANSLATE(B3361,""en"",""hy"")"),"Մարտին Լյութեր Քինգ կրտսերը քաղաքացիական իրավունքների շարժման առաջնորդն էր: Նա պաշտպանում էր ռասայական հավասարությունը և արդարությունը ոչ բռնի բողոքի ակցիաների միջոցով, ներառյալ հայտնի երթը Վաշինգտոնում, որտեղ նա արտասանեց իր խորհրդանշական «Ես երազանք ուն"&amp;"եմ» ելույթը:")</f>
        <v>Մարտին Լյութեր Քինգ կրտսերը քաղաքացիական իրավունքների շարժման առաջնորդն էր: Նա պաշտպանում էր ռասայական հավասարությունը և արդարությունը ոչ բռնի բողոքի ակցիաների միջոցով, ներառյալ հայտնի երթը Վաշինգտոնում, որտեղ նա արտասանեց իր խորհրդանշական «Ես երազանք ունեմ» ելույթը:</v>
      </c>
    </row>
    <row r="3362">
      <c r="A3362" s="1" t="s">
        <v>6628</v>
      </c>
      <c r="B3362" s="2" t="s">
        <v>6629</v>
      </c>
      <c r="C3362" s="3" t="str">
        <f>IFERROR(__xludf.DUMMYFUNCTION("GOOGLETRANSLATE(A3362,""en"",""hy"")"),"ինչպիսի՞ իրավական համակարգ ունի Ավստրալիան:")</f>
        <v>ինչպիսի՞ իրավական համակարգ ունի Ավստրալիան:</v>
      </c>
      <c r="D3362" s="3" t="str">
        <f>IFERROR(__xludf.DUMMYFUNCTION("GOOGLETRANSLATE(B3362,""en"",""hy"")"),"Ավստրալիան ունի ընդհանուր իրավունքի իրավական համակարգ:")</f>
        <v>Ավստրալիան ունի ընդհանուր իրավունքի իրավական համակարգ:</v>
      </c>
    </row>
    <row r="3363">
      <c r="A3363" s="1" t="s">
        <v>6630</v>
      </c>
      <c r="B3363" s="2" t="s">
        <v>6631</v>
      </c>
      <c r="C3363" s="3" t="str">
        <f>IFERROR(__xludf.DUMMYFUNCTION("GOOGLETRANSLATE(A3363,""en"",""hy"")"),"որտեղ էր ապրում Ջիմի Հոֆան")</f>
        <v>որտեղ էր ապրում Ջիմի Հոֆան</v>
      </c>
      <c r="D3363" s="3" t="str">
        <f>IFERROR(__xludf.DUMMYFUNCTION("GOOGLETRANSLATE(B3363,""en"",""hy"")"),"Ջիմմի Հոֆան իր կյանքի ընթացքում ապրել է տարբեր վայրերում, սակայն նրա վերջին հայտնի բնակավայրը եղել է Միչիգան ​​նահանգի Օրիոն լիճը:")</f>
        <v>Ջիմմի Հոֆան իր կյանքի ընթացքում ապրել է տարբեր վայրերում, սակայն նրա վերջին հայտնի բնակավայրը եղել է Միչիգան ​​նահանգի Օրիոն լիճը:</v>
      </c>
    </row>
    <row r="3364">
      <c r="A3364" s="1" t="s">
        <v>6632</v>
      </c>
      <c r="B3364" s="2" t="s">
        <v>6633</v>
      </c>
      <c r="C3364" s="3" t="str">
        <f>IFERROR(__xludf.DUMMYFUNCTION("GOOGLETRANSLATE(A3364,""en"",""hy"")"),"ի՞նչ դեր խաղաց Ֆրեդերիկ Դուգլասը վերացման շարժման մեջ:")</f>
        <v>ի՞նչ դեր խաղաց Ֆրեդերիկ Դուգլասը վերացման շարժման մեջ:</v>
      </c>
      <c r="D3364" s="3" t="str">
        <f>IFERROR(__xludf.DUMMYFUNCTION("GOOGLETRANSLATE(B3364,""en"",""hy"")"),"Ֆրեդերիկ Դուգլասը վերացման շարժման նշանավոր առաջնորդներից էր:")</f>
        <v>Ֆրեդերիկ Դուգլասը վերացման շարժման նշանավոր առաջնորդներից էր:</v>
      </c>
    </row>
    <row r="3365">
      <c r="A3365" s="1" t="s">
        <v>6634</v>
      </c>
      <c r="B3365" s="2" t="s">
        <v>6635</v>
      </c>
      <c r="C3365" s="3" t="str">
        <f>IFERROR(__xludf.DUMMYFUNCTION("GOOGLETRANSLATE(A3365,""en"",""hy"")"),"որտեղ մարդիկ խոսում են ուելերեն")</f>
        <v>որտեղ մարդիկ խոսում են ուելերեն</v>
      </c>
      <c r="D3365" s="3" t="str">
        <f>IFERROR(__xludf.DUMMYFUNCTION("GOOGLETRANSLATE(B3365,""en"",""hy"")"),"Ուելսում մարդիկ խոսում են հիմնականում Ուելսում:")</f>
        <v>Ուելսում մարդիկ խոսում են հիմնականում Ուելսում:</v>
      </c>
    </row>
    <row r="3366">
      <c r="A3366" s="1" t="s">
        <v>6636</v>
      </c>
      <c r="B3366" s="2" t="s">
        <v>6637</v>
      </c>
      <c r="C3366" s="3" t="str">
        <f>IFERROR(__xludf.DUMMYFUNCTION("GOOGLETRANSLATE(A3366,""en"",""hy"")"),"ի՞նչ մանկական գրքեր է գրել Սյուզան Քոլինզը:")</f>
        <v>ի՞նչ մանկական գրքեր է գրել Սյուզան Քոլինզը:</v>
      </c>
      <c r="D3366" s="3" t="str">
        <f>IFERROR(__xludf.DUMMYFUNCTION("GOOGLETRANSLATE(B3366,""en"",""hy"")"),"Սյուզան Քոլինզը գրել է «Գրեգոր Օվերլանդացին» շարքը և «Քաղցած խաղերը» եռերգությունը։")</f>
        <v>Սյուզան Քոլինզը գրել է «Գրեգոր Օվերլանդացին» շարքը և «Քաղցած խաղերը» եռերգությունը։</v>
      </c>
    </row>
    <row r="3367">
      <c r="A3367" s="1" t="s">
        <v>6638</v>
      </c>
      <c r="B3367" s="2" t="s">
        <v>6639</v>
      </c>
      <c r="C3367" s="3" t="str">
        <f>IFERROR(__xludf.DUMMYFUNCTION("GOOGLETRANSLATE(A3367,""en"",""hy"")"),"Ո՞ր նահանգում է ծնվել Օբաման")</f>
        <v>Ո՞ր նահանգում է ծնվել Օբաման</v>
      </c>
      <c r="D3367" s="3" t="str">
        <f>IFERROR(__xludf.DUMMYFUNCTION("GOOGLETRANSLATE(B3367,""en"",""hy"")"),"Հավայան կղզիներ.")</f>
        <v>Հավայան կղզիներ.</v>
      </c>
    </row>
    <row r="3368">
      <c r="A3368" s="1" t="s">
        <v>6640</v>
      </c>
      <c r="B3368" s="2" t="s">
        <v>6641</v>
      </c>
      <c r="C3368" s="3" t="str">
        <f>IFERROR(__xludf.DUMMYFUNCTION("GOOGLETRANSLATE(A3368,""en"",""hy"")"),"ո՞րն է Մորգանթաունի փոստային կոդը:")</f>
        <v>ո՞րն է Մորգանթաունի փոստային կոդը:</v>
      </c>
      <c r="D3368" s="3" t="str">
        <f>IFERROR(__xludf.DUMMYFUNCTION("GOOGLETRANSLATE(B3368,""en"",""hy"")"),"Morgantown, IN-ի փոստային կոդը 46160։")</f>
        <v>Morgantown, IN-ի փոստային կոդը 46160։</v>
      </c>
    </row>
    <row r="3369">
      <c r="A3369" s="1" t="s">
        <v>6642</v>
      </c>
      <c r="B3369" s="2" t="s">
        <v>6643</v>
      </c>
      <c r="C3369" s="3" t="str">
        <f>IFERROR(__xludf.DUMMYFUNCTION("GOOGLETRANSLATE(A3369,""en"",""hy"")"),"Ո՞վ է դեմոկրիտը և ի՞նչ հայտնաբերեց նա:")</f>
        <v>Ո՞վ է դեմոկրիտը և ի՞նչ հայտնաբերեց նա:</v>
      </c>
      <c r="D3369" s="3" t="str">
        <f>IFERROR(__xludf.DUMMYFUNCTION("GOOGLETRANSLATE(B3369,""en"",""hy"")"),"Դեմոկրիտը հին հույն փիլիսոփա էր, ով ձևակերպեց ատոմիզմի տեսությունը՝ ենթադրելով, որ ամբողջ նյութը կազմված է փոքր, անբաժանելի մասնիկներից, որոնք կոչվում են ատոմներ։")</f>
        <v>Դեմոկրիտը հին հույն փիլիսոփա էր, ով ձևակերպեց ատոմիզմի տեսությունը՝ ենթադրելով, որ ամբողջ նյութը կազմված է փոքր, անբաժանելի մասնիկներից, որոնք կոչվում են ատոմներ։</v>
      </c>
    </row>
    <row r="3370">
      <c r="A3370" s="1" t="s">
        <v>6644</v>
      </c>
      <c r="B3370" s="2" t="s">
        <v>6645</v>
      </c>
      <c r="C3370" s="3" t="str">
        <f>IFERROR(__xludf.DUMMYFUNCTION("GOOGLETRANSLATE(A3370,""en"",""hy"")"),"ով է խաղում Բելլա մթնշաղին")</f>
        <v>ով է խաղում Բելլա մթնշաղին</v>
      </c>
      <c r="D3370" s="3" t="str">
        <f>IFERROR(__xludf.DUMMYFUNCTION("GOOGLETRANSLATE(B3370,""en"",""hy"")"),"Քրիստեն Ստյուարտ.")</f>
        <v>Քրիստեն Ստյուարտ.</v>
      </c>
    </row>
    <row r="3371">
      <c r="A3371" s="1" t="s">
        <v>6646</v>
      </c>
      <c r="B3371" s="2" t="s">
        <v>6647</v>
      </c>
      <c r="C3371" s="3" t="str">
        <f>IFERROR(__xludf.DUMMYFUNCTION("GOOGLETRANSLATE(A3371,""en"",""hy"")"),"որտեղի՞ց սկսվեց Գետիսբուրգը:")</f>
        <v>որտեղի՞ց սկսվեց Գետիսբուրգը:</v>
      </c>
      <c r="D3371" s="3" t="str">
        <f>IFERROR(__xludf.DUMMYFUNCTION("GOOGLETRANSLATE(B3371,""en"",""hy"")"),"Gettysburg-ը սկսել է Փենսիլվանիայի Գետիսբուրգ քաղաքում:")</f>
        <v>Gettysburg-ը սկսել է Փենսիլվանիայի Գետիսբուրգ քաղաքում:</v>
      </c>
    </row>
    <row r="3372">
      <c r="A3372" s="1" t="s">
        <v>6648</v>
      </c>
      <c r="B3372" s="2" t="s">
        <v>6649</v>
      </c>
      <c r="C3372" s="3" t="str">
        <f>IFERROR(__xludf.DUMMYFUNCTION("GOOGLETRANSLATE(A3372,""en"",""hy"")"),"ո՞ւմ համար է խաղում Կրիշտիանու Ռոնալդուն 2010 թվականին:")</f>
        <v>ո՞ւմ համար է խաղում Կրիշտիանու Ռոնալդուն 2010 թվականին:</v>
      </c>
      <c r="D3372" s="3" t="str">
        <f>IFERROR(__xludf.DUMMYFUNCTION("GOOGLETRANSLATE(B3372,""en"",""hy"")"),"Կրիշտիանու Ռոնալդուն Մադրիդի «Ռեալում» հանդես է եկել 2010 թվականին։")</f>
        <v>Կրիշտիանու Ռոնալդուն Մադրիդի «Ռեալում» հանդես է եկել 2010 թվականին։</v>
      </c>
    </row>
    <row r="3373">
      <c r="A3373" s="1" t="s">
        <v>6650</v>
      </c>
      <c r="B3373" s="2" t="s">
        <v>6651</v>
      </c>
      <c r="C3373" s="3" t="str">
        <f>IFERROR(__xludf.DUMMYFUNCTION("GOOGLETRANSLATE(A3373,""en"",""hy"")"),"որտեղ է ապրել Էլվիս Փրեսլին մինչև մահը:")</f>
        <v>որտեղ է ապրել Էլվիս Փրեսլին մինչև մահը:</v>
      </c>
      <c r="D3373" s="3" t="str">
        <f>IFERROR(__xludf.DUMMYFUNCTION("GOOGLETRANSLATE(B3373,""en"",""hy"")"),"Էլվիս Փրեսլին մահից առաջ ապրել է Գրեյսլենդում։")</f>
        <v>Էլվիս Փրեսլին մահից առաջ ապրել է Գրեյսլենդում։</v>
      </c>
    </row>
    <row r="3374">
      <c r="A3374" s="1" t="s">
        <v>6652</v>
      </c>
      <c r="B3374" s="2" t="s">
        <v>6653</v>
      </c>
      <c r="C3374" s="3" t="str">
        <f>IFERROR(__xludf.DUMMYFUNCTION("GOOGLETRANSLATE(A3374,""en"",""hy"")"),"ո՞րն է Գերմանիայի արժույթը 2010թ.")</f>
        <v>ո՞րն է Գերմանիայի արժույթը 2010թ.</v>
      </c>
      <c r="D3374" s="3" t="str">
        <f>IFERROR(__xludf.DUMMYFUNCTION("GOOGLETRANSLATE(B3374,""en"",""hy"")"),"2010 թվականին Գերմանիայի արժույթը եվրոն էր։")</f>
        <v>2010 թվականին Գերմանիայի արժույթը եվրոն էր։</v>
      </c>
    </row>
    <row r="3375">
      <c r="A3375" s="1" t="s">
        <v>6654</v>
      </c>
      <c r="B3375" s="2" t="s">
        <v>6655</v>
      </c>
      <c r="C3375" s="3" t="str">
        <f>IFERROR(__xludf.DUMMYFUNCTION("GOOGLETRANSLATE(A3375,""en"",""hy"")"),"ինչ անել daytona-ում:")</f>
        <v>ինչ անել daytona-ում:</v>
      </c>
      <c r="D3375" s="3" t="str">
        <f>IFERROR(__xludf.DUMMYFUNCTION("GOOGLETRANSLATE(B3375,""en"",""hy"")"),"Daytona-ն առաջարկում է տարբեր գործողություններ, ինչպիսիք են՝ այցելել Դեյտոնա լողափ, ուսումնասիրել Դեյտոնա միջազգային արագընթաց ճանապարհը, վայելել ջրային սպորտաձևերը և այցելել Daytona Beach Boardwalk և Pier:")</f>
        <v>Daytona-ն առաջարկում է տարբեր գործողություններ, ինչպիսիք են՝ այցելել Դեյտոնա լողափ, ուսումնասիրել Դեյտոնա միջազգային արագընթաց ճանապարհը, վայելել ջրային սպորտաձևերը և այցելել Daytona Beach Boardwalk և Pier:</v>
      </c>
    </row>
    <row r="3376">
      <c r="A3376" s="1" t="s">
        <v>6656</v>
      </c>
      <c r="B3376" s="2" t="s">
        <v>6657</v>
      </c>
      <c r="C3376" s="3" t="str">
        <f>IFERROR(__xludf.DUMMYFUNCTION("GOOGLETRANSLATE(A3376,""en"",""hy"")"),"ո՞ւմ է խաղում Փոլ Ուոքերը արագ և կատաղի վիճակում:")</f>
        <v>ո՞ւմ է խաղում Փոլ Ուոքերը արագ և կատաղի վիճակում:</v>
      </c>
      <c r="D3376" s="3" t="str">
        <f>IFERROR(__xludf.DUMMYFUNCTION("GOOGLETRANSLATE(B3376,""en"",""hy"")"),"Փոլ Ուոքերը «Fast and Furious» ֆրանշիզայում մարմնավորել է Բրայան Օ'Քոնների կերպարը:")</f>
        <v>Փոլ Ուոքերը «Fast and Furious» ֆրանշիզայում մարմնավորել է Բրայան Օ'Քոնների կերպարը:</v>
      </c>
    </row>
    <row r="3377">
      <c r="A3377" s="1" t="s">
        <v>6658</v>
      </c>
      <c r="B3377" s="2" t="s">
        <v>6659</v>
      </c>
      <c r="C3377" s="3" t="str">
        <f>IFERROR(__xludf.DUMMYFUNCTION("GOOGLETRANSLATE(A3377,""en"",""hy"")"),"ով էր Ջորջ Բուշի ժամանակ փոխնախագահը:")</f>
        <v>ով էր Ջորջ Բուշի ժամանակ փոխնախագահը:</v>
      </c>
      <c r="D3377" s="3" t="str">
        <f>IFERROR(__xludf.DUMMYFUNCTION("GOOGLETRANSLATE(B3377,""en"",""hy"")"),"Դիք Չեյնին Ջորջ Բուշ կրտսերի նախագահության օրոք եղել է փոխնախագահը։")</f>
        <v>Դիք Չեյնին Ջորջ Բուշ կրտսերի նախագահության օրոք եղել է փոխնախագահը։</v>
      </c>
    </row>
    <row r="3378">
      <c r="A3378" s="1" t="s">
        <v>6660</v>
      </c>
      <c r="B3378" s="2" t="s">
        <v>6661</v>
      </c>
      <c r="C3378" s="3" t="str">
        <f>IFERROR(__xludf.DUMMYFUNCTION("GOOGLETRANSLATE(A3378,""en"",""hy"")"),"որտե՞ղ գնաց Քևին Հարտը դպրոց:")</f>
        <v>որտե՞ղ գնաց Քևին Հարտը դպրոց:</v>
      </c>
      <c r="D3378" s="3" t="str">
        <f>IFERROR(__xludf.DUMMYFUNCTION("GOOGLETRANSLATE(B3378,""en"",""hy"")"),"Քևին Հարթը հաճախել է Փենսիլվանիա նահանգի Ֆիլադելֆիայի Ջորջ Վաշինգտոնի միջնակարգ դպրոցը:")</f>
        <v>Քևին Հարթը հաճախել է Փենսիլվանիա նահանգի Ֆիլադելֆիայի Ջորջ Վաշինգտոնի միջնակարգ դպրոցը:</v>
      </c>
    </row>
    <row r="3379">
      <c r="A3379" s="1" t="s">
        <v>6662</v>
      </c>
      <c r="B3379" s="2" t="s">
        <v>6663</v>
      </c>
      <c r="C3379" s="3" t="str">
        <f>IFERROR(__xludf.DUMMYFUNCTION("GOOGLETRANSLATE(A3379,""en"",""hy"")"),"որտեղ են կառուցվում gm մեքենաները.")</f>
        <v>որտեղ են կառուցվում gm մեքենաները.</v>
      </c>
      <c r="D3379" s="3" t="str">
        <f>IFERROR(__xludf.DUMMYFUNCTION("GOOGLETRANSLATE(B3379,""en"",""hy"")"),"GM մեքենաները կառուցվում են տարբեր արտադրական գործարաններում, որոնք տեղակայված են ամբողջ աշխարհում:")</f>
        <v>GM մեքենաները կառուցվում են տարբեր արտադրական գործարաններում, որոնք տեղակայված են ամբողջ աշխարհում:</v>
      </c>
    </row>
    <row r="3380">
      <c r="A3380" s="1" t="s">
        <v>6664</v>
      </c>
      <c r="B3380" s="2" t="s">
        <v>809</v>
      </c>
      <c r="C3380" s="3" t="str">
        <f>IFERROR(__xludf.DUMMYFUNCTION("GOOGLETRANSLATE(A3380,""en"",""hy"")"),"ինչ փողեր են օգտագործում ճապոնացիները")</f>
        <v>ինչ փողեր են օգտագործում ճապոնացիները</v>
      </c>
      <c r="D3380" s="3" t="str">
        <f>IFERROR(__xludf.DUMMYFUNCTION("GOOGLETRANSLATE(B3380,""en"",""hy"")"),"Ճապոնացիները որպես արժույթ օգտագործում են ճապոնական իենը:")</f>
        <v>Ճապոնացիները որպես արժույթ օգտագործում են ճապոնական իենը:</v>
      </c>
    </row>
    <row r="3381">
      <c r="A3381" s="1" t="s">
        <v>6665</v>
      </c>
      <c r="B3381" s="2" t="s">
        <v>6666</v>
      </c>
      <c r="C3381" s="3" t="str">
        <f>IFERROR(__xludf.DUMMYFUNCTION("GOOGLETRANSLATE(A3381,""en"",""hy"")"),"որտեղի՞ց է ծագել Մելբուրն անունը:")</f>
        <v>որտեղի՞ց է ծագել Մելբուրն անունը:</v>
      </c>
      <c r="D3381" s="3" t="str">
        <f>IFERROR(__xludf.DUMMYFUNCTION("GOOGLETRANSLATE(B3381,""en"",""hy"")"),"Մելբուրն անվանումն առաջացել է Մեծ Բրիտանիայի վարչապետ Ուիլյամ Լամբից, 2-րդ վիկոնտ Մելբուրնից։")</f>
        <v>Մելբուրն անվանումն առաջացել է Մեծ Բրիտանիայի վարչապետ Ուիլյամ Լամբից, 2-րդ վիկոնտ Մելբուրնից։</v>
      </c>
    </row>
    <row r="3382">
      <c r="A3382" s="1" t="s">
        <v>6667</v>
      </c>
      <c r="B3382" s="2" t="s">
        <v>6668</v>
      </c>
      <c r="C3382" s="3" t="str">
        <f>IFERROR(__xludf.DUMMYFUNCTION("GOOGLETRANSLATE(A3382,""en"",""hy"")"),"ինչ արժույթ է օգտագործում Ուկրաինան")</f>
        <v>ինչ արժույթ է օգտագործում Ուկրաինան</v>
      </c>
      <c r="D3382" s="3" t="str">
        <f>IFERROR(__xludf.DUMMYFUNCTION("GOOGLETRANSLATE(B3382,""en"",""hy"")"),"Ուկրաինայում արժույթը գրիվնան է։")</f>
        <v>Ուկրաինայում արժույթը գրիվնան է։</v>
      </c>
    </row>
    <row r="3383">
      <c r="A3383" s="1" t="s">
        <v>6669</v>
      </c>
      <c r="B3383" s="2" t="s">
        <v>6670</v>
      </c>
      <c r="C3383" s="3" t="str">
        <f>IFERROR(__xludf.DUMMYFUNCTION("GOOGLETRANSLATE(A3383,""en"",""hy"")"),"ինչ փող է օգտագործում Չիլին")</f>
        <v>ինչ փող է օգտագործում Չիլին</v>
      </c>
      <c r="D3383" s="3" t="str">
        <f>IFERROR(__xludf.DUMMYFUNCTION("GOOGLETRANSLATE(B3383,""en"",""hy"")"),"Չիլին օգտագործում է չիլիական պեսոն:")</f>
        <v>Չիլին օգտագործում է չիլիական պեսոն:</v>
      </c>
    </row>
    <row r="3384">
      <c r="A3384" s="1" t="s">
        <v>6671</v>
      </c>
      <c r="B3384" s="2" t="s">
        <v>6672</v>
      </c>
      <c r="C3384" s="3" t="str">
        <f>IFERROR(__xludf.DUMMYFUNCTION("GOOGLETRANSLATE(A3384,""en"",""hy"")"),"ինչ արժույթ ունի Իտալիան")</f>
        <v>ինչ արժույթ ունի Իտալիան</v>
      </c>
      <c r="D3384" s="3" t="str">
        <f>IFERROR(__xludf.DUMMYFUNCTION("GOOGLETRANSLATE(B3384,""en"",""hy"")"),"Իտալիայի արժույթը եվրոն է։")</f>
        <v>Իտալիայի արժույթը եվրոն է։</v>
      </c>
    </row>
    <row r="3385">
      <c r="A3385" s="1" t="s">
        <v>6673</v>
      </c>
      <c r="B3385" s="2" t="s">
        <v>6674</v>
      </c>
      <c r="C3385" s="3" t="str">
        <f>IFERROR(__xludf.DUMMYFUNCTION("GOOGLETRANSLATE(A3385,""en"",""hy"")"),"որո՞նք են իսպանախոս երկրները և նրանց մայրաքաղաքները:")</f>
        <v>որո՞նք են իսպանախոս երկրները և նրանց մայրաքաղաքները:</v>
      </c>
      <c r="D3385" s="3" t="str">
        <f>IFERROR(__xludf.DUMMYFUNCTION("GOOGLETRANSLATE(B3385,""en"",""hy"")"),"Իսպանախոս որոշ երկրներ և նրանց մայրաքաղաքներն են.
1. Իսպանիա - Մադրիդ
2. Մեքսիկա - Մեխիկո Սիթի
3. Արգենտինա - Բուենոս Այրես
4. Կոլումբիա - Բոգոտա
5. Պերու - Լիմա
6. Վենեսուելա - Կարակաս
7. Չիլի - Սանտյագո
8. Էկվադոր - Կիտո
9. Կուբա - Հավանա
10. Դոմինիկյան"&amp;" Հանրապետություն - Սանտո Դոմինգո")</f>
        <v>Իսպանախոս որոշ երկրներ և նրանց մայրաքաղաքներն են.
1. Իսպանիա - Մադրիդ
2. Մեքսիկա - Մեխիկո Սիթի
3. Արգենտինա - Բուենոս Այրես
4. Կոլումբիա - Բոգոտա
5. Պերու - Լիմա
6. Վենեսուելա - Կարակաս
7. Չիլի - Սանտյագո
8. Էկվադոր - Կիտո
9. Կուբա - Հավանա
10. Դոմինիկյան Հանրապետություն - Սանտո Դոմինգո</v>
      </c>
    </row>
    <row r="3386">
      <c r="A3386" s="1" t="s">
        <v>6675</v>
      </c>
      <c r="B3386" s="2" t="s">
        <v>6676</v>
      </c>
      <c r="C3386" s="3" t="str">
        <f>IFERROR(__xludf.DUMMYFUNCTION("GOOGLETRANSLATE(A3386,""en"",""hy"")"),"ի՞նչ լեզվով են խոսում դանիացիները:")</f>
        <v>ի՞նչ լեզվով են խոսում դանիացիները:</v>
      </c>
      <c r="D3386" s="3" t="str">
        <f>IFERROR(__xludf.DUMMYFUNCTION("GOOGLETRANSLATE(B3386,""en"",""hy"")"),"դանիերեն.")</f>
        <v>դանիերեն.</v>
      </c>
    </row>
    <row r="3387">
      <c r="A3387" s="1" t="s">
        <v>6677</v>
      </c>
      <c r="B3387" s="2" t="s">
        <v>6678</v>
      </c>
      <c r="C3387" s="3" t="str">
        <f>IFERROR(__xludf.DUMMYFUNCTION("GOOGLETRANSLATE(A3387,""en"",""hy"")"),"ինչից է մահացել Սյուզան Աթկինսը")</f>
        <v>ինչից է մահացել Սյուզան Աթկինսը</v>
      </c>
      <c r="D3387" s="3" t="str">
        <f>IFERROR(__xludf.DUMMYFUNCTION("GOOGLETRANSLATE(B3387,""en"",""hy"")"),"Սյուզան Աթկինսը մահացել է գլխուղեղի քաղցկեղից։")</f>
        <v>Սյուզան Աթկինսը մահացել է գլխուղեղի քաղցկեղից։</v>
      </c>
    </row>
    <row r="3388">
      <c r="A3388" s="1" t="s">
        <v>6679</v>
      </c>
      <c r="B3388" s="2" t="s">
        <v>6680</v>
      </c>
      <c r="C3388" s="3" t="str">
        <f>IFERROR(__xludf.DUMMYFUNCTION("GOOGLETRANSLATE(A3388,""en"",""hy"")"),"ինչ տեսակի արժույթ է օգտագործում Բրազիլիան:")</f>
        <v>ինչ տեսակի արժույթ է օգտագործում Բրազիլիան:</v>
      </c>
      <c r="D3388" s="3" t="str">
        <f>IFERROR(__xludf.DUMMYFUNCTION("GOOGLETRANSLATE(B3388,""en"",""hy"")"),"Բրազիլիան որպես արժույթ օգտագործում է բրազիլական ռեալը։")</f>
        <v>Բրազիլիան որպես արժույթ օգտագործում է բրազիլական ռեալը։</v>
      </c>
    </row>
    <row r="3389">
      <c r="A3389" s="1" t="s">
        <v>6681</v>
      </c>
      <c r="B3389" s="2" t="s">
        <v>6682</v>
      </c>
      <c r="C3389" s="3" t="str">
        <f>IFERROR(__xludf.DUMMYFUNCTION("GOOGLETRANSLATE(A3389,""en"",""hy"")"),"Ո՞վ է խաղում Թոմի Օլիվերը փաուեր ռեյնջերներում:")</f>
        <v>Ո՞վ է խաղում Թոմի Օլիվերը փաուեր ռեյնջերներում:</v>
      </c>
      <c r="D3389" s="3" t="str">
        <f>IFERROR(__xludf.DUMMYFUNCTION("GOOGLETRANSLATE(B3389,""en"",""hy"")"),"Ջեյսոն Դեյվիդ Ֆրենկ.")</f>
        <v>Ջեյսոն Դեյվիդ Ֆրենկ.</v>
      </c>
    </row>
    <row r="3390">
      <c r="A3390" s="1" t="s">
        <v>6683</v>
      </c>
      <c r="B3390" s="2" t="s">
        <v>6684</v>
      </c>
      <c r="C3390" s="3" t="str">
        <f>IFERROR(__xludf.DUMMYFUNCTION("GOOGLETRANSLATE(A3390,""en"",""hy"")"),"Ո՞ր տարում Դուայթ Հովարդը հաղթեց սլեմ-դանկի մրցույթում:")</f>
        <v>Ո՞ր տարում Դուայթ Հովարդը հաղթեց սլեմ-դանկի մրցույթում:</v>
      </c>
      <c r="D3390" s="3" t="str">
        <f>IFERROR(__xludf.DUMMYFUNCTION("GOOGLETRANSLATE(B3390,""en"",""hy"")"),"Դուայթ Հովարդը հաղթել է Slam Dunk Contest-ում 2008 թվականին։")</f>
        <v>Դուայթ Հովարդը հաղթել է Slam Dunk Contest-ում 2008 թվականին։</v>
      </c>
    </row>
    <row r="3391">
      <c r="A3391" s="1" t="s">
        <v>6685</v>
      </c>
      <c r="B3391" s="2" t="s">
        <v>6686</v>
      </c>
      <c r="C3391" s="3" t="str">
        <f>IFERROR(__xludf.DUMMYFUNCTION("GOOGLETRANSLATE(A3391,""en"",""hy"")"),"Ո՞ր երկրից է եկել մարկո պոլո:")</f>
        <v>Ո՞ր երկրից է եկել մարկո պոլո:</v>
      </c>
      <c r="D3391" s="3" t="str">
        <f>IFERROR(__xludf.DUMMYFUNCTION("GOOGLETRANSLATE(B3391,""en"",""hy"")"),"Մարկո Պոլոն եկել է Իտալիայից։")</f>
        <v>Մարկո Պոլոն եկել է Իտալիայից։</v>
      </c>
    </row>
    <row r="3392">
      <c r="A3392" s="1" t="s">
        <v>6687</v>
      </c>
      <c r="B3392" s="2" t="s">
        <v>6688</v>
      </c>
      <c r="C3392" s="3" t="str">
        <f>IFERROR(__xludf.DUMMYFUNCTION("GOOGLETRANSLATE(A3392,""en"",""hy"")"),"ինչ էին Հիտլերի ծնողների անունները")</f>
        <v>ինչ էին Հիտլերի ծնողների անունները</v>
      </c>
      <c r="D3392" s="3" t="str">
        <f>IFERROR(__xludf.DUMMYFUNCTION("GOOGLETRANSLATE(B3392,""en"",""hy"")"),"Ալոիս Հիտլեր (հայր) և Կլարա Հիտլեր (մայր):")</f>
        <v>Ալոիս Հիտլեր (հայր) և Կլարա Հիտլեր (մայր):</v>
      </c>
    </row>
    <row r="3393">
      <c r="A3393" s="1" t="s">
        <v>6689</v>
      </c>
      <c r="B3393" s="2" t="s">
        <v>6690</v>
      </c>
      <c r="C3393" s="3" t="str">
        <f>IFERROR(__xludf.DUMMYFUNCTION("GOOGLETRANSLATE(A3393,""en"",""hy"")"),"Ե՞րբ է եղել կաթոլիկ եկեղեցու առաջին պապը:")</f>
        <v>Ե՞րբ է եղել կաթոլիկ եկեղեցու առաջին պապը:</v>
      </c>
      <c r="D3393" s="3" t="str">
        <f>IFERROR(__xludf.DUMMYFUNCTION("GOOGLETRANSLATE(B3393,""en"",""hy"")"),"Կաթոլիկ եկեղեցու առաջին պապը եղել է Սուրբ Պետրոսը, մ.թ. 1-ին դարում։")</f>
        <v>Կաթոլիկ եկեղեցու առաջին պապը եղել է Սուրբ Պետրոսը, մ.թ. 1-ին դարում։</v>
      </c>
    </row>
    <row r="3394">
      <c r="A3394" s="1" t="s">
        <v>6691</v>
      </c>
      <c r="B3394" s="2" t="s">
        <v>6692</v>
      </c>
      <c r="C3394" s="3" t="str">
        <f>IFERROR(__xludf.DUMMYFUNCTION("GOOGLETRANSLATE(A3394,""en"",""hy"")"),"ի՞նչ է ուսումնասիրել amerigo vespucci-ն:")</f>
        <v>ի՞նչ է ուսումնասիրել amerigo vespucci-ն:</v>
      </c>
      <c r="D3394" s="3" t="str">
        <f>IFERROR(__xludf.DUMMYFUNCTION("GOOGLETRANSLATE(B3394,""en"",""hy"")"),"Ամերիգո Վեսպուչին ուսումնասիրել է Հարավային Ամերիկայի ափերը:")</f>
        <v>Ամերիգո Վեսպուչին ուսումնասիրել է Հարավային Ամերիկայի ափերը:</v>
      </c>
    </row>
    <row r="3395">
      <c r="A3395" s="1" t="s">
        <v>6693</v>
      </c>
      <c r="B3395" s="2" t="s">
        <v>6694</v>
      </c>
      <c r="C3395" s="3" t="str">
        <f>IFERROR(__xludf.DUMMYFUNCTION("GOOGLETRANSLATE(A3395,""en"",""hy"")"),"ինչ արժույթ կարող եմ բերել Կուբա:")</f>
        <v>ինչ արժույթ կարող եմ բերել Կուբա:</v>
      </c>
      <c r="D3395" s="3" t="str">
        <f>IFERROR(__xludf.DUMMYFUNCTION("GOOGLETRANSLATE(B3395,""en"",""hy"")"),"Կուբայական պեսո (CUP) կամ փոխարկելի պեսո (CUC):")</f>
        <v>Կուբայական պեսո (CUP) կամ փոխարկելի պեսո (CUC):</v>
      </c>
    </row>
    <row r="3396">
      <c r="A3396" s="1" t="s">
        <v>6695</v>
      </c>
      <c r="B3396" s="2" t="s">
        <v>6696</v>
      </c>
      <c r="C3396" s="3" t="str">
        <f>IFERROR(__xludf.DUMMYFUNCTION("GOOGLETRANSLATE(A3396,""en"",""hy"")"),"որտեղ էր ապրում Պատրիկ Հենրին")</f>
        <v>որտեղ էր ապրում Պատրիկ Հենրին</v>
      </c>
      <c r="D3396" s="3" t="str">
        <f>IFERROR(__xludf.DUMMYFUNCTION("GOOGLETRANSLATE(B3396,""en"",""hy"")"),"Պատրիկ Հենրին ապրում էր Վիրջինիայում:")</f>
        <v>Պատրիկ Հենրին ապրում էր Վիրջինիայում:</v>
      </c>
    </row>
    <row r="3397">
      <c r="A3397" s="1" t="s">
        <v>6697</v>
      </c>
      <c r="B3397" s="2" t="s">
        <v>6698</v>
      </c>
      <c r="C3397" s="3" t="str">
        <f>IFERROR(__xludf.DUMMYFUNCTION("GOOGLETRANSLATE(A3397,""en"",""hy"")"),"ինչպիսի՞ կառավարություն է Մոնղոլիան:")</f>
        <v>ինչպիսի՞ կառավարություն է Մոնղոլիան:</v>
      </c>
      <c r="D3397" s="3" t="str">
        <f>IFERROR(__xludf.DUMMYFUNCTION("GOOGLETRANSLATE(B3397,""en"",""hy"")"),"Մոնղոլիան ունի խորհրդարանական հանրապետության կառավարություն։")</f>
        <v>Մոնղոլիան ունի խորհրդարանական հանրապետության կառավարություն։</v>
      </c>
    </row>
    <row r="3398">
      <c r="A3398" s="1" t="s">
        <v>6699</v>
      </c>
      <c r="B3398" s="2" t="s">
        <v>6700</v>
      </c>
      <c r="C3398" s="3" t="str">
        <f>IFERROR(__xludf.DUMMYFUNCTION("GOOGLETRANSLATE(A3398,""en"",""hy"")"),"որո՞նք են բնիկ ամերիկյան տոները:")</f>
        <v>որո՞նք են բնիկ ամերիկյան տոները:</v>
      </c>
      <c r="D3398" s="3" t="str">
        <f>IFERROR(__xludf.DUMMYFUNCTION("GOOGLETRANSLATE(B3398,""en"",""hy"")"),"Բնիկ ամերիկացիների որոշ տոներ ներառում են բնիկ ամերիկացիների օրը, ամերիկյան հնդկացիների ժառանգության օրը և բնիկ ժողովուրդների օրը:")</f>
        <v>Բնիկ ամերիկացիների որոշ տոներ ներառում են բնիկ ամերիկացիների օրը, ամերիկյան հնդկացիների ժառանգության օրը և բնիկ ժողովուրդների օրը:</v>
      </c>
    </row>
    <row r="3399">
      <c r="A3399" s="1" t="s">
        <v>6701</v>
      </c>
      <c r="B3399" s="2" t="s">
        <v>6702</v>
      </c>
      <c r="C3399" s="3" t="str">
        <f>IFERROR(__xludf.DUMMYFUNCTION("GOOGLETRANSLATE(A3399,""en"",""hy"")"),"որտեղ է մահացել Ջեսսի Ջեյմսը")</f>
        <v>որտեղ է մահացել Ջեսսի Ջեյմսը</v>
      </c>
      <c r="D3399" s="3" t="str">
        <f>IFERROR(__xludf.DUMMYFUNCTION("GOOGLETRANSLATE(B3399,""en"",""hy"")"),"Ջեսսի Ջեյմսը մահացել է ԱՄՆ Միսսուրի նահանգի Սենտ Ջոզեֆ քաղաքում:")</f>
        <v>Ջեսսի Ջեյմսը մահացել է ԱՄՆ Միսսուրի նահանգի Սենտ Ջոզեֆ քաղաքում:</v>
      </c>
    </row>
    <row r="3400">
      <c r="A3400" s="1" t="s">
        <v>6703</v>
      </c>
      <c r="B3400" s="2" t="s">
        <v>6704</v>
      </c>
      <c r="C3400" s="3" t="str">
        <f>IFERROR(__xludf.DUMMYFUNCTION("GOOGLETRANSLATE(A3400,""en"",""hy"")"),"Ո՞ր մայրցամաքում է գտնվում Իսպանիան:")</f>
        <v>Ո՞ր մայրցամաքում է գտնվում Իսպանիան:</v>
      </c>
      <c r="D3400" s="3" t="str">
        <f>IFERROR(__xludf.DUMMYFUNCTION("GOOGLETRANSLATE(B3400,""en"",""hy"")"),"Իսպանիան գտնվում է Եվրոպայում։")</f>
        <v>Իսպանիան գտնվում է Եվրոպայում։</v>
      </c>
    </row>
    <row r="3401">
      <c r="A3401" s="1" t="s">
        <v>6705</v>
      </c>
      <c r="B3401" s="2" t="s">
        <v>6706</v>
      </c>
      <c r="C3401" s="3" t="str">
        <f>IFERROR(__xludf.DUMMYFUNCTION("GOOGLETRANSLATE(A3401,""en"",""hy"")"),"Ֆիլիպինները կառավարման ո՞ր ձևն են:")</f>
        <v>Ֆիլիպինները կառավարման ո՞ր ձևն են:</v>
      </c>
      <c r="D3401" s="3" t="str">
        <f>IFERROR(__xludf.DUMMYFUNCTION("GOOGLETRANSLATE(B3401,""en"",""hy"")"),"Ֆիլիպիններում կառավարման ձևը նախագահական հանրապետություն է։")</f>
        <v>Ֆիլիպիններում կառավարման ձևը նախագահական հանրապետություն է։</v>
      </c>
    </row>
    <row r="3402">
      <c r="A3402" s="1" t="s">
        <v>6707</v>
      </c>
      <c r="B3402" s="2" t="s">
        <v>673</v>
      </c>
      <c r="C3402" s="3" t="str">
        <f>IFERROR(__xludf.DUMMYFUNCTION("GOOGLETRANSLATE(A3402,""en"",""hy"")"),"ով է խաղում stewie griffin ընտանիքի տղայի վրա:")</f>
        <v>ով է խաղում stewie griffin ընտանիքի տղայի վրա:</v>
      </c>
      <c r="D3402" s="3" t="str">
        <f>IFERROR(__xludf.DUMMYFUNCTION("GOOGLETRANSLATE(B3402,""en"",""hy"")"),"Սեթ ՄակՖարլեյն.")</f>
        <v>Սեթ ՄակՖարլեյն.</v>
      </c>
    </row>
    <row r="3403">
      <c r="A3403" s="1" t="s">
        <v>6708</v>
      </c>
      <c r="B3403" s="2" t="s">
        <v>6709</v>
      </c>
      <c r="C3403" s="3" t="str">
        <f>IFERROR(__xludf.DUMMYFUNCTION("GOOGLETRANSLATE(A3403,""en"",""hy"")"),"որո՞նք են Կանադայի երկու հիմնական կրոնները:")</f>
        <v>որո՞նք են Կանադայի երկու հիմնական կրոնները:</v>
      </c>
      <c r="D3403" s="3" t="str">
        <f>IFERROR(__xludf.DUMMYFUNCTION("GOOGLETRANSLATE(B3403,""en"",""hy"")"),"Քրիստոնեություն և իսլամ.")</f>
        <v>Քրիստոնեություն և իսլամ.</v>
      </c>
    </row>
    <row r="3404">
      <c r="A3404" s="1" t="s">
        <v>6710</v>
      </c>
      <c r="B3404" s="2" t="s">
        <v>3148</v>
      </c>
      <c r="C3404" s="3" t="str">
        <f>IFERROR(__xludf.DUMMYFUNCTION("GOOGLETRANSLATE(A3404,""en"",""hy"")"),"ինչպիսի՞ կառավարություն ունեն կանադացիները։")</f>
        <v>ինչպիսի՞ կառավարություն ունեն կանադացիները։</v>
      </c>
      <c r="D3404" s="3" t="str">
        <f>IFERROR(__xludf.DUMMYFUNCTION("GOOGLETRANSLATE(B3404,""en"",""hy"")"),"Կանադան ունի խորհրդարանական ժողովրդավարություն և սահմանադրական միապետություն:")</f>
        <v>Կանադան ունի խորհրդարանական ժողովրդավարություն և սահմանադրական միապետություն:</v>
      </c>
    </row>
    <row r="3405">
      <c r="A3405" s="1" t="s">
        <v>6711</v>
      </c>
      <c r="B3405" s="2" t="s">
        <v>6712</v>
      </c>
      <c r="C3405" s="3" t="str">
        <f>IFERROR(__xludf.DUMMYFUNCTION("GOOGLETRANSLATE(A3405,""en"",""hy"")"),"ի՞նչ պատահեց սըր Թոմաս Կրոմվելին։")</f>
        <v>ի՞նչ պատահեց սըր Թոմաս Կրոմվելին։</v>
      </c>
      <c r="D3405" s="3" t="str">
        <f>IFERROR(__xludf.DUMMYFUNCTION("GOOGLETRANSLATE(B3405,""en"",""hy"")"),"Սըր Թոմաս Կրոմվելը մահապատժի է ենթարկվել դավաճանության համար 1540 թվականին։")</f>
        <v>Սըր Թոմաս Կրոմվելը մահապատժի է ենթարկվել դավաճանության համար 1540 թվականին։</v>
      </c>
    </row>
    <row r="3406">
      <c r="A3406" s="1" t="s">
        <v>6713</v>
      </c>
      <c r="B3406" s="2" t="s">
        <v>6714</v>
      </c>
      <c r="C3406" s="3" t="str">
        <f>IFERROR(__xludf.DUMMYFUNCTION("GOOGLETRANSLATE(A3406,""en"",""hy"")"),"ինչ սնունդ է Չինաստանից")</f>
        <v>ինչ սնունդ է Չինաստանից</v>
      </c>
      <c r="D3406" s="3" t="str">
        <f>IFERROR(__xludf.DUMMYFUNCTION("GOOGLETRANSLATE(B3406,""en"",""hy"")"),"Չինաստանից որոշ հայտնի ուտելիքներ ներառում են պելմենին, արիշտա, բրինձ, տապակած ուտեստներ և պեկինյան բադ:")</f>
        <v>Չինաստանից որոշ հայտնի ուտելիքներ ներառում են պելմենին, արիշտա, բրինձ, տապակած ուտեստներ և պեկինյան բադ:</v>
      </c>
    </row>
    <row r="3407">
      <c r="A3407" s="1" t="s">
        <v>6715</v>
      </c>
      <c r="B3407" s="2" t="s">
        <v>673</v>
      </c>
      <c r="C3407" s="3" t="str">
        <f>IFERROR(__xludf.DUMMYFUNCTION("GOOGLETRANSLATE(A3407,""en"",""hy"")"),"ով է նվագում stewie griffin-ի ձայնը:")</f>
        <v>ով է նվագում stewie griffin-ի ձայնը:</v>
      </c>
      <c r="D3407" s="3" t="str">
        <f>IFERROR(__xludf.DUMMYFUNCTION("GOOGLETRANSLATE(B3407,""en"",""hy"")"),"Սեթ ՄակՖարլեյն.")</f>
        <v>Սեթ ՄակՖարլեյն.</v>
      </c>
    </row>
    <row r="3408">
      <c r="A3408" s="1" t="s">
        <v>6716</v>
      </c>
      <c r="B3408" s="2" t="s">
        <v>6717</v>
      </c>
      <c r="C3408" s="3" t="str">
        <f>IFERROR(__xludf.DUMMYFUNCTION("GOOGLETRANSLATE(A3408,""en"",""hy"")"),"ու՞մ է ծեծել բաթլերը երեկ երեկոյան.")</f>
        <v>ու՞մ է ծեծել բաթլերը երեկ երեկոյան.</v>
      </c>
      <c r="D3408" s="3" t="str">
        <f>IFERROR(__xludf.DUMMYFUNCTION("GOOGLETRANSLATE(B3408,""en"",""hy"")"),"Ցավում եմ, ես ի վիճակի չեմ իրական ժամանակում տեղեկատվություն տրամադրել:")</f>
        <v>Ցավում եմ, ես ի վիճակի չեմ իրական ժամանակում տեղեկատվություն տրամադրել:</v>
      </c>
    </row>
    <row r="3409">
      <c r="A3409" s="1" t="s">
        <v>6718</v>
      </c>
      <c r="B3409" s="2" t="s">
        <v>6719</v>
      </c>
      <c r="C3409" s="3" t="str">
        <f>IFERROR(__xludf.DUMMYFUNCTION("GOOGLETRANSLATE(A3409,""en"",""hy"")"),"ինչպես են կոչվում Պերուի լեռները:")</f>
        <v>ինչպես են կոչվում Պերուի լեռները:</v>
      </c>
      <c r="D3409" s="3" t="str">
        <f>IFERROR(__xludf.DUMMYFUNCTION("GOOGLETRANSLATE(B3409,""en"",""hy"")"),"Պերուի լեռները կոչվում են Անդեր:")</f>
        <v>Պերուի լեռները կոչվում են Անդեր:</v>
      </c>
    </row>
    <row r="3410">
      <c r="A3410" s="1" t="s">
        <v>6720</v>
      </c>
      <c r="B3410" s="2" t="s">
        <v>6721</v>
      </c>
      <c r="C3410" s="3" t="str">
        <f>IFERROR(__xludf.DUMMYFUNCTION("GOOGLETRANSLATE(A3410,""en"",""hy"")"),"Ո՞ր Քարդաշյաններն են երեխաներ ունենում.")</f>
        <v>Ո՞ր Քարդաշյաններն են երեխաներ ունենում.</v>
      </c>
      <c r="D3410" s="3" t="str">
        <f>IFERROR(__xludf.DUMMYFUNCTION("GOOGLETRANSLATE(B3410,""en"",""hy"")"),"Այս պահի դրությամբ հաստատվել է, որ Քլոե Քարդաշյանն ու Քայլի Ջենները երեխայի են սպասում։")</f>
        <v>Այս պահի դրությամբ հաստատվել է, որ Քլոե Քարդաշյանն ու Քայլի Ջենները երեխայի են սպասում։</v>
      </c>
    </row>
    <row r="3411">
      <c r="A3411" s="1" t="s">
        <v>6722</v>
      </c>
      <c r="B3411" s="2" t="s">
        <v>6723</v>
      </c>
      <c r="C3411" s="3" t="str">
        <f>IFERROR(__xludf.DUMMYFUNCTION("GOOGLETRANSLATE(A3411,""en"",""hy"")"),"ինչից է բաղկացած Հարավային Ամերիկան")</f>
        <v>ինչից է բաղկացած Հարավային Ամերիկան</v>
      </c>
      <c r="D3411" s="3" t="str">
        <f>IFERROR(__xludf.DUMMYFUNCTION("GOOGLETRANSLATE(B3411,""en"",""hy"")"),"Հարավային Ամերիկան ​​բաղկացած է 12 երկրներից։")</f>
        <v>Հարավային Ամերիկան ​​բաղկացած է 12 երկրներից։</v>
      </c>
    </row>
    <row r="3412">
      <c r="A3412" s="1" t="s">
        <v>6724</v>
      </c>
      <c r="B3412" s="2" t="s">
        <v>6725</v>
      </c>
      <c r="C3412" s="3" t="str">
        <f>IFERROR(__xludf.DUMMYFUNCTION("GOOGLETRANSLATE(A3412,""en"",""hy"")"),"Ո՞ր թիմում է խաղում plaxico Burress-ը:")</f>
        <v>Ո՞ր թիմում է խաղում plaxico Burress-ը:</v>
      </c>
      <c r="D3412" s="3" t="str">
        <f>IFERROR(__xludf.DUMMYFUNCTION("GOOGLETRANSLATE(B3412,""en"",""hy"")"),"Plaxico Burress-ը NFL-ի պաշտոնաթող խաղացող է:")</f>
        <v>Plaxico Burress-ը NFL-ի պաշտոնաթող խաղացող է:</v>
      </c>
    </row>
    <row r="3413">
      <c r="A3413" s="1" t="s">
        <v>6726</v>
      </c>
      <c r="B3413" s="2" t="s">
        <v>6727</v>
      </c>
      <c r="C3413" s="3" t="str">
        <f>IFERROR(__xludf.DUMMYFUNCTION("GOOGLETRANSLATE(A3413,""en"",""hy"")"),"որտեղ է աշխարհում խոսում անգլերենը:")</f>
        <v>որտեղ է աշխարհում խոսում անգլերենը:</v>
      </c>
      <c r="D3413" s="3" t="str">
        <f>IFERROR(__xludf.DUMMYFUNCTION("GOOGLETRANSLATE(B3413,""en"",""hy"")"),"Անգլերենը խոսում են աշխարհի շատ երկրներում, այդ թվում՝ Միացյալ Նահանգներում, Միացյալ Թագավորությունում, Կանադայում, Ավստրալիայում, Նոր Զելանդիայում և շատ այլ երկրներում:")</f>
        <v>Անգլերենը խոսում են աշխարհի շատ երկրներում, այդ թվում՝ Միացյալ Նահանգներում, Միացյալ Թագավորությունում, Կանադայում, Ավստրալիայում, Նոր Զելանդիայում և շատ այլ երկրներում:</v>
      </c>
    </row>
    <row r="3414">
      <c r="A3414" s="1" t="s">
        <v>6728</v>
      </c>
      <c r="B3414" s="2" t="s">
        <v>6729</v>
      </c>
      <c r="C3414" s="3" t="str">
        <f>IFERROR(__xludf.DUMMYFUNCTION("GOOGLETRANSLATE(A3414,""en"",""hy"")"),"որտեղից է Վիկտորիա Բեքհեմը")</f>
        <v>որտեղից է Վիկտորիա Բեքհեմը</v>
      </c>
      <c r="D3414" s="3" t="str">
        <f>IFERROR(__xludf.DUMMYFUNCTION("GOOGLETRANSLATE(B3414,""en"",""hy"")"),"Վիկտորյա Բեքհեմը Միացյալ Թագավորությունից է:")</f>
        <v>Վիկտորյա Բեքհեմը Միացյալ Թագավորությունից է:</v>
      </c>
    </row>
    <row r="3415">
      <c r="A3415" s="1" t="s">
        <v>6730</v>
      </c>
      <c r="B3415" s="2" t="s">
        <v>6731</v>
      </c>
      <c r="C3415" s="3" t="str">
        <f>IFERROR(__xludf.DUMMYFUNCTION("GOOGLETRANSLATE(A3415,""en"",""hy"")"),"ինչ պաշտոն է զբաղեցնում Փոլ Ռայանը")</f>
        <v>ինչ պաշտոն է զբաղեցնում Փոլ Ռայանը</v>
      </c>
      <c r="D3415" s="3" t="str">
        <f>IFERROR(__xludf.DUMMYFUNCTION("GOOGLETRANSLATE(B3415,""en"",""hy"")"),"Փոլ Ռայանը եղել է Միացյալ Նահանգների Ներկայացուցիչների պալատի 54-րդ նախագահը։")</f>
        <v>Փոլ Ռայանը եղել է Միացյալ Նահանգների Ներկայացուցիչների պալատի 54-րդ նախագահը։</v>
      </c>
    </row>
    <row r="3416">
      <c r="A3416" s="1" t="s">
        <v>6732</v>
      </c>
      <c r="B3416" s="2" t="s">
        <v>6733</v>
      </c>
      <c r="C3416" s="3" t="str">
        <f>IFERROR(__xludf.DUMMYFUNCTION("GOOGLETRANSLATE(A3416,""en"",""hy"")"),"ինչպիսի՞ կառավարություն ունի Ֆիջին 2010 թ.")</f>
        <v>ինչպիսի՞ կառավարություն ունի Ֆիջին 2010 թ.</v>
      </c>
      <c r="D3416" s="3" t="str">
        <f>IFERROR(__xludf.DUMMYFUNCTION("GOOGLETRANSLATE(B3416,""en"",""hy"")"),"Ֆիջին ունի ժողովրդավարական կառավարություն։")</f>
        <v>Ֆիջին ունի ժողովրդավարական կառավարություն։</v>
      </c>
    </row>
    <row r="3417">
      <c r="A3417" s="1" t="s">
        <v>6734</v>
      </c>
      <c r="B3417" s="2" t="s">
        <v>6735</v>
      </c>
      <c r="C3417" s="3" t="str">
        <f>IFERROR(__xludf.DUMMYFUNCTION("GOOGLETRANSLATE(A3417,""en"",""hy"")"),"ո՞ր երկրում է գտնվում Պիրենեյան թերակղզին:")</f>
        <v>ո՞ր երկրում է գտնվում Պիրենեյան թերակղզին:</v>
      </c>
      <c r="D3417" s="3" t="str">
        <f>IFERROR(__xludf.DUMMYFUNCTION("GOOGLETRANSLATE(B3417,""en"",""hy"")"),"Պիրենեյան թերակղզին գտնվում է Իսպանիայում և Պորտուգալիայում։")</f>
        <v>Պիրենեյան թերակղզին գտնվում է Իսպանիայում և Պորտուգալիայում։</v>
      </c>
    </row>
    <row r="3418">
      <c r="A3418" s="1" t="s">
        <v>6736</v>
      </c>
      <c r="B3418" s="2" t="s">
        <v>6737</v>
      </c>
      <c r="C3418" s="3" t="str">
        <f>IFERROR(__xludf.DUMMYFUNCTION("GOOGLETRANSLATE(A3418,""en"",""hy"")"),"ով է Դանիելը Աստվածաշնչում:")</f>
        <v>ով է Դանիելը Աստվածաշնչում:</v>
      </c>
      <c r="D3418" s="3" t="str">
        <f>IFERROR(__xludf.DUMMYFUNCTION("GOOGLETRANSLATE(B3418,""en"",""hy"")"),"Դանիելը մարգարե է Աստվածաշնչում:")</f>
        <v>Դանիելը մարգարե է Աստվածաշնչում:</v>
      </c>
    </row>
    <row r="3419">
      <c r="A3419" s="1" t="s">
        <v>6738</v>
      </c>
      <c r="B3419" s="2" t="s">
        <v>6739</v>
      </c>
      <c r="C3419" s="3" t="str">
        <f>IFERROR(__xludf.DUMMYFUNCTION("GOOGLETRANSLATE(A3419,""en"",""hy"")"),"ով խաղաց Մարտի Մաքֆլայի հայրը:")</f>
        <v>ով խաղաց Մարտի Մաքֆլայի հայրը:</v>
      </c>
      <c r="D3419" s="3" t="str">
        <f>IFERROR(__xludf.DUMMYFUNCTION("GOOGLETRANSLATE(B3419,""en"",""hy"")"),"Քրիսպին Գլովեր")</f>
        <v>Քրիսպին Գլովեր</v>
      </c>
    </row>
    <row r="3420">
      <c r="A3420" s="1" t="s">
        <v>6740</v>
      </c>
      <c r="B3420" s="2" t="s">
        <v>6741</v>
      </c>
      <c r="C3420" s="3" t="str">
        <f>IFERROR(__xludf.DUMMYFUNCTION("GOOGLETRANSLATE(A3420,""en"",""hy"")"),"ո՞րն է Ջորջ Վաշինգթոնի ժառանգությունը:")</f>
        <v>ո՞րն է Ջորջ Վաշինգթոնի ժառանգությունը:</v>
      </c>
      <c r="D3420" s="3" t="str">
        <f>IFERROR(__xludf.DUMMYFUNCTION("GOOGLETRANSLATE(B3420,""en"",""hy"")"),"Ջորջ Վաշինգտոնի ժառանգությունը ներառում է նրա առաջնորդությունը որպես Միացյալ Նահանգների առաջին նախագահ, նրա առանցքային դերը ամերիկյան հեղափոխական պատերազմում և ժողովրդավարական արժեքները պաշտպանելու իր հանձնառությունը:")</f>
        <v>Ջորջ Վաշինգտոնի ժառանգությունը ներառում է նրա առաջնորդությունը որպես Միացյալ Նահանգների առաջին նախագահ, նրա առանցքային դերը ամերիկյան հեղափոխական պատերազմում և ժողովրդավարական արժեքները պաշտպանելու իր հանձնառությունը:</v>
      </c>
    </row>
    <row r="3421">
      <c r="A3421" s="1" t="s">
        <v>6742</v>
      </c>
      <c r="B3421" s="2" t="s">
        <v>6743</v>
      </c>
      <c r="C3421" s="3" t="str">
        <f>IFERROR(__xludf.DUMMYFUNCTION("GOOGLETRANSLATE(A3421,""en"",""hy"")"),"որտեղ մնալ Բերմուդյան կղզիներում Tripadvisor?")</f>
        <v>որտեղ մնալ Բերմուդյան կղզիներում Tripadvisor?</v>
      </c>
      <c r="D3421" s="3" t="str">
        <f>IFERROR(__xludf.DUMMYFUNCTION("GOOGLETRANSLATE(B3421,""en"",""hy"")"),"Բերմուդյան կղզիներում մնալու վայրերի վերաբերյալ առաջարկություններ կարող եք գտնել TripAdvisor-ում:")</f>
        <v>Բերմուդյան կղզիներում մնալու վայրերի վերաբերյալ առաջարկություններ կարող եք գտնել TripAdvisor-ում:</v>
      </c>
    </row>
    <row r="3422">
      <c r="A3422" s="1" t="s">
        <v>6744</v>
      </c>
      <c r="B3422" s="2" t="s">
        <v>6745</v>
      </c>
      <c r="C3422" s="3" t="str">
        <f>IFERROR(__xludf.DUMMYFUNCTION("GOOGLETRANSLATE(A3422,""en"",""hy"")"),"Ո՞ր օդանավակայանն է ամենամոտ Բարսելոնա նավահանգիստը:")</f>
        <v>Ո՞ր օդանավակայանն է ամենամոտ Բարսելոնա նավահանգիստը:</v>
      </c>
      <c r="D3422" s="3" t="str">
        <f>IFERROR(__xludf.DUMMYFUNCTION("GOOGLETRANSLATE(B3422,""en"",""hy"")"),"Էլ Պրատ օդանավակայանը Բարսելոնայի նավահանգստին ամենամոտ օդանավակայանն է:")</f>
        <v>Էլ Պրատ օդանավակայանը Բարսելոնայի նավահանգստին ամենամոտ օդանավակայանն է:</v>
      </c>
    </row>
    <row r="3423">
      <c r="A3423" s="1" t="s">
        <v>6746</v>
      </c>
      <c r="B3423" s="2" t="s">
        <v>6747</v>
      </c>
      <c r="C3423" s="3" t="str">
        <f>IFERROR(__xludf.DUMMYFUNCTION("GOOGLETRANSLATE(A3423,""en"",""hy"")"),"ով է Ջոջո Սիմոնսի մայրը")</f>
        <v>ով է Ջոջո Սիմոնսի մայրը</v>
      </c>
      <c r="D3423" s="3" t="str">
        <f>IFERROR(__xludf.DUMMYFUNCTION("GOOGLETRANSLATE(B3423,""en"",""hy"")"),"Ջոջո Սիմոնսի մայրը Ջասթին Սիմոնսն է։")</f>
        <v>Ջոջո Սիմոնսի մայրը Ջասթին Սիմոնսն է։</v>
      </c>
    </row>
    <row r="3424">
      <c r="A3424" s="1" t="s">
        <v>6748</v>
      </c>
      <c r="B3424" s="2" t="s">
        <v>6749</v>
      </c>
      <c r="C3424" s="3" t="str">
        <f>IFERROR(__xludf.DUMMYFUNCTION("GOOGLETRANSLATE(A3424,""en"",""hy"")"),"որտեղ են աճում բալի ծառերը Միացյալ Նահանգներում:")</f>
        <v>որտեղ են աճում բալի ծառերը Միացյալ Նահանգներում:</v>
      </c>
      <c r="D3424" s="3" t="str">
        <f>IFERROR(__xludf.DUMMYFUNCTION("GOOGLETRANSLATE(B3424,""en"",""hy"")"),"Բալի ծառերը աճում են Միացյալ Նահանգների տարբեր շրջաններում, ներառյալ Խաղաղ օվկիանոսի հյուսիս-արևմուտքում, միջին արևմուտքում և հյուսիս-արևելքում:")</f>
        <v>Բալի ծառերը աճում են Միացյալ Նահանգների տարբեր շրջաններում, ներառյալ Խաղաղ օվկիանոսի հյուսիս-արևմուտքում, միջին արևմուտքում և հյուսիս-արևելքում:</v>
      </c>
    </row>
    <row r="3425">
      <c r="A3425" s="1" t="s">
        <v>6750</v>
      </c>
      <c r="B3425" s="2" t="s">
        <v>3987</v>
      </c>
      <c r="C3425" s="3" t="str">
        <f>IFERROR(__xludf.DUMMYFUNCTION("GOOGLETRANSLATE(A3425,""en"",""hy"")"),"ո՞վ է Ջոն Քոննորի դերը տերմինատորի փրկության մեջ:")</f>
        <v>ո՞վ է Ջոն Քոննորի դերը տերմինատորի փրկության մեջ:</v>
      </c>
      <c r="D3425" s="3" t="str">
        <f>IFERROR(__xludf.DUMMYFUNCTION("GOOGLETRANSLATE(B3425,""en"",""hy"")"),"Քրիստիան Բեյլ.")</f>
        <v>Քրիստիան Բեյլ.</v>
      </c>
    </row>
    <row r="3426">
      <c r="A3426" s="1" t="s">
        <v>6751</v>
      </c>
      <c r="B3426" s="2" t="s">
        <v>6752</v>
      </c>
      <c r="C3426" s="3" t="str">
        <f>IFERROR(__xludf.DUMMYFUNCTION("GOOGLETRANSLATE(A3426,""en"",""hy"")"),"ո՞ր տարում Դագ Ուիլյամսը հաղթեց սուպեր գավաթը:")</f>
        <v>ո՞ր տարում Դագ Ուիլյամսը հաղթեց սուպեր գավաթը:</v>
      </c>
      <c r="D3426" s="3" t="str">
        <f>IFERROR(__xludf.DUMMYFUNCTION("GOOGLETRANSLATE(B3426,""en"",""hy"")"),"Դագ Ուիլյամսը հաղթել է Super Bowl-ը 1988 թվականին։")</f>
        <v>Դագ Ուիլյամսը հաղթել է Super Bowl-ը 1988 թվականին։</v>
      </c>
    </row>
    <row r="3427">
      <c r="A3427" s="1" t="s">
        <v>6753</v>
      </c>
      <c r="B3427" s="2" t="s">
        <v>6754</v>
      </c>
      <c r="C3427" s="3" t="str">
        <f>IFERROR(__xludf.DUMMYFUNCTION("GOOGLETRANSLATE(A3427,""en"",""hy"")"),"Ո՞ր երկրում է սպանվել Ուսամա բեն Լադենը.")</f>
        <v>Ո՞ր երկրում է սպանվել Ուսամա բեն Լադենը.</v>
      </c>
      <c r="D3427" s="3" t="str">
        <f>IFERROR(__xludf.DUMMYFUNCTION("GOOGLETRANSLATE(B3427,""en"",""hy"")"),"Պակիստան.")</f>
        <v>Պակիստան.</v>
      </c>
    </row>
    <row r="3428">
      <c r="A3428" s="1" t="s">
        <v>6755</v>
      </c>
      <c r="B3428" s="2" t="s">
        <v>6756</v>
      </c>
      <c r="C3428" s="3" t="str">
        <f>IFERROR(__xludf.DUMMYFUNCTION("GOOGLETRANSLATE(A3428,""en"",""hy"")"),"որտե՞ղ է գնացել Ջեյմս խոհարարը իր ճանապարհորդություններին:")</f>
        <v>որտե՞ղ է գնացել Ջեյմս խոհարարը իր ճանապարհորդություններին:</v>
      </c>
      <c r="D3428" s="3" t="str">
        <f>IFERROR(__xludf.DUMMYFUNCTION("GOOGLETRANSLATE(B3428,""en"",""hy"")"),"Ջեյմս Կուկը ճամփորդությունների է գնացել տարբեր վայրեր, այդ թվում՝ Խաղաղ օվկիանոս, Ավստրալիա, Նոր Զելանդիա և Հավայան կղզիներ։")</f>
        <v>Ջեյմս Կուկը ճամփորդությունների է գնացել տարբեր վայրեր, այդ թվում՝ Խաղաղ օվկիանոս, Ավստրալիա, Նոր Զելանդիա և Հավայան կղզիներ։</v>
      </c>
    </row>
    <row r="3429">
      <c r="A3429" s="1" t="s">
        <v>6757</v>
      </c>
      <c r="B3429" s="2" t="s">
        <v>6758</v>
      </c>
      <c r="C3429" s="3" t="str">
        <f>IFERROR(__xludf.DUMMYFUNCTION("GOOGLETRANSLATE(A3429,""en"",""hy"")"),"ով հաղթեց Միչիգանի նահանգապետի ընտրություններում:")</f>
        <v>ով հաղթեց Միչիգանի նահանգապետի ընտրություններում:</v>
      </c>
      <c r="D3429" s="3" t="str">
        <f>IFERROR(__xludf.DUMMYFUNCTION("GOOGLETRANSLATE(B3429,""en"",""hy"")"),"Ձեր հարցի պատասխանը կախված է կոնկրետ ընտրություններից, որոնց նկատի ունեք: Խնդրում ենք տրամադրել լրացուցիչ տեղեկություններ:")</f>
        <v>Ձեր հարցի պատասխանը կախված է կոնկրետ ընտրություններից, որոնց նկատի ունեք: Խնդրում ենք տրամադրել լրացուցիչ տեղեկություններ:</v>
      </c>
    </row>
    <row r="3430">
      <c r="A3430" s="1" t="s">
        <v>6759</v>
      </c>
      <c r="B3430" s="2" t="s">
        <v>6760</v>
      </c>
      <c r="C3430" s="3" t="str">
        <f>IFERROR(__xludf.DUMMYFUNCTION("GOOGLETRANSLATE(A3430,""en"",""hy"")"),"որտե՞ղ են ամուսնացել Հայդի Կլումն ու Սեյլը:")</f>
        <v>որտե՞ղ են ամուսնացել Հայդի Կլումն ու Սեյլը:</v>
      </c>
      <c r="D3430" s="3" t="str">
        <f>IFERROR(__xludf.DUMMYFUNCTION("GOOGLETRANSLATE(B3430,""en"",""hy"")"),"Հայդի Քլումն ու Սիլն ամուսնացել են Մեքսիկայում։")</f>
        <v>Հայդի Քլումն ու Սիլն ամուսնացել են Մեքսիկայում։</v>
      </c>
    </row>
    <row r="3431">
      <c r="A3431" s="1" t="s">
        <v>6761</v>
      </c>
      <c r="B3431" s="2" t="s">
        <v>6762</v>
      </c>
      <c r="C3431" s="3" t="str">
        <f>IFERROR(__xludf.DUMMYFUNCTION("GOOGLETRANSLATE(A3431,""en"",""hy"")"),"ինչպիսի՞ փորձեր է արել Համֆրի Դեյվին:")</f>
        <v>ինչպիսի՞ փորձեր է արել Համֆրի Դեյվին:</v>
      </c>
      <c r="D3431" s="3" t="str">
        <f>IFERROR(__xludf.DUMMYFUNCTION("GOOGLETRANSLATE(B3431,""en"",""hy"")"),"Համֆրի Դեյվին տարբեր փորձեր է անցկացրել գազերի և էլեկտրական հաղորդունակության վերաբերյալ։")</f>
        <v>Համֆրի Դեյվին տարբեր փորձեր է անցկացրել գազերի և էլեկտրական հաղորդունակության վերաբերյալ։</v>
      </c>
    </row>
    <row r="3432">
      <c r="A3432" s="1" t="s">
        <v>6763</v>
      </c>
      <c r="B3432" s="2" t="s">
        <v>6764</v>
      </c>
      <c r="C3432" s="3" t="str">
        <f>IFERROR(__xludf.DUMMYFUNCTION("GOOGLETRANSLATE(A3432,""en"",""hy"")"),"ով է ստեղծել չինական կոմունիստական ​​կուսակցությունը:")</f>
        <v>ով է ստեղծել չինական կոմունիստական ​​կուսակցությունը:</v>
      </c>
      <c r="D3432" s="3" t="str">
        <f>IFERROR(__xludf.DUMMYFUNCTION("GOOGLETRANSLATE(B3432,""en"",""hy"")"),"Չինաստանի կոմունիստական ​​կուսակցությունը ստեղծվել է Չեն Դյուսիուի և Լի Դաժաոյի կողմից:")</f>
        <v>Չինաստանի կոմունիստական ​​կուսակցությունը ստեղծվել է Չեն Դյուսիուի և Լի Դաժաոյի կողմից:</v>
      </c>
    </row>
    <row r="3433">
      <c r="A3433" s="1" t="s">
        <v>6765</v>
      </c>
      <c r="B3433" s="2" t="s">
        <v>6766</v>
      </c>
      <c r="C3433" s="3" t="str">
        <f>IFERROR(__xludf.DUMMYFUNCTION("GOOGLETRANSLATE(A3433,""en"",""hy"")"),"Ո՞ր ժամային գոտում է գտնվում Նոր Անգլիան ԱՄՆ-ը:")</f>
        <v>Ո՞ր ժամային գոտում է գտնվում Նոր Անգլիան ԱՄՆ-ը:</v>
      </c>
      <c r="D3433" s="3" t="str">
        <f>IFERROR(__xludf.DUMMYFUNCTION("GOOGLETRANSLATE(B3433,""en"",""hy"")"),"Նոր Անգլիա ԱՄՆ-ը գտնվում է Արևելյան ժամային գոտում:")</f>
        <v>Նոր Անգլիա ԱՄՆ-ը գտնվում է Արևելյան ժամային գոտում:</v>
      </c>
    </row>
    <row r="3434">
      <c r="A3434" s="1" t="s">
        <v>6767</v>
      </c>
      <c r="B3434" s="2" t="s">
        <v>6768</v>
      </c>
      <c r="C3434" s="3" t="str">
        <f>IFERROR(__xludf.DUMMYFUNCTION("GOOGLETRANSLATE(A3434,""en"",""hy"")"),"ինչ եղավ rev. Ռոբերտ Շալլե՞րը")</f>
        <v>ինչ եղավ rev. Ռոբերտ Շալլե՞րը</v>
      </c>
      <c r="D3434" s="3" t="str">
        <f>IFERROR(__xludf.DUMMYFUNCTION("GOOGLETRANSLATE(B3434,""en"",""hy"")"),"Վերապատվելի Ռոբերտ Շուլլերը մահացել է 2015 թվականի ապրիլի 2-ին։")</f>
        <v>Վերապատվելի Ռոբերտ Շուլլերը մահացել է 2015 թվականի ապրիլի 2-ին։</v>
      </c>
    </row>
    <row r="3435">
      <c r="A3435" s="1" t="s">
        <v>6769</v>
      </c>
      <c r="B3435" s="2" t="s">
        <v>6770</v>
      </c>
      <c r="C3435" s="3" t="str">
        <f>IFERROR(__xludf.DUMMYFUNCTION("GOOGLETRANSLATE(A3435,""en"",""hy"")"),"ով է խաղում Մեգի ձայնը ընտանեկան տղայի մեջ:")</f>
        <v>ով է խաղում Մեգի ձայնը ընտանեկան տղայի մեջ:</v>
      </c>
      <c r="D3435" s="3" t="str">
        <f>IFERROR(__xludf.DUMMYFUNCTION("GOOGLETRANSLATE(B3435,""en"",""hy"")"),"Միլա Կունիս.")</f>
        <v>Միլա Կունիս.</v>
      </c>
    </row>
    <row r="3436">
      <c r="A3436" s="1" t="s">
        <v>6771</v>
      </c>
      <c r="B3436" s="2" t="s">
        <v>6772</v>
      </c>
      <c r="C3436" s="3" t="str">
        <f>IFERROR(__xludf.DUMMYFUNCTION("GOOGLETRANSLATE(A3436,""en"",""hy"")"),"ինչ կարող եք այցելել Լոնդոնում:")</f>
        <v>ինչ կարող եք այցելել Լոնդոնում:</v>
      </c>
      <c r="D3436" s="3" t="str">
        <f>IFERROR(__xludf.DUMMYFUNCTION("GOOGLETRANSLATE(B3436,""en"",""hy"")"),"Լոնդոնում կարող եք այցելել հայտնի տեսարժան վայրեր, ինչպիսիք են Լոնդոնի աշտարակը, Բուքինգհեմյան պալատը, Բրիտանական թանգարանը և խորհրդարանի շենքերը: Կարող եք նաև ուսումնասիրել այնպիսի զբոսայգիներ, ինչպիսին է Հայդ Պարկը և այցելել խորհրդանշական վայրեր, ինչպիս"&amp;"իք են Լոնդոնի աչքը և Թեմզա գետը:")</f>
        <v>Լոնդոնում կարող եք այցելել հայտնի տեսարժան վայրեր, ինչպիսիք են Լոնդոնի աշտարակը, Բուքինգհեմյան պալատը, Բրիտանական թանգարանը և խորհրդարանի շենքերը: Կարող եք նաև ուսումնասիրել այնպիսի զբոսայգիներ, ինչպիսին է Հայդ Պարկը և այցելել խորհրդանշական վայրեր, ինչպիսիք են Լոնդոնի աչքը և Թեմզա գետը:</v>
      </c>
    </row>
    <row r="3437">
      <c r="A3437" s="1" t="s">
        <v>6773</v>
      </c>
      <c r="B3437" s="2" t="s">
        <v>6774</v>
      </c>
      <c r="C3437" s="3" t="str">
        <f>IFERROR(__xludf.DUMMYFUNCTION("GOOGLETRANSLATE(A3437,""en"",""hy"")"),"ինչպիսի՞ կառավարման ձև ունի Հյուսիսային Կորեան:")</f>
        <v>ինչպիսի՞ կառավարման ձև ունի Հյուսիսային Կորեան:</v>
      </c>
      <c r="D3437" s="3" t="str">
        <f>IFERROR(__xludf.DUMMYFUNCTION("GOOGLETRANSLATE(B3437,""en"",""hy"")"),"Հյուսիսային Կորեան ունի կառավարման ձև, որը հայտնի է որպես միակուսակցական սոցիալիստական ​​պետություն:")</f>
        <v>Հյուսիսային Կորեան ունի կառավարման ձև, որը հայտնի է որպես միակուսակցական սոցիալիստական ​​պետություն:</v>
      </c>
    </row>
    <row r="3438">
      <c r="A3438" s="1" t="s">
        <v>6775</v>
      </c>
      <c r="B3438" s="2" t="s">
        <v>6776</v>
      </c>
      <c r="C3438" s="3" t="str">
        <f>IFERROR(__xludf.DUMMYFUNCTION("GOOGLETRANSLATE(A3438,""en"",""hy"")"),"որտեղ է գտնվում Կոռնելի համալսարանը:")</f>
        <v>որտեղ է գտնվում Կոռնելի համալսարանը:</v>
      </c>
      <c r="D3438" s="3" t="str">
        <f>IFERROR(__xludf.DUMMYFUNCTION("GOOGLETRANSLATE(B3438,""en"",""hy"")"),"Ithaca, Նյու Յորք, Միացյալ Նահանգներ.")</f>
        <v>Ithaca, Նյու Յորք, Միացյալ Նահանգներ.</v>
      </c>
    </row>
    <row r="3439">
      <c r="A3439" s="1" t="s">
        <v>6777</v>
      </c>
      <c r="B3439" s="2" t="s">
        <v>6778</v>
      </c>
      <c r="C3439" s="3" t="str">
        <f>IFERROR(__xludf.DUMMYFUNCTION("GOOGLETRANSLATE(A3439,""en"",""hy"")"),"ով է խոսում արաբերեն")</f>
        <v>ով է խոսում արաբերեն</v>
      </c>
      <c r="D3439" s="3" t="str">
        <f>IFERROR(__xludf.DUMMYFUNCTION("GOOGLETRANSLATE(B3439,""en"",""hy"")"),"Արաբախոսներ.")</f>
        <v>Արաբախոսներ.</v>
      </c>
    </row>
    <row r="3440">
      <c r="A3440" s="1" t="s">
        <v>6779</v>
      </c>
      <c r="B3440" s="2" t="s">
        <v>6780</v>
      </c>
      <c r="C3440" s="3" t="str">
        <f>IFERROR(__xludf.DUMMYFUNCTION("GOOGLETRANSLATE(A3440,""en"",""hy"")"),"ով է խաղացել ծնողների դերը Ֆերիս Բյուլլերի հանգստյան օրը:")</f>
        <v>ով է խաղացել ծնողների դերը Ֆերիս Բյուլլերի հանգստյան օրը:</v>
      </c>
      <c r="D3440" s="3" t="str">
        <f>IFERROR(__xludf.DUMMYFUNCTION("GOOGLETRANSLATE(B3440,""en"",""hy"")"),"Սինդի Պիկեթ և Լայման Ուորդ.")</f>
        <v>Սինդի Պիկեթ և Լայման Ուորդ.</v>
      </c>
    </row>
    <row r="3441">
      <c r="A3441" s="1" t="s">
        <v>6781</v>
      </c>
      <c r="B3441" s="2" t="s">
        <v>6782</v>
      </c>
      <c r="C3441" s="3" t="str">
        <f>IFERROR(__xludf.DUMMYFUNCTION("GOOGLETRANSLATE(A3441,""en"",""hy"")"),"ինչ բարբառներով են խոսում Մեծ Բրիտանիայում:")</f>
        <v>ինչ բարբառներով են խոսում Մեծ Բրիտանիայում:</v>
      </c>
      <c r="D3441" s="3" t="str">
        <f>IFERROR(__xludf.DUMMYFUNCTION("GOOGLETRANSLATE(B3441,""en"",""hy"")"),"Մեծ Բրիտանիայում խոսվող հիմնական բարբառներն են՝ անգլերենը, շոտլանդական գելերենը, ուելսերենը և կորնիշերենը։")</f>
        <v>Մեծ Բրիտանիայում խոսվող հիմնական բարբառներն են՝ անգլերենը, շոտլանդական գելերենը, ուելսերենը և կորնիշերենը։</v>
      </c>
    </row>
    <row r="3442">
      <c r="A3442" s="1" t="s">
        <v>6783</v>
      </c>
      <c r="B3442" s="2" t="s">
        <v>6784</v>
      </c>
      <c r="C3442" s="3" t="str">
        <f>IFERROR(__xludf.DUMMYFUNCTION("GOOGLETRANSLATE(A3442,""en"",""hy"")"),"ինչ պետք է այցելեմ Վենետիկում")</f>
        <v>ինչ պետք է այցելեմ Վենետիկում</v>
      </c>
      <c r="D3442" s="3" t="str">
        <f>IFERROR(__xludf.DUMMYFUNCTION("GOOGLETRANSLATE(B3442,""en"",""hy"")"),"Սուրբ Մարկոսի հրապարակը, Դոգերի պալատը, Ռիալտո կամուրջը և Մեծ ջրանցքը:")</f>
        <v>Սուրբ Մարկոսի հրապարակը, Դոգերի պալատը, Ռիալտո կամուրջը և Մեծ ջրանցքը:</v>
      </c>
    </row>
    <row r="3443">
      <c r="A3443" s="1" t="s">
        <v>6785</v>
      </c>
      <c r="B3443" s="2" t="s">
        <v>6786</v>
      </c>
      <c r="C3443" s="3" t="str">
        <f>IFERROR(__xludf.DUMMYFUNCTION("GOOGLETRANSLATE(A3443,""en"",""hy"")"),"որտեղ է ծնվել Ջեյմս Մեդիսոնը")</f>
        <v>որտեղ է ծնվել Ջեյմս Մեդիսոնը</v>
      </c>
      <c r="D3443" s="3" t="str">
        <f>IFERROR(__xludf.DUMMYFUNCTION("GOOGLETRANSLATE(B3443,""en"",""hy"")"),"Ջեյմս Մեդիսոնը ծնվել է Վիրջինիա նահանգի Պորտ Քոնուեյ քաղաքում։")</f>
        <v>Ջեյմս Մեդիսոնը ծնվել է Վիրջինիա նահանգի Պորտ Քոնուեյ քաղաքում։</v>
      </c>
    </row>
    <row r="3444">
      <c r="A3444" s="1" t="s">
        <v>6787</v>
      </c>
      <c r="B3444" s="2" t="s">
        <v>6788</v>
      </c>
      <c r="C3444" s="3" t="str">
        <f>IFERROR(__xludf.DUMMYFUNCTION("GOOGLETRANSLATE(A3444,""en"",""hy"")"),"Ե՞րբ է վերջին անգամ Իրանը ներխուժել մեկ այլ երկիր:")</f>
        <v>Ե՞րբ է վերջին անգամ Իրանը ներխուժել մեկ այլ երկիր:</v>
      </c>
      <c r="D3444" s="3" t="str">
        <f>IFERROR(__xludf.DUMMYFUNCTION("GOOGLETRANSLATE(B3444,""en"",""hy"")"),"Վերջին անգամ Իրանը մեկ այլ երկիր ներխուժել էր 1980 թվականին, երբ ներխուժեց Իրաք:")</f>
        <v>Վերջին անգամ Իրանը մեկ այլ երկիր ներխուժել էր 1980 թվականին, երբ ներխուժեց Իրաք:</v>
      </c>
    </row>
    <row r="3445">
      <c r="A3445" s="1" t="s">
        <v>6789</v>
      </c>
      <c r="B3445" s="2" t="s">
        <v>6790</v>
      </c>
      <c r="C3445" s="3" t="str">
        <f>IFERROR(__xludf.DUMMYFUNCTION("GOOGLETRANSLATE(A3445,""en"",""hy"")"),"ինչ տեսք ուներ Օսմանյան կայսրությունը.")</f>
        <v>ինչ տեսք ուներ Օսմանյան կայսրությունը.</v>
      </c>
      <c r="D3445" s="3" t="str">
        <f>IFERROR(__xludf.DUMMYFUNCTION("GOOGLETRANSLATE(B3445,""en"",""hy"")"),"Օսմանյան կայսրությունը կայսերական պետություն էր, որը գոյություն է ունեցել 14-րդ դարից մինչև 20-րդ դարի սկիզբը։ Այն ընդգրկում էր երեք մայրցամաքներ՝ ներառյալ Եվրոպայի, Ասիայի և Աֆրիկայի մի մասը։ Այն հայտնի էր իր բազմազան և բազմամշակութային հասարակությունով,"&amp;" կենտրոնական կառավարությունով, որը ղեկավարվում էր Կոստանդնուպոլսում (ներկայիս Ստամբուլում) սուլթանի կողմից: Կայսրությունն ուներ հզոր ռազմական ուժ և վերահսկում էր հսկայական տարածքներ՝ իր տիրապետության տակ ներառելով տարբեր մշակույթներ և կրոններ։")</f>
        <v>Օսմանյան կայսրությունը կայսերական պետություն էր, որը գոյություն է ունեցել 14-րդ դարից մինչև 20-րդ դարի սկիզբը։ Այն ընդգրկում էր երեք մայրցամաքներ՝ ներառյալ Եվրոպայի, Ասիայի և Աֆրիկայի մի մասը։ Այն հայտնի էր իր բազմազան և բազմամշակութային հասարակությունով, կենտրոնական կառավարությունով, որը ղեկավարվում էր Կոստանդնուպոլսում (ներկայիս Ստամբուլում) սուլթանի կողմից: Կայսրությունն ուներ հզոր ռազմական ուժ և վերահսկում էր հսկայական տարածքներ՝ իր տիրապետության տակ ներառելով տարբեր մշակույթներ և կրոններ։</v>
      </c>
    </row>
    <row r="3446">
      <c r="A3446" s="1" t="s">
        <v>6791</v>
      </c>
      <c r="B3446" s="2" t="s">
        <v>6792</v>
      </c>
      <c r="C3446" s="3" t="str">
        <f>IFERROR(__xludf.DUMMYFUNCTION("GOOGLETRANSLATE(A3446,""en"",""hy"")"),"Ո՞ր թիմում է խաղում Կարիմ Աբդուլ Ջաբարը")</f>
        <v>Ո՞ր թիմում է խաղում Կարիմ Աբդուլ Ջաբարը</v>
      </c>
      <c r="D3446" s="3" t="str">
        <f>IFERROR(__xludf.DUMMYFUNCTION("GOOGLETRANSLATE(B3446,""en"",""hy"")"),"Քարիմ Աբդուլ Ջաբբարն այլևս չի խաղում որևէ թիմում, քանի որ նա ավարտել է պրոֆեսիոնալ բասկետբոլը 1989 թվականին:")</f>
        <v>Քարիմ Աբդուլ Ջաբբարն այլևս չի խաղում որևէ թիմում, քանի որ նա ավարտել է պրոֆեսիոնալ բասկետբոլը 1989 թվականին:</v>
      </c>
    </row>
    <row r="3447">
      <c r="A3447" s="1" t="s">
        <v>6793</v>
      </c>
      <c r="B3447" s="2" t="s">
        <v>6794</v>
      </c>
      <c r="C3447" s="3" t="str">
        <f>IFERROR(__xludf.DUMMYFUNCTION("GOOGLETRANSLATE(A3447,""en"",""hy"")"),"ով է Ջեֆ Պրոբսթի նախկին կինը:")</f>
        <v>ով է Ջեֆ Պրոբսթի նախկին կինը:</v>
      </c>
      <c r="D3447" s="3" t="str">
        <f>IFERROR(__xludf.DUMMYFUNCTION("GOOGLETRANSLATE(B3447,""en"",""hy"")"),"Ջեֆ Պրոբստի նախկին կինը Շելլի Ռայթն է։")</f>
        <v>Ջեֆ Պրոբստի նախկին կինը Շելլի Ռայթն է։</v>
      </c>
    </row>
    <row r="3448">
      <c r="A3448" s="1" t="s">
        <v>6795</v>
      </c>
      <c r="B3448" s="2" t="s">
        <v>6796</v>
      </c>
      <c r="C3448" s="3" t="str">
        <f>IFERROR(__xludf.DUMMYFUNCTION("GOOGLETRANSLATE(A3448,""en"",""hy"")"),"որտեղ է ծնվել ցոնգան")</f>
        <v>որտեղ է ծնվել ցոնգան</v>
      </c>
      <c r="D3448" s="3" t="str">
        <f>IFERROR(__xludf.DUMMYFUNCTION("GOOGLETRANSLATE(B3448,""en"",""hy"")"),"Ցոնգան ծնվել է Հարավային Աֆրիկայում։")</f>
        <v>Ցոնգան ծնվել է Հարավային Աֆրիկայում։</v>
      </c>
    </row>
    <row r="3449">
      <c r="A3449" s="1" t="s">
        <v>6797</v>
      </c>
      <c r="B3449" s="2" t="s">
        <v>6798</v>
      </c>
      <c r="C3449" s="3" t="str">
        <f>IFERROR(__xludf.DUMMYFUNCTION("GOOGLETRANSLATE(A3449,""en"",""hy"")"),"Ո՞ր կղզուց է Բեթանի Համիլթոնը:")</f>
        <v>Ո՞ր կղզուց է Բեթանի Համիլթոնը:</v>
      </c>
      <c r="D3449" s="3" t="str">
        <f>IFERROR(__xludf.DUMMYFUNCTION("GOOGLETRANSLATE(B3449,""en"",""hy"")"),"Բեթանի Համիլթոնը Հավայան կղզիների Կաուայ կղզուց է:")</f>
        <v>Բեթանի Համիլթոնը Հավայան կղզիների Կաուայ կղզուց է:</v>
      </c>
    </row>
    <row r="3450">
      <c r="A3450" s="1" t="s">
        <v>6799</v>
      </c>
      <c r="B3450" s="2" t="s">
        <v>6800</v>
      </c>
      <c r="C3450" s="3" t="str">
        <f>IFERROR(__xludf.DUMMYFUNCTION("GOOGLETRANSLATE(A3450,""en"",""hy"")"),"ինչ է Փեյջ Հալիվելի ուժերը:")</f>
        <v>ինչ է Փեյջ Հալիվելի ուժերը:</v>
      </c>
      <c r="D3450" s="3" t="str">
        <f>IFERROR(__xludf.DUMMYFUNCTION("GOOGLETRANSLATE(B3450,""en"",""hy"")"),"Փեյջ Հալիվելի ուժերն են՝ հեռահաղորդակցումը, ուղեծրը և առարկաները և էակները տարածության միջով հեռակինետիկ տեղափոխելու ունակությունը:")</f>
        <v>Փեյջ Հալիվելի ուժերն են՝ հեռահաղորդակցումը, ուղեծրը և առարկաները և էակները տարածության միջով հեռակինետիկ տեղափոխելու ունակությունը:</v>
      </c>
    </row>
    <row r="3451">
      <c r="A3451" s="1" t="s">
        <v>6801</v>
      </c>
      <c r="B3451" s="2" t="s">
        <v>6802</v>
      </c>
      <c r="C3451" s="3" t="str">
        <f>IFERROR(__xludf.DUMMYFUNCTION("GOOGLETRANSLATE(A3451,""en"",""hy"")"),"ինչ է գրել Ժան Ժակ Ռուսոն")</f>
        <v>ինչ է գրել Ժան Ժակ Ռուսոն</v>
      </c>
      <c r="D3451" s="3" t="str">
        <f>IFERROR(__xludf.DUMMYFUNCTION("GOOGLETRANSLATE(B3451,""en"",""hy"")"),"Ժան-Ժակ Ռուսոն գրել է «Սոցիալական պայմանագիրը» և «Էմիլը, կամ կրթության մասին» ստեղծագործությունները։")</f>
        <v>Ժան-Ժակ Ռուսոն գրել է «Սոցիալական պայմանագիրը» և «Էմիլը, կամ կրթության մասին» ստեղծագործությունները։</v>
      </c>
    </row>
    <row r="3452">
      <c r="A3452" s="1" t="s">
        <v>6803</v>
      </c>
      <c r="B3452" s="2" t="s">
        <v>6804</v>
      </c>
      <c r="C3452" s="3" t="str">
        <f>IFERROR(__xludf.DUMMYFUNCTION("GOOGLETRANSLATE(A3452,""en"",""hy"")"),"Ո՞ր քաղաքն է Վաշինգտոնի նահանգի մայրաքաղաքը:")</f>
        <v>Ո՞ր քաղաքն է Վաշինգտոնի նահանգի մայրաքաղաքը:</v>
      </c>
      <c r="D3452" s="3" t="str">
        <f>IFERROR(__xludf.DUMMYFUNCTION("GOOGLETRANSLATE(B3452,""en"",""hy"")"),"Օլիմպիա")</f>
        <v>Օլիմպիա</v>
      </c>
    </row>
    <row r="3453">
      <c r="A3453" s="1" t="s">
        <v>6805</v>
      </c>
      <c r="B3453" s="2" t="s">
        <v>6806</v>
      </c>
      <c r="C3453" s="3" t="str">
        <f>IFERROR(__xludf.DUMMYFUNCTION("GOOGLETRANSLATE(A3453,""en"",""hy"")"),"ինչ է անում Շոն Ջոնսոնը")</f>
        <v>ինչ է անում Շոն Ջոնսոնը</v>
      </c>
      <c r="D3453" s="3" t="str">
        <f>IFERROR(__xludf.DUMMYFUNCTION("GOOGLETRANSLATE(B3453,""en"",""hy"")"),"Շոն Ջոնսոնը թոշակի անցած ամերիկացի մարմնամարզիկ է:")</f>
        <v>Շոն Ջոնսոնը թոշակի անցած ամերիկացի մարմնամարզիկ է:</v>
      </c>
    </row>
    <row r="3454">
      <c r="A3454" s="1" t="s">
        <v>6807</v>
      </c>
      <c r="B3454" s="2" t="s">
        <v>6808</v>
      </c>
      <c r="C3454" s="3" t="str">
        <f>IFERROR(__xludf.DUMMYFUNCTION("GOOGLETRANSLATE(A3454,""en"",""hy"")"),"ինչո՞վ էր հայտնի Ռեյգանի վարչակազմը:")</f>
        <v>ինչո՞վ էր հայտնի Ռեյգանի վարչակազմը:</v>
      </c>
      <c r="D3454" s="3" t="str">
        <f>IFERROR(__xludf.DUMMYFUNCTION("GOOGLETRANSLATE(B3454,""en"",""hy"")"),"Ռեյգանի վարչակազմը հայտնի էր իր պահպանողական քաղաքականությամբ, ներառյալ հարկերի կրճատումը, կարգազերծումը և կոմունիզմի դեմ խիստ դիրքորոշումը:")</f>
        <v>Ռեյգանի վարչակազմը հայտնի էր իր պահպանողական քաղաքականությամբ, ներառյալ հարկերի կրճատումը, կարգազերծումը և կոմունիզմի դեմ խիստ դիրքորոշումը:</v>
      </c>
    </row>
    <row r="3455">
      <c r="A3455" s="1" t="s">
        <v>6809</v>
      </c>
      <c r="B3455" s="2" t="s">
        <v>6810</v>
      </c>
      <c r="C3455" s="3" t="str">
        <f>IFERROR(__xludf.DUMMYFUNCTION("GOOGLETRANSLATE(A3455,""en"",""hy"")"),"որտեղ էր ապրում Նադիա Բուլանգերը")</f>
        <v>որտեղ էր ապրում Նադիա Բուլանգերը</v>
      </c>
      <c r="D3455" s="3" t="str">
        <f>IFERROR(__xludf.DUMMYFUNCTION("GOOGLETRANSLATE(B3455,""en"",""hy"")"),"Նադյա Բուլանժեն ապրում էր Փարիզում, Ֆրանսիա:")</f>
        <v>Նադյա Բուլանժեն ապրում էր Փարիզում, Ֆրանսիա:</v>
      </c>
    </row>
    <row r="3456">
      <c r="A3456" s="1" t="s">
        <v>6811</v>
      </c>
      <c r="B3456" s="2" t="s">
        <v>6812</v>
      </c>
      <c r="C3456" s="3" t="str">
        <f>IFERROR(__xludf.DUMMYFUNCTION("GOOGLETRANSLATE(A3456,""en"",""hy"")"),"Ո՞ր տարին է զորակոչվել Մայքլ Ջորդանը:")</f>
        <v>Ո՞ր տարին է զորակոչվել Մայքլ Ջորդանը:</v>
      </c>
      <c r="D3456" s="3" t="str">
        <f>IFERROR(__xludf.DUMMYFUNCTION("GOOGLETRANSLATE(B3456,""en"",""hy"")"),"Մայքլ Ջորդանը զորակոչվել է 1984 թվականին։")</f>
        <v>Մայքլ Ջորդանը զորակոչվել է 1984 թվականին։</v>
      </c>
    </row>
    <row r="3457">
      <c r="A3457" s="1" t="s">
        <v>6813</v>
      </c>
      <c r="B3457" s="2" t="s">
        <v>6814</v>
      </c>
      <c r="C3457" s="3" t="str">
        <f>IFERROR(__xludf.DUMMYFUNCTION("GOOGLETRANSLATE(A3457,""en"",""hy"")"),"Ո՞ր օդանավակայանով եք թռչում Մաուի:")</f>
        <v>Ո՞ր օդանավակայանով եք թռչում Մաուի:</v>
      </c>
      <c r="D3457" s="3" t="str">
        <f>IFERROR(__xludf.DUMMYFUNCTION("GOOGLETRANSLATE(B3457,""en"",""hy"")"),"Կահուլուի օդանավակայան.")</f>
        <v>Կահուլուի օդանավակայան.</v>
      </c>
    </row>
    <row r="3458">
      <c r="A3458" s="1" t="s">
        <v>6815</v>
      </c>
      <c r="B3458" s="2" t="s">
        <v>6816</v>
      </c>
      <c r="C3458" s="3" t="str">
        <f>IFERROR(__xludf.DUMMYFUNCTION("GOOGLETRANSLATE(A3458,""en"",""hy"")"),"ո՞ւմ համար է խաղում Մարկ Սանչեսը")</f>
        <v>ո՞ւմ համար է խաղում Մարկ Սանչեսը</v>
      </c>
      <c r="D3458" s="3" t="str">
        <f>IFERROR(__xludf.DUMMYFUNCTION("GOOGLETRANSLATE(B3458,""en"",""hy"")"),"Մարկ Սանչեսը ներկայումս չի խաղում NFL-ի ոչ մի թիմում:")</f>
        <v>Մարկ Սանչեսը ներկայումս չի խաղում NFL-ի ոչ մի թիմում:</v>
      </c>
    </row>
    <row r="3459">
      <c r="A3459" s="1" t="s">
        <v>6817</v>
      </c>
      <c r="B3459" s="2" t="s">
        <v>6818</v>
      </c>
      <c r="C3459" s="3" t="str">
        <f>IFERROR(__xludf.DUMMYFUNCTION("GOOGLETRANSLATE(A3459,""en"",""hy"")"),"Ո՞ր ծովն է թափվում Յանցզի գետը:")</f>
        <v>Ո՞ր ծովն է թափվում Յանցզի գետը:</v>
      </c>
      <c r="D3459" s="3" t="str">
        <f>IFERROR(__xludf.DUMMYFUNCTION("GOOGLETRANSLATE(B3459,""en"",""hy"")"),"Յանցզի գետը թափվում է Արևելա-չինական ծով։")</f>
        <v>Յանցզի գետը թափվում է Արևելա-չինական ծով։</v>
      </c>
    </row>
    <row r="3460">
      <c r="A3460" s="1" t="s">
        <v>6819</v>
      </c>
      <c r="B3460" s="2" t="s">
        <v>6820</v>
      </c>
      <c r="C3460" s="3" t="str">
        <f>IFERROR(__xludf.DUMMYFUNCTION("GOOGLETRANSLATE(A3460,""en"",""hy"")"),"որո՞նք են Աֆղանստանի հիմնական ներմուծումն ու արտահանումը:")</f>
        <v>որո՞նք են Աֆղանստանի հիմնական ներմուծումն ու արտահանումը:</v>
      </c>
      <c r="D3460" s="3" t="str">
        <f>IFERROR(__xludf.DUMMYFUNCTION("GOOGLETRANSLATE(B3460,""en"",""hy"")"),"Աֆղանստանի հիմնական արտահանումն են մրգերն ու ընկույզները, տեքստիլները, թանկարժեք և կիսաթանկարժեք քարերը, գորգերը։ Աֆղանստանի հիմնական ներմուծումը ներառում է մեքենաներ, նավթամթերք, սննդամթերք և տեքստիլ:")</f>
        <v>Աֆղանստանի հիմնական արտահանումն են մրգերն ու ընկույզները, տեքստիլները, թանկարժեք և կիսաթանկարժեք քարերը, գորգերը։ Աֆղանստանի հիմնական ներմուծումը ներառում է մեքենաներ, նավթամթերք, սննդամթերք և տեքստիլ:</v>
      </c>
    </row>
    <row r="3461">
      <c r="A3461" s="1" t="s">
        <v>6821</v>
      </c>
      <c r="B3461" s="2" t="s">
        <v>6822</v>
      </c>
      <c r="C3461" s="3" t="str">
        <f>IFERROR(__xludf.DUMMYFUNCTION("GOOGLETRANSLATE(A3461,""en"",""hy"")"),"ինչ ֆիլմերում է նկարահանվել Ջերարդ Բաթլերը")</f>
        <v>ինչ ֆիլմերում է նկարահանվել Ջերարդ Բաթլերը</v>
      </c>
      <c r="D3461" s="3" t="str">
        <f>IFERROR(__xludf.DUMMYFUNCTION("GOOGLETRANSLATE(B3461,""en"",""hy"")"),"Ջերարդ Բաթլերը նկարահանվել է այնպիսի ֆիլմերում, ինչպիսիք են «300», «P.S. I Love You» և «Olympus Has Fallen»:")</f>
        <v>Ջերարդ Բաթլերը նկարահանվել է այնպիսի ֆիլմերում, ինչպիսիք են «300», «P.S. I Love You» և «Olympus Has Fallen»:</v>
      </c>
    </row>
    <row r="3462">
      <c r="A3462" s="1" t="s">
        <v>6823</v>
      </c>
      <c r="B3462" s="2" t="s">
        <v>6824</v>
      </c>
      <c r="C3462" s="3" t="str">
        <f>IFERROR(__xludf.DUMMYFUNCTION("GOOGLETRANSLATE(A3462,""en"",""hy"")"),"ո՞ր երկիրն է Ֆրանսիայից բացի")</f>
        <v>ո՞ր երկիրն է Ֆրանսիայից բացի</v>
      </c>
      <c r="D3462" s="3" t="str">
        <f>IFERROR(__xludf.DUMMYFUNCTION("GOOGLETRANSLATE(B3462,""en"",""hy"")"),"Իսպանիա.")</f>
        <v>Իսպանիա.</v>
      </c>
    </row>
    <row r="3463">
      <c r="A3463" s="1" t="s">
        <v>6825</v>
      </c>
      <c r="B3463" s="2" t="s">
        <v>6826</v>
      </c>
      <c r="C3463" s="3" t="str">
        <f>IFERROR(__xludf.DUMMYFUNCTION("GOOGLETRANSLATE(A3463,""en"",""hy"")"),"ինչպիսի՞ կառավարություն ունի Գերմանիան։")</f>
        <v>ինչպիսի՞ կառավարություն ունի Գերմանիան։</v>
      </c>
      <c r="D3463" s="3" t="str">
        <f>IFERROR(__xludf.DUMMYFUNCTION("GOOGLETRANSLATE(B3463,""en"",""hy"")"),"Գերմանիան ունի դաշնային խորհրդարանական հանրապետություն։")</f>
        <v>Գերմանիան ունի դաշնային խորհրդարանական հանրապետություն։</v>
      </c>
    </row>
    <row r="3464">
      <c r="A3464" s="1" t="s">
        <v>6827</v>
      </c>
      <c r="B3464" s="2" t="s">
        <v>6828</v>
      </c>
      <c r="C3464" s="3" t="str">
        <f>IFERROR(__xludf.DUMMYFUNCTION("GOOGLETRANSLATE(A3464,""en"",""hy"")"),"ինչ կարելի է անել montpelier vt-ում:")</f>
        <v>ինչ կարելի է անել montpelier vt-ում:</v>
      </c>
      <c r="D3464" s="3" t="str">
        <f>IFERROR(__xludf.DUMMYFUNCTION("GOOGLETRANSLATE(B3464,""en"",""hy"")"),"Որոշ հայտնի զբաղմունքներ Մոնպելիեում, VT-ում ներառում են այցելել Վերմոնտի նահանգային տուն, ուսումնասիրել Hubbard Park-ը, զննել տեղական խանութներն ու պատկերասրահները և վայելել բացօթյա գործողություններ, ինչպիսիք են արշավը և հեծանվավազքը:")</f>
        <v>Որոշ հայտնի զբաղմունքներ Մոնպելիեում, VT-ում ներառում են այցելել Վերմոնտի նահանգային տուն, ուսումնասիրել Hubbard Park-ը, զննել տեղական խանութներն ու պատկերասրահները և վայելել բացօթյա գործողություններ, ինչպիսիք են արշավը և հեծանվավազքը:</v>
      </c>
    </row>
    <row r="3465">
      <c r="A3465" s="1" t="s">
        <v>6829</v>
      </c>
      <c r="B3465" s="2" t="s">
        <v>6830</v>
      </c>
      <c r="C3465" s="3" t="str">
        <f>IFERROR(__xludf.DUMMYFUNCTION("GOOGLETRANSLATE(A3465,""en"",""hy"")"),"ով է այս պահին Ճապոնիայի ղեկավարը")</f>
        <v>ով է այս պահին Ճապոնիայի ղեկավարը</v>
      </c>
      <c r="D3465" s="3" t="str">
        <f>IFERROR(__xludf.DUMMYFUNCTION("GOOGLETRANSLATE(B3465,""en"",""hy"")"),"Ճապոնիայի ներկայիս ղեկավարը վարչապետ Յոսիհիդե Սուգան է։")</f>
        <v>Ճապոնիայի ներկայիս ղեկավարը վարչապետ Յոսիհիդե Սուգան է։</v>
      </c>
    </row>
    <row r="3466">
      <c r="A3466" s="1" t="s">
        <v>6831</v>
      </c>
      <c r="B3466" s="2" t="s">
        <v>6832</v>
      </c>
      <c r="C3466" s="3" t="str">
        <f>IFERROR(__xludf.DUMMYFUNCTION("GOOGLETRANSLATE(A3466,""en"",""hy"")"),"Ե՞րբ է Մայքլ Ջորդանը սկսել բասկետբոլ խաղալ NBA-ում:")</f>
        <v>Ե՞րբ է Մայքլ Ջորդանը սկսել բասկետբոլ խաղալ NBA-ում:</v>
      </c>
      <c r="D3466" s="3" t="str">
        <f>IFERROR(__xludf.DUMMYFUNCTION("GOOGLETRANSLATE(B3466,""en"",""hy"")"),"Մայքլ Ջորդանը սկսել է բասկետբոլ խաղալ NBA-ում 1984 թվականին։")</f>
        <v>Մայքլ Ջորդանը սկսել է բասկետբոլ խաղալ NBA-ում 1984 թվականին։</v>
      </c>
    </row>
    <row r="3467">
      <c r="A3467" s="1" t="s">
        <v>6833</v>
      </c>
      <c r="B3467" s="2" t="s">
        <v>6834</v>
      </c>
      <c r="C3467" s="3" t="str">
        <f>IFERROR(__xludf.DUMMYFUNCTION("GOOGLETRANSLATE(A3467,""en"",""hy"")"),"ինչ ֆիլմեր են եղել Մայքլ Քլարկ Դանկանը:")</f>
        <v>ինչ ֆիլմեր են եղել Մայքլ Քլարկ Դանկանը:</v>
      </c>
      <c r="D3467" s="3" t="str">
        <f>IFERROR(__xludf.DUMMYFUNCTION("GOOGLETRANSLATE(B3467,""en"",""hy"")"),"Որոշ ֆիլմեր, որոնցում հայտնվել է Մայքլ Քլարկ Դանքանը, ներառում են «Կանաչ մղոն», «Արմագեդոն» և «Մեղքերի քաղաքը»:")</f>
        <v>Որոշ ֆիլմեր, որոնցում հայտնվել է Մայքլ Քլարկ Դանքանը, ներառում են «Կանաչ մղոն», «Արմագեդոն» և «Մեղքերի քաղաքը»:</v>
      </c>
    </row>
    <row r="3468">
      <c r="A3468" s="1" t="s">
        <v>6835</v>
      </c>
      <c r="B3468" s="2" t="s">
        <v>6836</v>
      </c>
      <c r="C3468" s="3" t="str">
        <f>IFERROR(__xludf.DUMMYFUNCTION("GOOGLETRANSLATE(A3468,""en"",""hy"")"),"ո՞ր քաղաքում է սպանվել նախագահ Քենեդին.")</f>
        <v>ո՞ր քաղաքում է սպանվել նախագահ Քենեդին.</v>
      </c>
      <c r="D3468" s="3" t="str">
        <f>IFERROR(__xludf.DUMMYFUNCTION("GOOGLETRANSLATE(B3468,""en"",""hy"")"),"Նախագահ Քենեդին սպանվել է Տեխաս նահանգի Դալլաս քաղաքում։")</f>
        <v>Նախագահ Քենեդին սպանվել է Տեխաս նահանգի Դալլաս քաղաքում։</v>
      </c>
    </row>
    <row r="3469">
      <c r="A3469" s="1" t="s">
        <v>6837</v>
      </c>
      <c r="B3469" s="2" t="s">
        <v>6838</v>
      </c>
      <c r="C3469" s="3" t="str">
        <f>IFERROR(__xludf.DUMMYFUNCTION("GOOGLETRANSLATE(A3469,""en"",""hy"")"),"որտեղի՞ց է Մարտին Կուպերը")</f>
        <v>որտեղի՞ց է Մարտին Կուպերը</v>
      </c>
      <c r="D3469" s="3" t="str">
        <f>IFERROR(__xludf.DUMMYFUNCTION("GOOGLETRANSLATE(B3469,""en"",""hy"")"),"Մարտին Կուպերը ԱՄՆ-ից է։")</f>
        <v>Մարտին Կուպերը ԱՄՆ-ից է։</v>
      </c>
    </row>
    <row r="3470">
      <c r="A3470" s="1" t="s">
        <v>6839</v>
      </c>
      <c r="B3470" s="2" t="s">
        <v>6840</v>
      </c>
      <c r="C3470" s="3" t="str">
        <f>IFERROR(__xludf.DUMMYFUNCTION("GOOGLETRANSLATE(A3470,""en"",""hy"")"),"ինչ է Չարլի Շինի հայրիկի անունը:")</f>
        <v>ինչ է Չարլի Շինի հայրիկի անունը:</v>
      </c>
      <c r="D3470" s="3" t="str">
        <f>IFERROR(__xludf.DUMMYFUNCTION("GOOGLETRANSLATE(B3470,""en"",""hy"")"),"Չարլի Շինի հայրիկի անունը Մարտին Շին է:")</f>
        <v>Չարլի Շինի հայրիկի անունը Մարտին Շին է:</v>
      </c>
    </row>
    <row r="3471">
      <c r="A3471" s="1" t="s">
        <v>6841</v>
      </c>
      <c r="B3471" s="2" t="s">
        <v>6842</v>
      </c>
      <c r="C3471" s="3" t="str">
        <f>IFERROR(__xludf.DUMMYFUNCTION("GOOGLETRANSLATE(A3471,""en"",""hy"")"),"քանի մլբ թիմ կա:")</f>
        <v>քանի մլբ թիմ կա:</v>
      </c>
      <c r="D3471" s="3" t="str">
        <f>IFERROR(__xludf.DUMMYFUNCTION("GOOGLETRANSLATE(B3471,""en"",""hy"")"),"MLB-ի 30 թիմ կա:")</f>
        <v>MLB-ի 30 թիմ կա:</v>
      </c>
    </row>
    <row r="3472">
      <c r="A3472" s="1" t="s">
        <v>6843</v>
      </c>
      <c r="B3472" s="2" t="s">
        <v>6844</v>
      </c>
      <c r="C3472" s="3" t="str">
        <f>IFERROR(__xludf.DUMMYFUNCTION("GOOGLETRANSLATE(A3472,""en"",""hy"")"),"ի՞նչ պաշտոն է զբաղեցնում Բյոները:")</f>
        <v>ի՞նչ պաշտոն է զբաղեցնում Բյոները:</v>
      </c>
      <c r="D3472" s="3" t="str">
        <f>IFERROR(__xludf.DUMMYFUNCTION("GOOGLETRANSLATE(B3472,""en"",""hy"")"),"Ջոն Բոները Միացյալ Նահանգների Ներկայացուցիչների պալատի նախկին նախագահն է։")</f>
        <v>Ջոն Բոները Միացյալ Նահանգների Ներկայացուցիչների պալատի նախկին նախագահն է։</v>
      </c>
    </row>
    <row r="3473">
      <c r="A3473" s="1" t="s">
        <v>6845</v>
      </c>
      <c r="B3473" s="2" t="s">
        <v>267</v>
      </c>
      <c r="C3473" s="3" t="str">
        <f>IFERROR(__xludf.DUMMYFUNCTION("GOOGLETRANSLATE(A3473,""en"",""hy"")"),"որտեղ են խաղում բալթիմորի ագռավները")</f>
        <v>որտեղ են խաղում բալթիմորի ագռավները</v>
      </c>
      <c r="D3473" s="3" t="str">
        <f>IFERROR(__xludf.DUMMYFUNCTION("GOOGLETRANSLATE(B3473,""en"",""hy"")"),"Baltimore Ravens-ը խաղում է M&amp;T Bank մարզադաշտում:")</f>
        <v>Baltimore Ravens-ը խաղում է M&amp;T Bank մարզադաշտում:</v>
      </c>
    </row>
    <row r="3474">
      <c r="A3474" s="1" t="s">
        <v>6846</v>
      </c>
      <c r="B3474" s="2" t="s">
        <v>6847</v>
      </c>
      <c r="C3474" s="3" t="str">
        <f>IFERROR(__xludf.DUMMYFUNCTION("GOOGLETRANSLATE(A3474,""en"",""hy"")"),"ի՞նչ սպորտով են զբաղվում Հարլեմի գլոբետրոտերները:")</f>
        <v>ի՞նչ սպորտով են զբաղվում Հարլեմի գլոբետրոտերները:</v>
      </c>
      <c r="D3474" s="3" t="str">
        <f>IFERROR(__xludf.DUMMYFUNCTION("GOOGLETRANSLATE(B3474,""en"",""hy"")"),"Harlem Globetrotters-ը բասկետբոլ է խաղում:")</f>
        <v>Harlem Globetrotters-ը բասկետբոլ է խաղում:</v>
      </c>
    </row>
    <row r="3475">
      <c r="A3475" s="1" t="s">
        <v>6848</v>
      </c>
      <c r="B3475" s="2" t="s">
        <v>6849</v>
      </c>
      <c r="C3475" s="3" t="str">
        <f>IFERROR(__xludf.DUMMYFUNCTION("GOOGLETRANSLATE(A3475,""en"",""hy"")"),"ո՞վ էր Բեթթի Ուայթը նույնպես ամուսնացած:")</f>
        <v>ո՞վ էր Բեթթի Ուայթը նույնպես ամուսնացած:</v>
      </c>
      <c r="D3475" s="3" t="str">
        <f>IFERROR(__xludf.DUMMYFUNCTION("GOOGLETRANSLATE(B3475,""en"",""hy"")"),"Բեթի Ուայթն ամուսնացած էր Ալեն Լադենի հետ։")</f>
        <v>Բեթի Ուայթն ամուսնացած էր Ալեն Լադենի հետ։</v>
      </c>
    </row>
    <row r="3476">
      <c r="A3476" s="1" t="s">
        <v>6850</v>
      </c>
      <c r="B3476" s="2" t="s">
        <v>6851</v>
      </c>
      <c r="C3476" s="3" t="str">
        <f>IFERROR(__xludf.DUMMYFUNCTION("GOOGLETRANSLATE(A3476,""en"",""hy"")"),"որտեղ է այժմ թաղված Պոն")</f>
        <v>որտեղ է այժմ թաղված Պոն</v>
      </c>
      <c r="D3476" s="3" t="str">
        <f>IFERROR(__xludf.DUMMYFUNCTION("GOOGLETRANSLATE(B3476,""en"",""hy"")"),"Պոն թաղված է Մերիլենդ նահանգի Բալթիմոր քաղաքում։")</f>
        <v>Պոն թաղված է Մերիլենդ նահանգի Բալթիմոր քաղաքում։</v>
      </c>
    </row>
    <row r="3477">
      <c r="A3477" s="1" t="s">
        <v>6852</v>
      </c>
      <c r="B3477" s="2" t="s">
        <v>6853</v>
      </c>
      <c r="C3477" s="3" t="str">
        <f>IFERROR(__xludf.DUMMYFUNCTION("GOOGLETRANSLATE(A3477,""en"",""hy"")"),"որտեղ է գտնվում դանիացիները")</f>
        <v>որտեղ է գտնվում դանիացիները</v>
      </c>
      <c r="D3477" s="3" t="str">
        <f>IFERROR(__xludf.DUMMYFUNCTION("GOOGLETRANSLATE(B3477,""en"",""hy"")"),"Դանիա.")</f>
        <v>Դանիա.</v>
      </c>
    </row>
    <row r="3478">
      <c r="A3478" s="1" t="s">
        <v>6854</v>
      </c>
      <c r="B3478" s="2" t="s">
        <v>6855</v>
      </c>
      <c r="C3478" s="3" t="str">
        <f>IFERROR(__xludf.DUMMYFUNCTION("GOOGLETRANSLATE(A3478,""en"",""hy"")"),"Ո՞րն է Դալասում ապրելու լավագույն թաղամասը:")</f>
        <v>Ո՞րն է Դալասում ապրելու լավագույն թաղամասը:</v>
      </c>
      <c r="D3478" s="3" t="str">
        <f>IFERROR(__xludf.DUMMYFUNCTION("GOOGLETRANSLATE(B3478,""en"",""hy"")"),"Դալլասում ապրելու լավագույն թաղամասը կախված է անձնական նախասիրություններից և կարիքներից: Որոշ հայտնի թաղամասեր ներառում են Uptown, Highland Park և Deep Ellum:")</f>
        <v>Դալլասում ապրելու լավագույն թաղամասը կախված է անձնական նախասիրություններից և կարիքներից: Որոշ հայտնի թաղամասեր ներառում են Uptown, Highland Park և Deep Ellum:</v>
      </c>
    </row>
    <row r="3479">
      <c r="A3479" s="1" t="s">
        <v>6856</v>
      </c>
      <c r="B3479" s="2" t="s">
        <v>2870</v>
      </c>
      <c r="C3479" s="3" t="str">
        <f>IFERROR(__xludf.DUMMYFUNCTION("GOOGLETRANSLATE(A3479,""en"",""hy"")"),"Ո՞վ է խաղում Մերի Ջեյն Սարդմեն 2-ում:")</f>
        <v>Ո՞վ է խաղում Մերի Ջեյն Սարդմեն 2-ում:</v>
      </c>
      <c r="D3479" s="3" t="str">
        <f>IFERROR(__xludf.DUMMYFUNCTION("GOOGLETRANSLATE(B3479,""en"",""hy"")"),"Քիրստեն Դանսթ.")</f>
        <v>Քիրստեն Դանսթ.</v>
      </c>
    </row>
    <row r="3480">
      <c r="A3480" s="1" t="s">
        <v>6857</v>
      </c>
      <c r="B3480" s="2" t="s">
        <v>6858</v>
      </c>
      <c r="C3480" s="3" t="str">
        <f>IFERROR(__xludf.DUMMYFUNCTION("GOOGLETRANSLATE(A3480,""en"",""hy"")"),"ի՞նչ լեզուներով են խոսում շոտլանդացիները:")</f>
        <v>ի՞նչ լեզուներով են խոսում շոտլանդացիները:</v>
      </c>
      <c r="D3480" s="3" t="str">
        <f>IFERROR(__xludf.DUMMYFUNCTION("GOOGLETRANSLATE(B3480,""en"",""hy"")"),"Շոտլանդացիները հիմնականում խոսում են շոտլանդական գելերեն և անգլերեն:")</f>
        <v>Շոտլանդացիները հիմնականում խոսում են շոտլանդական գելերեն և անգլերեն:</v>
      </c>
    </row>
    <row r="3481">
      <c r="A3481" s="1" t="s">
        <v>6859</v>
      </c>
      <c r="B3481" s="2" t="s">
        <v>6860</v>
      </c>
      <c r="C3481" s="3" t="str">
        <f>IFERROR(__xludf.DUMMYFUNCTION("GOOGLETRANSLATE(A3481,""en"",""hy"")"),"ինչ տեսակի փող ունի Բրազիլիան")</f>
        <v>ինչ տեսակի փող ունի Բրազիլիան</v>
      </c>
      <c r="D3481" s="3" t="str">
        <f>IFERROR(__xludf.DUMMYFUNCTION("GOOGLETRANSLATE(B3481,""en"",""hy"")"),"Բրազիլիան ունի իր արժույթը, որը կոչվում է բրազիլական ռեալ:")</f>
        <v>Բրազիլիան ունի իր արժույթը, որը կոչվում է բրազիլական ռեալ:</v>
      </c>
    </row>
    <row r="3482">
      <c r="A3482" s="1" t="s">
        <v>6861</v>
      </c>
      <c r="B3482" s="2" t="s">
        <v>6862</v>
      </c>
      <c r="C3482" s="3" t="str">
        <f>IFERROR(__xludf.DUMMYFUNCTION("GOOGLETRANSLATE(A3482,""en"",""hy"")"),"ով է սկսել Մերի Քեյը")</f>
        <v>ով է սկսել Մերի Քեյը</v>
      </c>
      <c r="D3482" s="3" t="str">
        <f>IFERROR(__xludf.DUMMYFUNCTION("GOOGLETRANSLATE(B3482,""en"",""hy"")"),"Մերի Քեյ Էշը սկսեց Մերի Քեյը:")</f>
        <v>Մերի Քեյ Էշը սկսեց Մերի Քեյը:</v>
      </c>
    </row>
    <row r="3483">
      <c r="A3483" s="1" t="s">
        <v>6863</v>
      </c>
      <c r="B3483" s="2" t="s">
        <v>6864</v>
      </c>
      <c r="C3483" s="3" t="str">
        <f>IFERROR(__xludf.DUMMYFUNCTION("GOOGLETRANSLATE(A3483,""en"",""hy"")"),"ինչպիսի՞ կառավարություններ ունի Ֆրանսիան:")</f>
        <v>ինչպիսի՞ կառավարություններ ունի Ֆրանսիան:</v>
      </c>
      <c r="D3483" s="3" t="str">
        <f>IFERROR(__xludf.DUMMYFUNCTION("GOOGLETRANSLATE(B3483,""en"",""hy"")"),"Ֆրանսիան ունի կիսանախագահական ներկայացուցչական դեմոկրատական ​​հանրապետություն։")</f>
        <v>Ֆրանսիան ունի կիսանախագահական ներկայացուցչական դեմոկրատական ​​հանրապետություն։</v>
      </c>
    </row>
    <row r="3484">
      <c r="A3484" s="1" t="s">
        <v>6865</v>
      </c>
      <c r="B3484" s="2" t="s">
        <v>6866</v>
      </c>
      <c r="C3484" s="3" t="str">
        <f>IFERROR(__xludf.DUMMYFUNCTION("GOOGLETRANSLATE(A3484,""en"",""hy"")"),"որտեղ է Սուրբ Հելենոս լեռը")</f>
        <v>որտեղ է Սուրբ Հելենոս լեռը</v>
      </c>
      <c r="D3484" s="3" t="str">
        <f>IFERROR(__xludf.DUMMYFUNCTION("GOOGLETRANSLATE(B3484,""en"",""hy"")"),"Սուրբ Հելենս լեռը գտնվում է ԱՄՆ Վաշինգտոն նահանգում։")</f>
        <v>Սուրբ Հելենս լեռը գտնվում է ԱՄՆ Վաշինգտոն նահանգում։</v>
      </c>
    </row>
    <row r="3485">
      <c r="A3485" s="1" t="s">
        <v>6867</v>
      </c>
      <c r="B3485" s="2" t="s">
        <v>6868</v>
      </c>
      <c r="C3485" s="3" t="str">
        <f>IFERROR(__xludf.DUMMYFUNCTION("GOOGLETRANSLATE(A3485,""en"",""hy"")"),"ովքե՞ր են տորոնտոյի թխկի տերևների խաղացողները:")</f>
        <v>ովքե՞ր են տորոնտոյի թխկի տերևների խաղացողները:</v>
      </c>
      <c r="D3485" s="3" t="str">
        <f>IFERROR(__xludf.DUMMYFUNCTION("GOOGLETRANSLATE(B3485,""en"",""hy"")"),"Toronto Maple Leafs-ի խաղացողները տարբերվում են և կարող են փոխվել ժամանակի ընթացքում: Ավելի լավ է ստուգել թիմի պաշտոնական հայտացուցակը խաղացողների թարմացված ցուցակի համար:")</f>
        <v>Toronto Maple Leafs-ի խաղացողները տարբերվում են և կարող են փոխվել ժամանակի ընթացքում: Ավելի լավ է ստուգել թիմի պաշտոնական հայտացուցակը խաղացողների թարմացված ցուցակի համար:</v>
      </c>
    </row>
    <row r="3486">
      <c r="A3486" s="1" t="s">
        <v>6869</v>
      </c>
      <c r="B3486" s="2" t="s">
        <v>6870</v>
      </c>
      <c r="C3486" s="3" t="str">
        <f>IFERROR(__xludf.DUMMYFUNCTION("GOOGLETRANSLATE(A3486,""en"",""hy"")"),"ո՞ր երկրներն են օգտագործում անգլերենը որպես իրենց ազգային լեզու:")</f>
        <v>ո՞ր երկրներն են օգտագործում անգլերենը որպես իրենց ազգային լեզու:</v>
      </c>
      <c r="D3486" s="3" t="str">
        <f>IFERROR(__xludf.DUMMYFUNCTION("GOOGLETRANSLATE(B3486,""en"",""hy"")"),"Կան վեց երկրներ, որոնք օգտագործում են անգլերենը որպես իրենց ազգային լեզու՝ Միացյալ Նահանգներ, Միացյալ Թագավորություն, Ավստրալիա, Կանադա, Իռլանդիա և Նոր Զելանդիա:")</f>
        <v>Կան վեց երկրներ, որոնք օգտագործում են անգլերենը որպես իրենց ազգային լեզու՝ Միացյալ Նահանգներ, Միացյալ Թագավորություն, Ավստրալիա, Կանադա, Իռլանդիա և Նոր Զելանդիա:</v>
      </c>
    </row>
    <row r="3487">
      <c r="A3487" s="1" t="s">
        <v>6871</v>
      </c>
      <c r="B3487" s="2" t="s">
        <v>6872</v>
      </c>
      <c r="C3487" s="3" t="str">
        <f>IFERROR(__xludf.DUMMYFUNCTION("GOOGLETRANSLATE(A3487,""en"",""hy"")"),"ո՞ր մայրցամաքում է գտնվում Ռուսաստանը")</f>
        <v>ո՞ր մայրցամաքում է գտնվում Ռուսաստանը</v>
      </c>
      <c r="D3487" s="3" t="str">
        <f>IFERROR(__xludf.DUMMYFUNCTION("GOOGLETRANSLATE(B3487,""en"",""hy"")"),"Եվրոպա և Ասիա")</f>
        <v>Եվրոպա և Ասիա</v>
      </c>
    </row>
    <row r="3488">
      <c r="A3488" s="1" t="s">
        <v>6873</v>
      </c>
      <c r="B3488" s="2" t="s">
        <v>6874</v>
      </c>
      <c r="C3488" s="3" t="str">
        <f>IFERROR(__xludf.DUMMYFUNCTION("GOOGLETRANSLATE(A3488,""en"",""hy"")"),"ի՞նչ անել այսօր Օտտավայում Օնտարիոյում:")</f>
        <v>ի՞նչ անել այսօր Օտտավայում Օնտարիոյում:</v>
      </c>
      <c r="D3488" s="3" t="str">
        <f>IFERROR(__xludf.DUMMYFUNCTION("GOOGLETRANSLATE(B3488,""en"",""hy"")"),"Այսօր շատ անելիքներ կան Օտտավայում, Օնտարիո: Որոշ տարբերակներ ներառում են այցելել Պառլամենտ բլուր, ուսումնասիրել ByWard շուկան կամ զբոսնել Rideau Canal-ով:")</f>
        <v>Այսօր շատ անելիքներ կան Օտտավայում, Օնտարիո: Որոշ տարբերակներ ներառում են այցելել Պառլամենտ բլուր, ուսումնասիրել ByWard շուկան կամ զբոսնել Rideau Canal-ով:</v>
      </c>
    </row>
    <row r="3489">
      <c r="A3489" s="1" t="s">
        <v>6875</v>
      </c>
      <c r="B3489" s="2" t="s">
        <v>6876</v>
      </c>
      <c r="C3489" s="3" t="str">
        <f>IFERROR(__xludf.DUMMYFUNCTION("GOOGLETRANSLATE(A3489,""en"",""hy"")"),"որտեղ էր ապրում Փոլ Ռայանը")</f>
        <v>որտեղ էր ապրում Փոլ Ռայանը</v>
      </c>
      <c r="D3489" s="3" t="str">
        <f>IFERROR(__xludf.DUMMYFUNCTION("GOOGLETRANSLATE(B3489,""en"",""hy"")"),"Փոլ Ռայանն ապրում էր Վիսկոնսին նահանգի Ջեյնսվիլ քաղաքում։")</f>
        <v>Փոլ Ռայանն ապրում էր Վիսկոնսին նահանգի Ջեյնսվիլ քաղաքում։</v>
      </c>
    </row>
    <row r="3490">
      <c r="A3490" s="1" t="s">
        <v>6877</v>
      </c>
      <c r="B3490" s="2" t="s">
        <v>6878</v>
      </c>
      <c r="C3490" s="3" t="str">
        <f>IFERROR(__xludf.DUMMYFUNCTION("GOOGLETRANSLATE(A3490,""en"",""hy"")"),"ով է Գալիլեո Գալիլեյը և ինչով է նա հայտնի:")</f>
        <v>ով է Գալիլեո Գալիլեյը և ինչով է նա հայտնի:</v>
      </c>
      <c r="D3490" s="3" t="str">
        <f>IFERROR(__xludf.DUMMYFUNCTION("GOOGLETRANSLATE(B3490,""en"",""hy"")"),"Գալիլեո Գալիլեյը իտալացի աստղագետ, ֆիզիկոս և մաթեմատիկոս էր։ Նա հայտնի է իր գիտական ​​հայտնագործություններով և գյուտերով, ինչպիսիք են աստղադիտակը, գիտական ​​մեթոդի բարելավումները և հելիոկենտրոնիզմի (այն գաղափարը, որ Երկիրը պտտվում է Արեգակի շուրջը) աջակցո"&amp;"ւթյամբ։")</f>
        <v>Գալիլեո Գալիլեյը իտալացի աստղագետ, ֆիզիկոս և մաթեմատիկոս էր։ Նա հայտնի է իր գիտական ​​հայտնագործություններով և գյուտերով, ինչպիսիք են աստղադիտակը, գիտական ​​մեթոդի բարելավումները և հելիոկենտրոնիզմի (այն գաղափարը, որ Երկիրը պտտվում է Արեգակի շուրջը) աջակցությամբ։</v>
      </c>
    </row>
    <row r="3491">
      <c r="A3491" s="1" t="s">
        <v>6879</v>
      </c>
      <c r="B3491" s="2" t="s">
        <v>6880</v>
      </c>
      <c r="C3491" s="3" t="str">
        <f>IFERROR(__xludf.DUMMYFUNCTION("GOOGLETRANSLATE(A3491,""en"",""hy"")"),"ինչպես է կոչվում Ավստրալիական օփենը")</f>
        <v>ինչպես է կոչվում Ավստրալիական օփենը</v>
      </c>
      <c r="D3491" s="3" t="str">
        <f>IFERROR(__xludf.DUMMYFUNCTION("GOOGLETRANSLATE(B3491,""en"",""hy"")"),"Ավստրալիայի բաց առաջնություն.")</f>
        <v>Ավստրալիայի բաց առաջնություն.</v>
      </c>
    </row>
    <row r="3492">
      <c r="A3492" s="1" t="s">
        <v>6881</v>
      </c>
      <c r="B3492" s="2" t="s">
        <v>6882</v>
      </c>
      <c r="C3492" s="3" t="str">
        <f>IFERROR(__xludf.DUMMYFUNCTION("GOOGLETRANSLATE(A3492,""en"",""hy"")"),"ո՞րն է փողի արժույթը Գվատեմալայում:")</f>
        <v>ո՞րն է փողի արժույթը Գվատեմալայում:</v>
      </c>
      <c r="D3492" s="3" t="str">
        <f>IFERROR(__xludf.DUMMYFUNCTION("GOOGLETRANSLATE(B3492,""en"",""hy"")"),"Գվատեմալայում արժույթը գվատեմալական քեցալն է։")</f>
        <v>Գվատեմալայում արժույթը գվատեմալական քեցալն է։</v>
      </c>
    </row>
    <row r="3493">
      <c r="A3493" s="1" t="s">
        <v>6883</v>
      </c>
      <c r="B3493" s="2" t="s">
        <v>6884</v>
      </c>
      <c r="C3493" s="3" t="str">
        <f>IFERROR(__xludf.DUMMYFUNCTION("GOOGLETRANSLATE(A3493,""en"",""hy"")"),"որտեղ է գտնվում Անգոլան")</f>
        <v>որտեղ է գտնվում Անգոլան</v>
      </c>
      <c r="D3493" s="3" t="str">
        <f>IFERROR(__xludf.DUMMYFUNCTION("GOOGLETRANSLATE(B3493,""en"",""hy"")"),"Անգոլան գտնվում է հարավային Աֆրիկայում։")</f>
        <v>Անգոլան գտնվում է հարավային Աֆրիկայում։</v>
      </c>
    </row>
    <row r="3494">
      <c r="A3494" s="1" t="s">
        <v>6885</v>
      </c>
      <c r="B3494" s="2" t="s">
        <v>6886</v>
      </c>
      <c r="C3494" s="3" t="str">
        <f>IFERROR(__xludf.DUMMYFUNCTION("GOOGLETRANSLATE(A3494,""en"",""hy"")"),"ինչ է տիբեթյան լեզուն")</f>
        <v>ինչ է տիբեթյան լեզուն</v>
      </c>
      <c r="D3494" s="3" t="str">
        <f>IFERROR(__xludf.DUMMYFUNCTION("GOOGLETRANSLATE(B3494,""en"",""hy"")"),"Տիբեթերենը տիբեթական լեզու է, որը հիմնականում խոսում են Տիբեթում և Չինաստանի, Բութանի, Նեպալի և Հնդկաստանի այլ շրջաններում։")</f>
        <v>Տիբեթերենը տիբեթական լեզու է, որը հիմնականում խոսում են Տիբեթում և Չինաստանի, Բութանի, Նեպալի և Հնդկաստանի այլ շրջաններում։</v>
      </c>
    </row>
    <row r="3495">
      <c r="A3495" s="1" t="s">
        <v>6887</v>
      </c>
      <c r="B3495" s="2" t="s">
        <v>6888</v>
      </c>
      <c r="C3495" s="3" t="str">
        <f>IFERROR(__xludf.DUMMYFUNCTION("GOOGLETRANSLATE(A3495,""en"",""hy"")"),"ո՞րն է Ռուսաստանի ազգային դրոշը:")</f>
        <v>ո՞րն է Ռուսաստանի ազգային դրոշը:</v>
      </c>
      <c r="D3495" s="3" t="str">
        <f>IFERROR(__xludf.DUMMYFUNCTION("GOOGLETRANSLATE(B3495,""en"",""hy"")"),"Ռուսաստանի ազգային դրոշը սպիտակ, կապույտ և կարմիր հորիզոնական եռագույն է:")</f>
        <v>Ռուսաստանի ազգային դրոշը սպիտակ, կապույտ և կարմիր հորիզոնական եռագույն է:</v>
      </c>
    </row>
    <row r="3496">
      <c r="A3496" s="1" t="s">
        <v>6889</v>
      </c>
      <c r="B3496" s="2" t="s">
        <v>6890</v>
      </c>
      <c r="C3496" s="3" t="str">
        <f>IFERROR(__xludf.DUMMYFUNCTION("GOOGLETRANSLATE(A3496,""en"",""hy"")"),"Ե՞րբ է Մարիա Շարապովան սկսել թենիս խաղալ:")</f>
        <v>Ե՞րբ է Մարիա Շարապովան սկսել թենիս խաղալ:</v>
      </c>
      <c r="D3496" s="3" t="str">
        <f>IFERROR(__xludf.DUMMYFUNCTION("GOOGLETRANSLATE(B3496,""en"",""hy"")"),"Մարիա Շարապովան սկսել է թենիս խաղալ չորս տարեկանից։")</f>
        <v>Մարիա Շարապովան սկսել է թենիս խաղալ չորս տարեկանից։</v>
      </c>
    </row>
    <row r="3497">
      <c r="A3497" s="1" t="s">
        <v>6891</v>
      </c>
      <c r="B3497" s="2" t="s">
        <v>3066</v>
      </c>
      <c r="C3497" s="3" t="str">
        <f>IFERROR(__xludf.DUMMYFUNCTION("GOOGLETRANSLATE(A3497,""en"",""hy"")"),"ինչպիսի՞ կառավարություն ունի Կանադան:")</f>
        <v>ինչպիսի՞ կառավարություն ունի Կանադան:</v>
      </c>
      <c r="D3497" s="3" t="str">
        <f>IFERROR(__xludf.DUMMYFUNCTION("GOOGLETRANSLATE(B3497,""en"",""hy"")"),"Կանադան ունի խորհրդարանական ժողովրդավարություն։")</f>
        <v>Կանադան ունի խորհրդարանական ժողովրդավարություն։</v>
      </c>
    </row>
    <row r="3498">
      <c r="A3498" s="1" t="s">
        <v>6892</v>
      </c>
      <c r="B3498" s="2" t="s">
        <v>6893</v>
      </c>
      <c r="C3498" s="3" t="str">
        <f>IFERROR(__xludf.DUMMYFUNCTION("GOOGLETRANSLATE(A3498,""en"",""hy"")"),"Ո՞ր երկրի հետ է առևտուր անում Մեքսիկան")</f>
        <v>Ո՞ր երկրի հետ է առևտուր անում Մեքսիկան</v>
      </c>
      <c r="D3498" s="3" t="str">
        <f>IFERROR(__xludf.DUMMYFUNCTION("GOOGLETRANSLATE(B3498,""en"",""hy"")"),"Մեքսիկան առևտուր է իրականացնում տարբեր երկրների հետ, այդ թվում՝ Միացյալ Նահանգների, Կանադայի, Չինաստանի և Ճապոնիայի, ի թիվս այլոց:")</f>
        <v>Մեքսիկան առևտուր է իրականացնում տարբեր երկրների հետ, այդ թվում՝ Միացյալ Նահանգների, Կանադայի, Չինաստանի և Ճապոնիայի, ի թիվս այլոց:</v>
      </c>
    </row>
    <row r="3499">
      <c r="A3499" s="1" t="s">
        <v>6894</v>
      </c>
      <c r="B3499" s="2" t="s">
        <v>6895</v>
      </c>
      <c r="C3499" s="3" t="str">
        <f>IFERROR(__xludf.DUMMYFUNCTION("GOOGLETRANSLATE(A3499,""en"",""hy"")"),"ինչպիսի՞ կառավարման ձև ունի Ավստրալիան:")</f>
        <v>ինչպիսի՞ կառավարման ձև ունի Ավստրալիան:</v>
      </c>
      <c r="D3499" s="3" t="str">
        <f>IFERROR(__xludf.DUMMYFUNCTION("GOOGLETRANSLATE(B3499,""en"",""hy"")"),"Ավստրալիան ունի խորհրդարանական ժողովրդավարություն՝ սահմանադրական միապետությամբ։")</f>
        <v>Ավստրալիան ունի խորհրդարանական ժողովրդավարություն՝ սահմանադրական միապետությամբ։</v>
      </c>
    </row>
    <row r="3500">
      <c r="A3500" s="1" t="s">
        <v>6896</v>
      </c>
      <c r="B3500" s="2" t="s">
        <v>6897</v>
      </c>
      <c r="C3500" s="3" t="str">
        <f>IFERROR(__xludf.DUMMYFUNCTION("GOOGLETRANSLATE(A3500,""en"",""hy"")"),"Որո՞նք են Ջամայկայի պաշտոնական լեզուները:")</f>
        <v>Որո՞նք են Ջամայկայի պաշտոնական լեզուները:</v>
      </c>
      <c r="D3500" s="3" t="str">
        <f>IFERROR(__xludf.DUMMYFUNCTION("GOOGLETRANSLATE(B3500,""en"",""hy"")"),"Ջամայկայի պաշտոնական լեզուն անգլերենն է։")</f>
        <v>Ջամայկայի պաշտոնական լեզուն անգլերենն է։</v>
      </c>
    </row>
    <row r="3501">
      <c r="A3501" s="1" t="s">
        <v>6898</v>
      </c>
      <c r="B3501" s="2" t="s">
        <v>6899</v>
      </c>
      <c r="C3501" s="3" t="str">
        <f>IFERROR(__xludf.DUMMYFUNCTION("GOOGLETRANSLATE(A3501,""en"",""hy"")"),"որտեղ է ապրել Հարիետ Թաբմանը քաղաքացիական պատերազմից հետո:")</f>
        <v>որտեղ է ապրել Հարիետ Թաբմանը քաղաքացիական պատերազմից հետո:</v>
      </c>
      <c r="D3501" s="3" t="str">
        <f>IFERROR(__xludf.DUMMYFUNCTION("GOOGLETRANSLATE(B3501,""en"",""hy"")"),"Քաղաքացիական պատերազմից հետո Հարիետ Թաբմանը ապրում էր Նյու Յորք նահանգի Օբերն քաղաքում։")</f>
        <v>Քաղաքացիական պատերազմից հետո Հարիետ Թաբմանը ապրում էր Նյու Յորք նահանգի Օբերն քաղաքում։</v>
      </c>
    </row>
    <row r="3502">
      <c r="A3502" s="1" t="s">
        <v>6900</v>
      </c>
      <c r="B3502" s="2" t="s">
        <v>6901</v>
      </c>
      <c r="C3502" s="3" t="str">
        <f>IFERROR(__xludf.DUMMYFUNCTION("GOOGLETRANSLATE(A3502,""en"",""hy"")"),"ով էր սիմբայի ձայնը")</f>
        <v>ով էր սիմբայի ձայնը</v>
      </c>
      <c r="D3502" s="3" t="str">
        <f>IFERROR(__xludf.DUMMYFUNCTION("GOOGLETRANSLATE(B3502,""en"",""hy"")"),"Մեթյու Բրոդերիկ.")</f>
        <v>Մեթյու Բրոդերիկ.</v>
      </c>
    </row>
    <row r="3503">
      <c r="A3503" s="1" t="s">
        <v>6902</v>
      </c>
      <c r="B3503" s="2" t="s">
        <v>6903</v>
      </c>
      <c r="C3503" s="3" t="str">
        <f>IFERROR(__xludf.DUMMYFUNCTION("GOOGLETRANSLATE(A3503,""en"",""hy"")"),"Ո՞ր երկրի համար է նավարկել Ջեյմսը:")</f>
        <v>Ո՞ր երկրի համար է նավարկել Ջեյմսը:</v>
      </c>
      <c r="D3503" s="3" t="str">
        <f>IFERROR(__xludf.DUMMYFUNCTION("GOOGLETRANSLATE(B3503,""en"",""hy"")"),"Ջեյմս Կուկը նավարկեց Անգլիա։")</f>
        <v>Ջեյմս Կուկը նավարկեց Անգլիա։</v>
      </c>
    </row>
    <row r="3504">
      <c r="A3504" s="1" t="s">
        <v>6904</v>
      </c>
      <c r="B3504" s="2" t="s">
        <v>6905</v>
      </c>
      <c r="C3504" s="3" t="str">
        <f>IFERROR(__xludf.DUMMYFUNCTION("GOOGLETRANSLATE(A3504,""en"",""hy"")"),"ո՞րն է Օրեգոնի մայրաքաղաքը")</f>
        <v>ո՞րն է Օրեգոնի մայրաքաղաքը</v>
      </c>
      <c r="D3504" s="3" t="str">
        <f>IFERROR(__xludf.DUMMYFUNCTION("GOOGLETRANSLATE(B3504,""en"",""hy"")"),"Սալեմ.")</f>
        <v>Սալեմ.</v>
      </c>
    </row>
    <row r="3505">
      <c r="A3505" s="1" t="s">
        <v>6906</v>
      </c>
      <c r="B3505" s="2" t="s">
        <v>1687</v>
      </c>
      <c r="C3505" s="3" t="str">
        <f>IFERROR(__xludf.DUMMYFUNCTION("GOOGLETRANSLATE(A3505,""en"",""hy"")"),"ինչ են անվանում Իսպանիան իրենց փողերը")</f>
        <v>ինչ են անվանում Իսպանիան իրենց փողերը</v>
      </c>
      <c r="D3505" s="3" t="str">
        <f>IFERROR(__xludf.DUMMYFUNCTION("GOOGLETRANSLATE(B3505,""en"",""hy"")"),"Իսպանիայի արժույթը կոչվում է եվրո։")</f>
        <v>Իսպանիայի արժույթը կոչվում է եվրո։</v>
      </c>
    </row>
    <row r="3506">
      <c r="A3506" s="1" t="s">
        <v>6907</v>
      </c>
      <c r="B3506" s="2" t="s">
        <v>6908</v>
      </c>
      <c r="C3506" s="3" t="str">
        <f>IFERROR(__xludf.DUMMYFUNCTION("GOOGLETRANSLATE(A3506,""en"",""hy"")"),"ինչ տեղի ունեցավ Նորմանդիա ներխուժումից հետո.")</f>
        <v>ինչ տեղի ունեցավ Նորմանդիա ներխուժումից հետո.</v>
      </c>
      <c r="D3506" s="3" t="str">
        <f>IFERROR(__xludf.DUMMYFUNCTION("GOOGLETRANSLATE(B3506,""en"",""hy"")"),"Նորմանդիա ներխուժումից հետո, որը նաև հայտնի է որպես D-Day, դաշնակիցները հաջողությամբ իրենց դիրքերը հաստատեցին Ֆրանսիայում և սկսեցին օկուպացված Եվրոպան նացիստների վերահսկողությունից ազատագրելու իրենց արշավը:")</f>
        <v>Նորմանդիա ներխուժումից հետո, որը նաև հայտնի է որպես D-Day, դաշնակիցները հաջողությամբ իրենց դիրքերը հաստատեցին Ֆրանսիայում և սկսեցին օկուպացված Եվրոպան նացիստների վերահսկողությունից ազատագրելու իրենց արշավը:</v>
      </c>
    </row>
    <row r="3507">
      <c r="A3507" s="1" t="s">
        <v>6909</v>
      </c>
      <c r="B3507" s="2" t="s">
        <v>6910</v>
      </c>
      <c r="C3507" s="3" t="str">
        <f>IFERROR(__xludf.DUMMYFUNCTION("GOOGLETRANSLATE(A3507,""en"",""hy"")"),"ով է Ջեյմս Ֆրանկոն նվագել ընդհանուր հիվանդանոցում:")</f>
        <v>ով է Ջեյմս Ֆրանկոն նվագել ընդհանուր հիվանդանոցում:</v>
      </c>
      <c r="D3507" s="3" t="str">
        <f>IFERROR(__xludf.DUMMYFUNCTION("GOOGLETRANSLATE(B3507,""en"",""hy"")"),"Ջեյմս Ֆրանկոն մարմնավորել է Ֆրանկոյի կերպարը Գլխավոր հիվանդանոցում։")</f>
        <v>Ջեյմս Ֆրանկոն մարմնավորել է Ֆրանկոյի կերպարը Գլխավոր հիվանդանոցում։</v>
      </c>
    </row>
    <row r="3508">
      <c r="A3508" s="1" t="s">
        <v>6911</v>
      </c>
      <c r="B3508" s="2" t="s">
        <v>4788</v>
      </c>
      <c r="C3508" s="3" t="str">
        <f>IFERROR(__xludf.DUMMYFUNCTION("GOOGLETRANSLATE(A3508,""en"",""hy"")"),"ո՞ր կուսակցությանն էր պատկանում Լինքոլնը")</f>
        <v>ո՞ր կուսակցությանն էր պատկանում Լինքոլնը</v>
      </c>
      <c r="D3508" s="3" t="str">
        <f>IFERROR(__xludf.DUMMYFUNCTION("GOOGLETRANSLATE(B3508,""en"",""hy"")"),"Հանրապետական ​​կուսակցություն.")</f>
        <v>Հանրապետական ​​կուսակցություն.</v>
      </c>
    </row>
    <row r="3509">
      <c r="A3509" s="1" t="s">
        <v>6912</v>
      </c>
      <c r="B3509" s="2" t="s">
        <v>6913</v>
      </c>
      <c r="C3509" s="3" t="str">
        <f>IFERROR(__xludf.DUMMYFUNCTION("GOOGLETRANSLATE(A3509,""en"",""hy"")"),"ով է խաղում Սարումանի օղակների տիրակալի դերում:")</f>
        <v>ով է խաղում Սարումանի օղակների տիրակալի դերում:</v>
      </c>
      <c r="D3509" s="3" t="str">
        <f>IFERROR(__xludf.DUMMYFUNCTION("GOOGLETRANSLATE(B3509,""en"",""hy"")"),"Քրիստոֆեր Լին խաղում է Սարումանի դերը Մատանիների տիրակալում։")</f>
        <v>Քրիստոֆեր Լին խաղում է Սարումանի դերը Մատանիների տիրակալում։</v>
      </c>
    </row>
    <row r="3510">
      <c r="A3510" s="1" t="s">
        <v>6914</v>
      </c>
      <c r="B3510" s="2" t="s">
        <v>6915</v>
      </c>
      <c r="C3510" s="3" t="str">
        <f>IFERROR(__xludf.DUMMYFUNCTION("GOOGLETRANSLATE(A3510,""en"",""hy"")"),"որտեղ է Բահամյան կղզիներում այցելելու լավագույն վայրը:")</f>
        <v>որտեղ է Բահամյան կղզիներում այցելելու լավագույն վայրը:</v>
      </c>
      <c r="D3510" s="3" t="str">
        <f>IFERROR(__xludf.DUMMYFUNCTION("GOOGLETRANSLATE(B3510,""en"",""hy"")"),"Բահամյան կղզիներում այցելելու լավագույն վայրը Նասաուն է:")</f>
        <v>Բահամյան կղզիներում այցելելու լավագույն վայրը Նասաուն է:</v>
      </c>
    </row>
    <row r="3511">
      <c r="A3511" s="1" t="s">
        <v>6916</v>
      </c>
      <c r="B3511" s="2" t="s">
        <v>6917</v>
      </c>
      <c r="C3511" s="3" t="str">
        <f>IFERROR(__xludf.DUMMYFUNCTION("GOOGLETRANSLATE(A3511,""en"",""hy"")"),"ինչպես է կոչվում Մեքսիկայի արժույթը:")</f>
        <v>ինչպես է կոչվում Մեքսիկայի արժույթը:</v>
      </c>
      <c r="D3511" s="3" t="str">
        <f>IFERROR(__xludf.DUMMYFUNCTION("GOOGLETRANSLATE(B3511,""en"",""hy"")"),"Մեքսիկայի արժույթը կոչվում է մեքսիկական պեսո:")</f>
        <v>Մեքսիկայի արժույթը կոչվում է մեքսիկական պեսո:</v>
      </c>
    </row>
    <row r="3512">
      <c r="A3512" s="1" t="s">
        <v>6918</v>
      </c>
      <c r="B3512" s="2" t="s">
        <v>6919</v>
      </c>
      <c r="C3512" s="3" t="str">
        <f>IFERROR(__xludf.DUMMYFUNCTION("GOOGLETRANSLATE(A3512,""en"",""hy"")"),"ինչ թիմեր խաղաց Շաքը 4?")</f>
        <v>ինչ թիմեր խաղաց Շաքը 4?</v>
      </c>
      <c r="D3512" s="3" t="str">
        <f>IFERROR(__xludf.DUMMYFUNCTION("GOOGLETRANSLATE(B3512,""en"",""hy"")"),"Շաքը խաղացել է «Օռլանդո Մեջիք»-ում, «Լոս Անջելես Լեյքերս»-ում, «Մայամի Հիթ»-ում, «Ֆենիքս Սանս»-ում, «Քլիվլենդ Կավալիերս»-ում և «Բոստոն Սելթիքս»-ում:")</f>
        <v>Շաքը խաղացել է «Օռլանդո Մեջիք»-ում, «Լոս Անջելես Լեյքերս»-ում, «Մայամի Հիթ»-ում, «Ֆենիքս Սանս»-ում, «Քլիվլենդ Կավալիերս»-ում և «Բոստոն Սելթիքս»-ում:</v>
      </c>
    </row>
    <row r="3513">
      <c r="A3513" s="1" t="s">
        <v>6920</v>
      </c>
      <c r="B3513" s="2" t="s">
        <v>6921</v>
      </c>
      <c r="C3513" s="3" t="str">
        <f>IFERROR(__xludf.DUMMYFUNCTION("GOOGLETRANSLATE(A3513,""en"",""hy"")"),"ինչ արժույթ է ընդունում Թուրքիան")</f>
        <v>ինչ արժույթ է ընդունում Թուրքիան</v>
      </c>
      <c r="D3513" s="3" t="str">
        <f>IFERROR(__xludf.DUMMYFUNCTION("GOOGLETRANSLATE(B3513,""en"",""hy"")"),"Թուրքիայի կողմից ընդունվող արժույթը թուրքական լիրան է։")</f>
        <v>Թուրքիայի կողմից ընդունվող արժույթը թուրքական լիրան է։</v>
      </c>
    </row>
    <row r="3514">
      <c r="A3514" s="1" t="s">
        <v>6922</v>
      </c>
      <c r="B3514" s="2" t="s">
        <v>3527</v>
      </c>
      <c r="C3514" s="3" t="str">
        <f>IFERROR(__xludf.DUMMYFUNCTION("GOOGLETRANSLATE(A3514,""en"",""hy"")"),"ով էր փոխնախագահը Լինքոլնի օրոք:")</f>
        <v>ով էր փոխնախագահը Լինքոլնի օրոք:</v>
      </c>
      <c r="D3514" s="3" t="str">
        <f>IFERROR(__xludf.DUMMYFUNCTION("GOOGLETRANSLATE(B3514,""en"",""hy"")"),"Էնդրյու Ջոնսոն.")</f>
        <v>Էնդրյու Ջոնսոն.</v>
      </c>
    </row>
    <row r="3515">
      <c r="A3515" s="1" t="s">
        <v>6923</v>
      </c>
      <c r="B3515" s="2" t="s">
        <v>745</v>
      </c>
      <c r="C3515" s="3" t="str">
        <f>IFERROR(__xludf.DUMMYFUNCTION("GOOGLETRANSLATE(A3515,""en"",""hy"")"),"Ո՞ր նահանգում է գտնվում Ջորջ Վաշինգթոնի համալսարանը:")</f>
        <v>Ո՞ր նահանգում է գտնվում Ջորջ Վաշինգթոնի համալսարանը:</v>
      </c>
      <c r="D3515" s="3" t="str">
        <f>IFERROR(__xludf.DUMMYFUNCTION("GOOGLETRANSLATE(B3515,""en"",""hy"")"),"Վաշինգտոն, D.C.")</f>
        <v>Վաշինգտոն, D.C.</v>
      </c>
    </row>
    <row r="3516">
      <c r="A3516" s="1" t="s">
        <v>6924</v>
      </c>
      <c r="B3516" s="2" t="s">
        <v>6925</v>
      </c>
      <c r="C3516" s="3" t="str">
        <f>IFERROR(__xludf.DUMMYFUNCTION("GOOGLETRANSLATE(A3516,""en"",""hy"")"),"որտեղ է մահացել Անդրեաս Վեսալիուսը")</f>
        <v>որտեղ է մահացել Անդրեաս Վեսալիուսը</v>
      </c>
      <c r="D3516" s="3" t="str">
        <f>IFERROR(__xludf.DUMMYFUNCTION("GOOGLETRANSLATE(B3516,""en"",""hy"")"),"Անդրեաս Վեսալիուսը մահացել է Հունաստանի Զակինթոս քաղաքում:")</f>
        <v>Անդրեաս Վեսալիուսը մահացել է Հունաստանի Զակինթոս քաղաքում:</v>
      </c>
    </row>
    <row r="3517">
      <c r="A3517" s="1" t="s">
        <v>6926</v>
      </c>
      <c r="B3517" s="2" t="s">
        <v>6927</v>
      </c>
      <c r="C3517" s="3" t="str">
        <f>IFERROR(__xludf.DUMMYFUNCTION("GOOGLETRANSLATE(A3517,""en"",""hy"")"),"որտեղ է Փոլ Ռայանը հաճախել քոլեջ:")</f>
        <v>որտեղ է Փոլ Ռայանը հաճախել քոլեջ:</v>
      </c>
      <c r="D3517" s="3" t="str">
        <f>IFERROR(__xludf.DUMMYFUNCTION("GOOGLETRANSLATE(B3517,""en"",""hy"")"),"Փոլ Ռայանը սովորել է Օհայոյի Մայամիի համալսարանում:")</f>
        <v>Փոլ Ռայանը սովորել է Օհայոյի Մայամիի համալսարանում:</v>
      </c>
    </row>
    <row r="3518">
      <c r="A3518" s="1" t="s">
        <v>6928</v>
      </c>
      <c r="B3518" s="2" t="s">
        <v>6929</v>
      </c>
      <c r="C3518" s="3" t="str">
        <f>IFERROR(__xludf.DUMMYFUNCTION("GOOGLETRANSLATE(A3518,""en"",""hy"")"),"ում համար է հիմա խաղում Ռոնալդուն")</f>
        <v>ում համար է հիմա խաղում Ռոնալդուն</v>
      </c>
      <c r="D3518" s="3" t="str">
        <f>IFERROR(__xludf.DUMMYFUNCTION("GOOGLETRANSLATE(B3518,""en"",""hy"")"),"Ռոնալդուն այժմ հանդես է գալիս «Մանչեսթեր Յունայթեդում»:")</f>
        <v>Ռոնալդուն այժմ հանդես է գալիս «Մանչեսթեր Յունայթեդում»:</v>
      </c>
    </row>
    <row r="3519">
      <c r="A3519" s="1" t="s">
        <v>6930</v>
      </c>
      <c r="B3519" s="2" t="s">
        <v>6931</v>
      </c>
      <c r="C3519" s="3" t="str">
        <f>IFERROR(__xludf.DUMMYFUNCTION("GOOGLETRANSLATE(A3519,""en"",""hy"")"),"ի՞նչ գույնի են Արիզոնայի կարդինալների համազգեստը:")</f>
        <v>ի՞նչ գույնի են Արիզոնայի կարդինալների համազգեստը:</v>
      </c>
      <c r="D3519" s="3" t="str">
        <f>IFERROR(__xludf.DUMMYFUNCTION("GOOGLETRANSLATE(B3519,""en"",""hy"")"),"Արիզոնա կարդինալների համազգեստը հիմնականում կարմիր է:")</f>
        <v>Արիզոնա կարդինալների համազգեստը հիմնականում կարմիր է:</v>
      </c>
    </row>
    <row r="3520">
      <c r="A3520" s="1" t="s">
        <v>6932</v>
      </c>
      <c r="B3520" s="2" t="s">
        <v>6933</v>
      </c>
      <c r="C3520" s="3" t="str">
        <f>IFERROR(__xludf.DUMMYFUNCTION("GOOGLETRANSLATE(A3520,""en"",""hy"")"),"երբ էր Ջորջ Հ.Վ. Բուշն ընտրվեց նախագահ.")</f>
        <v>երբ էր Ջորջ Հ.Վ. Բուշն ընտրվեց նախագահ.</v>
      </c>
      <c r="D3520" s="3" t="str">
        <f>IFERROR(__xludf.DUMMYFUNCTION("GOOGLETRANSLATE(B3520,""en"",""hy"")"),"Ջորջ Հ.Վ. Բուշը նախագահ է ընտրվել 1988 թվականին։")</f>
        <v>Ջորջ Հ.Վ. Բուշը նախագահ է ընտրվել 1988 թվականին։</v>
      </c>
    </row>
    <row r="3521">
      <c r="A3521" s="1" t="s">
        <v>6934</v>
      </c>
      <c r="B3521" s="2" t="s">
        <v>6935</v>
      </c>
      <c r="C3521" s="3" t="str">
        <f>IFERROR(__xludf.DUMMYFUNCTION("GOOGLETRANSLATE(A3521,""en"",""hy"")"),"որտեղ է ծնվել կայսր Ցին Շի Հուանգը:")</f>
        <v>որտեղ է ծնվել կայսր Ցին Շի Հուանգը:</v>
      </c>
      <c r="D3521" s="3" t="str">
        <f>IFERROR(__xludf.DUMMYFUNCTION("GOOGLETRANSLATE(B3521,""en"",""hy"")"),"Կայսր Ցին Շի Հուանգը ծնվել է ներկայիս Չինաստանի Շենսի նահանգի Ցին նահանգում:")</f>
        <v>Կայսր Ցին Շի Հուանգը ծնվել է ներկայիս Չինաստանի Շենսի նահանգի Ցին նահանգում:</v>
      </c>
    </row>
    <row r="3522">
      <c r="A3522" s="1" t="s">
        <v>6936</v>
      </c>
      <c r="B3522" s="2" t="s">
        <v>6937</v>
      </c>
      <c r="C3522" s="3" t="str">
        <f>IFERROR(__xludf.DUMMYFUNCTION("GOOGLETRANSLATE(A3522,""en"",""hy"")"),"որտեղ էր գտնվում առաջին Ford Motor ընկերությունը:")</f>
        <v>որտեղ էր գտնվում առաջին Ford Motor ընկերությունը:</v>
      </c>
      <c r="D3522" s="3" t="str">
        <f>IFERROR(__xludf.DUMMYFUNCTION("GOOGLETRANSLATE(B3522,""en"",""hy"")"),"Առաջին Ford Motor Company-ն գտնվում էր Միչիգան ​​նահանգի Դեթրոյթ քաղաքում:")</f>
        <v>Առաջին Ford Motor Company-ն գտնվում էր Միչիգան ​​նահանգի Դեթրոյթ քաղաքում:</v>
      </c>
    </row>
    <row r="3523">
      <c r="A3523" s="1" t="s">
        <v>6938</v>
      </c>
      <c r="B3523" s="2" t="s">
        <v>6939</v>
      </c>
      <c r="C3523" s="3" t="str">
        <f>IFERROR(__xludf.DUMMYFUNCTION("GOOGLETRANSLATE(A3523,""en"",""hy"")"),"որտեղ էին ապրում սենեկա հնդկացիները:")</f>
        <v>որտեղ էին ապրում սենեկա հնդկացիները:</v>
      </c>
      <c r="D3523" s="3" t="str">
        <f>IFERROR(__xludf.DUMMYFUNCTION("GOOGLETRANSLATE(B3523,""en"",""hy"")"),"Սենեկա հնդկացիներն ապրում էին Հյուսիսային Ամերիկայի հյուսիս-արևելյան մասում, հիմնականում ներկայիս Նյու Յորք նահանգի տարածքում:")</f>
        <v>Սենեկա հնդկացիներն ապրում էին Հյուսիսային Ամերիկայի հյուսիս-արևելյան մասում, հիմնականում ներկայիս Նյու Յորք նահանգի տարածքում:</v>
      </c>
    </row>
    <row r="3524">
      <c r="A3524" s="1" t="s">
        <v>6940</v>
      </c>
      <c r="B3524" s="2" t="s">
        <v>6941</v>
      </c>
      <c r="C3524" s="3" t="str">
        <f>IFERROR(__xludf.DUMMYFUNCTION("GOOGLETRANSLATE(A3524,""en"",""hy"")"),"Ո՞ր երկրից է ծագել իռլանդական լեզուն:")</f>
        <v>Ո՞ր երկրից է ծագել իռլանդական լեզուն:</v>
      </c>
      <c r="D3524" s="3" t="str">
        <f>IFERROR(__xludf.DUMMYFUNCTION("GOOGLETRANSLATE(B3524,""en"",""hy"")"),"Իռլանդիա.")</f>
        <v>Իռլանդիա.</v>
      </c>
    </row>
    <row r="3525">
      <c r="A3525" s="1" t="s">
        <v>6942</v>
      </c>
      <c r="B3525" s="2" t="s">
        <v>6943</v>
      </c>
      <c r="C3525" s="3" t="str">
        <f>IFERROR(__xludf.DUMMYFUNCTION("GOOGLETRANSLATE(A3525,""en"",""hy"")"),"ի՞նչ ստեղծեց Հարլեմի վերածնունդը:")</f>
        <v>ի՞նչ ստեղծեց Հարլեմի վերածնունդը:</v>
      </c>
      <c r="D3525" s="3" t="str">
        <f>IFERROR(__xludf.DUMMYFUNCTION("GOOGLETRANSLATE(B3525,""en"",""hy"")"),"Հարլեմի վերածնունդը ստեղծեց աշխույժ գեղարվեստական ​​և ինտելեկտուալ շարժում աֆրոամերիկյան համայնքում:")</f>
        <v>Հարլեմի վերածնունդը ստեղծեց աշխույժ գեղարվեստական ​​և ինտելեկտուալ շարժում աֆրոամերիկյան համայնքում:</v>
      </c>
    </row>
    <row r="3526">
      <c r="A3526" s="1" t="s">
        <v>6944</v>
      </c>
      <c r="B3526" s="2" t="s">
        <v>6945</v>
      </c>
      <c r="C3526" s="3" t="str">
        <f>IFERROR(__xludf.DUMMYFUNCTION("GOOGLETRANSLATE(A3526,""en"",""hy"")"),"ինչ ֆիլմերում է Ջերարդ Բաթլերը")</f>
        <v>ինչ ֆիլմերում է Ջերարդ Բաթլերը</v>
      </c>
      <c r="D3526" s="3" t="str">
        <f>IFERROR(__xludf.DUMMYFUNCTION("GOOGLETRANSLATE(B3526,""en"",""hy"")"),"Ջերարդ Բաթլերը նկարահանվել է այնպիսի ֆիլմերում, ինչպիսիք են՝ «300», «Օպերայի ուրվականը», «Օլիմպոսն ընկել է» և «Օրենքապաշտ քաղաքացին»։")</f>
        <v>Ջերարդ Բաթլերը նկարահանվել է այնպիսի ֆիլմերում, ինչպիսիք են՝ «300», «Օպերայի ուրվականը», «Օլիմպոսն ընկել է» և «Օրենքապաշտ քաղաքացին»։</v>
      </c>
    </row>
    <row r="3527">
      <c r="A3527" s="1" t="s">
        <v>6946</v>
      </c>
      <c r="B3527" s="2" t="s">
        <v>6947</v>
      </c>
      <c r="C3527" s="3" t="str">
        <f>IFERROR(__xludf.DUMMYFUNCTION("GOOGLETRANSLATE(A3527,""en"",""hy"")"),"որտեղ է մահացել Մենդելեևը.")</f>
        <v>որտեղ է մահացել Մենդելեևը.</v>
      </c>
      <c r="D3527" s="3" t="str">
        <f>IFERROR(__xludf.DUMMYFUNCTION("GOOGLETRANSLATE(B3527,""en"",""hy"")"),"Մենդելեևը մահացել է Ռուսաստանի Սանկտ Պետերբուրգ քաղաքում։")</f>
        <v>Մենդելեևը մահացել է Ռուսաստանի Սանկտ Պետերբուրգ քաղաքում։</v>
      </c>
    </row>
    <row r="3528">
      <c r="A3528" s="1" t="s">
        <v>6948</v>
      </c>
      <c r="B3528" s="2" t="s">
        <v>6949</v>
      </c>
      <c r="C3528" s="3" t="str">
        <f>IFERROR(__xludf.DUMMYFUNCTION("GOOGLETRANSLATE(A3528,""en"",""hy"")"),"որտեղ է Glastonbury UK?")</f>
        <v>որտեղ է Glastonbury UK?</v>
      </c>
      <c r="D3528" s="3" t="str">
        <f>IFERROR(__xludf.DUMMYFUNCTION("GOOGLETRANSLATE(B3528,""en"",""hy"")"),"Glastonbury-ը գտնվում է Սոմերսեթում, Մեծ Բրիտանիա:")</f>
        <v>Glastonbury-ը գտնվում է Սոմերսեթում, Մեծ Բրիտանիա:</v>
      </c>
    </row>
    <row r="3529">
      <c r="A3529" s="1" t="s">
        <v>6950</v>
      </c>
      <c r="B3529" s="2" t="s">
        <v>6951</v>
      </c>
      <c r="C3529" s="3" t="str">
        <f>IFERROR(__xludf.DUMMYFUNCTION("GOOGLETRANSLATE(A3529,""en"",""hy"")"),"ինչ լեզվով էին գրում հին հռոմեացիները:")</f>
        <v>ինչ լեզվով էին գրում հին հռոմեացիները:</v>
      </c>
      <c r="D3529" s="3" t="str">
        <f>IFERROR(__xludf.DUMMYFUNCTION("GOOGLETRANSLATE(B3529,""en"",""hy"")"),"Հին հռոմեացիները գրել են լատիներեն.")</f>
        <v>Հին հռոմեացիները գրել են լատիներեն.</v>
      </c>
    </row>
    <row r="3530">
      <c r="A3530" s="1" t="s">
        <v>6952</v>
      </c>
      <c r="B3530" s="2" t="s">
        <v>6953</v>
      </c>
      <c r="C3530" s="3" t="str">
        <f>IFERROR(__xludf.DUMMYFUNCTION("GOOGLETRANSLATE(A3530,""en"",""hy"")"),"Ո՞ր թիմում է ներկայումս խաղում Դիեգո Ֆորլանը:")</f>
        <v>Ո՞ր թիմում է ներկայումս խաղում Դիեգո Ֆորլանը:</v>
      </c>
      <c r="D3530" s="3" t="str">
        <f>IFERROR(__xludf.DUMMYFUNCTION("GOOGLETRANSLATE(B3530,""en"",""hy"")"),"Դիեգո Ֆորլանը ներկայումս չի խաղում ոչ մի թիմում։")</f>
        <v>Դիեգո Ֆորլանը ներկայումս չի խաղում ոչ մի թիմում։</v>
      </c>
    </row>
    <row r="3531">
      <c r="A3531" s="1" t="s">
        <v>6954</v>
      </c>
      <c r="B3531" s="2" t="s">
        <v>6955</v>
      </c>
      <c r="C3531" s="3" t="str">
        <f>IFERROR(__xludf.DUMMYFUNCTION("GOOGLETRANSLATE(A3531,""en"",""hy"")"),"ինչ այլ ֆիլմերում է Լիամ Հեմսվորթը:")</f>
        <v>ինչ այլ ֆիլմերում է Լիամ Հեմսվորթը:</v>
      </c>
      <c r="D3531" s="3" t="str">
        <f>IFERROR(__xludf.DUMMYFUNCTION("GOOGLETRANSLATE(B3531,""en"",""hy"")"),"Մի քանի այլ ֆիլմեր, որոնցում նկարահանվել է Լիամ Հեմսվորթը, ներառում են «Վերջին երգը», «Քաղցած խաղեր» շարքը, «Անկախության օր. վերածնունդ» և «Մի՞թե ռոմանտիկ է»:")</f>
        <v>Մի քանի այլ ֆիլմեր, որոնցում նկարահանվել է Լիամ Հեմսվորթը, ներառում են «Վերջին երգը», «Քաղցած խաղեր» շարքը, «Անկախության օր. վերածնունդ» և «Մի՞թե ռոմանտիկ է»:</v>
      </c>
    </row>
    <row r="3532">
      <c r="A3532" s="1" t="s">
        <v>6956</v>
      </c>
      <c r="B3532" s="2" t="s">
        <v>6957</v>
      </c>
      <c r="C3532" s="3" t="str">
        <f>IFERROR(__xludf.DUMMYFUNCTION("GOOGLETRANSLATE(A3532,""en"",""hy"")"),"ինչ անել Սան Ֆրանցիսկոյի կենտրոնում:")</f>
        <v>ինչ անել Սան Ֆրանցիսկոյի կենտրոնում:</v>
      </c>
      <c r="D3532" s="3" t="str">
        <f>IFERROR(__xludf.DUMMYFUNCTION("GOOGLETRANSLATE(B3532,""en"",""hy"")"),"Բացահայտեք խորհրդանշական տեսարժան վայրերը, ինչպիսիք են Golden Gate Bridge-ը, այցելեք այնպիսի թանգարաններ, ինչպիսին է Սան Ֆրանցիսկոյի ժամանակակից արվեստի թանգարանը, գնումներ կատարեք և ճաշեք Union Square-ում և վայելեք Chinatown-ի աշխույժ մթնոլորտը:")</f>
        <v>Բացահայտեք խորհրդանշական տեսարժան վայրերը, ինչպիսիք են Golden Gate Bridge-ը, այցելեք այնպիսի թանգարաններ, ինչպիսին է Սան Ֆրանցիսկոյի ժամանակակից արվեստի թանգարանը, գնումներ կատարեք և ճաշեք Union Square-ում և վայելեք Chinatown-ի աշխույժ մթնոլորտը:</v>
      </c>
    </row>
    <row r="3533">
      <c r="A3533" s="1" t="s">
        <v>6958</v>
      </c>
      <c r="B3533" s="2" t="s">
        <v>6959</v>
      </c>
      <c r="C3533" s="3" t="str">
        <f>IFERROR(__xludf.DUMMYFUNCTION("GOOGLETRANSLATE(A3533,""en"",""hy"")"),"ինչ տեսակի քաղցկեղից է մահացել Բոբ Մարլին.")</f>
        <v>ինչ տեսակի քաղցկեղից է մահացել Բոբ Մարլին.</v>
      </c>
      <c r="D3533" s="3" t="str">
        <f>IFERROR(__xludf.DUMMYFUNCTION("GOOGLETRANSLATE(B3533,""en"",""hy"")"),"Բոբ Մարլին մահացել է մելանոմայից՝ մաշկի քաղցկեղի տեսակից։")</f>
        <v>Բոբ Մարլին մահացել է մելանոմայից՝ մաշկի քաղցկեղի տեսակից։</v>
      </c>
    </row>
    <row r="3534">
      <c r="A3534" s="1" t="s">
        <v>6960</v>
      </c>
      <c r="B3534" s="2" t="s">
        <v>6961</v>
      </c>
      <c r="C3534" s="3" t="str">
        <f>IFERROR(__xludf.DUMMYFUNCTION("GOOGLETRANSLATE(A3534,""en"",""hy"")"),"ո՞ր կրոնին էր հետևում Հիսուս Քրիստոսը")</f>
        <v>ո՞ր կրոնին էր հետևում Հիսուս Քրիստոսը</v>
      </c>
      <c r="D3534" s="3" t="str">
        <f>IFERROR(__xludf.DUMMYFUNCTION("GOOGLETRANSLATE(B3534,""en"",""hy"")"),"Հիսուս Քրիստոսը հետևեց հուդայականությանը:")</f>
        <v>Հիսուս Քրիստոսը հետևեց հուդայականությանը:</v>
      </c>
    </row>
    <row r="3535">
      <c r="A3535" s="1" t="s">
        <v>6962</v>
      </c>
      <c r="B3535" s="2" t="s">
        <v>1161</v>
      </c>
      <c r="C3535" s="3" t="str">
        <f>IFERROR(__xludf.DUMMYFUNCTION("GOOGLETRANSLATE(A3535,""en"",""hy"")"),"ով է խաղացել Լյուկ Սքայուոքերը:")</f>
        <v>ով է խաղացել Լյուկ Սքայուոքերը:</v>
      </c>
      <c r="D3535" s="3" t="str">
        <f>IFERROR(__xludf.DUMMYFUNCTION("GOOGLETRANSLATE(B3535,""en"",""hy"")"),"Մարկ Հեմիլ.")</f>
        <v>Մարկ Հեմիլ.</v>
      </c>
    </row>
    <row r="3536">
      <c r="A3536" s="1" t="s">
        <v>6963</v>
      </c>
      <c r="B3536" s="2" t="s">
        <v>6964</v>
      </c>
      <c r="C3536" s="3" t="str">
        <f>IFERROR(__xludf.DUMMYFUNCTION("GOOGLETRANSLATE(A3536,""en"",""hy"")"),"ով էր պետքարտուղարը, երբ Ռիչարդ Նիքսոնը նախագահ էր:")</f>
        <v>ով էր պետքարտուղարը, երբ Ռիչարդ Նիքսոնը նախագահ էր:</v>
      </c>
      <c r="D3536" s="3" t="str">
        <f>IFERROR(__xludf.DUMMYFUNCTION("GOOGLETRANSLATE(B3536,""en"",""hy"")"),"Հենրի Քիսինջեր.")</f>
        <v>Հենրի Քիսինջեր.</v>
      </c>
    </row>
    <row r="3537">
      <c r="A3537" s="1" t="s">
        <v>6965</v>
      </c>
      <c r="B3537" s="2" t="s">
        <v>6966</v>
      </c>
      <c r="C3537" s="3" t="str">
        <f>IFERROR(__xludf.DUMMYFUNCTION("GOOGLETRANSLATE(A3537,""en"",""hy"")"),"ով է ձայնը կովու առյուծ արքան.")</f>
        <v>ով է ձայնը կովու առյուծ արքան.</v>
      </c>
      <c r="D3537" s="3" t="str">
        <f>IFERROR(__xludf.DUMMYFUNCTION("GOOGLETRANSLATE(B3537,""en"",""hy"")"),"Ջեյսոն Մարսդեն")</f>
        <v>Ջեյսոն Մարսդեն</v>
      </c>
    </row>
    <row r="3538">
      <c r="A3538" s="1" t="s">
        <v>6967</v>
      </c>
      <c r="B3538" s="2" t="s">
        <v>6968</v>
      </c>
      <c r="C3538" s="3" t="str">
        <f>IFERROR(__xludf.DUMMYFUNCTION("GOOGLETRANSLATE(A3538,""en"",""hy"")"),"որտեղ էր ապրում Թեոդոր Ռուզվելտը մինչև նախագահ դառնալը:")</f>
        <v>որտեղ էր ապրում Թեոդոր Ռուզվելտը մինչև նախագահ դառնալը:</v>
      </c>
      <c r="D3538" s="3" t="str">
        <f>IFERROR(__xludf.DUMMYFUNCTION("GOOGLETRANSLATE(B3538,""en"",""hy"")"),"Թեոդոր Ռուզվելտը մինչ նախագահ դառնալը ապրել է Նյու Յորքում։")</f>
        <v>Թեոդոր Ռուզվելտը մինչ նախագահ դառնալը ապրել է Նյու Յորքում։</v>
      </c>
    </row>
    <row r="3539">
      <c r="A3539" s="1" t="s">
        <v>6969</v>
      </c>
      <c r="B3539" s="2" t="s">
        <v>6970</v>
      </c>
      <c r="C3539" s="3" t="str">
        <f>IFERROR(__xludf.DUMMYFUNCTION("GOOGLETRANSLATE(A3539,""en"",""hy"")"),"Ո՞ր տարում է զորակոչվել Թոմ Բրեդին:")</f>
        <v>Ո՞ր տարում է զորակոչվել Թոմ Բրեդին:</v>
      </c>
      <c r="D3539" s="3" t="str">
        <f>IFERROR(__xludf.DUMMYFUNCTION("GOOGLETRANSLATE(B3539,""en"",""hy"")"),"Թոմ Բրեդին զորակոչվել է 2000 թվականին։")</f>
        <v>Թոմ Բրեդին զորակոչվել է 2000 թվականին։</v>
      </c>
    </row>
    <row r="3540">
      <c r="A3540" s="1" t="s">
        <v>6971</v>
      </c>
      <c r="B3540" s="2" t="s">
        <v>6972</v>
      </c>
      <c r="C3540" s="3" t="str">
        <f>IFERROR(__xludf.DUMMYFUNCTION("GOOGLETRANSLATE(A3540,""en"",""hy"")"),"ո՞ր կուսակցության հետ է կապված Բլումբերգը")</f>
        <v>ո՞ր կուսակցության հետ է կապված Բլումբերգը</v>
      </c>
      <c r="D3540" s="3" t="str">
        <f>IFERROR(__xludf.DUMMYFUNCTION("GOOGLETRANSLATE(B3540,""en"",""hy"")"),"Մայքլ Բլումբերգը կապված է Դեմոկրատական ​​կուսակցության հետ։")</f>
        <v>Մայքլ Բլումբերգը կապված է Դեմոկրատական ​​կուսակցության հետ։</v>
      </c>
    </row>
    <row r="3541">
      <c r="A3541" s="1" t="s">
        <v>6973</v>
      </c>
      <c r="B3541" s="2" t="s">
        <v>6974</v>
      </c>
      <c r="C3541" s="3" t="str">
        <f>IFERROR(__xludf.DUMMYFUNCTION("GOOGLETRANSLATE(A3541,""en"",""hy"")"),"որտեղ է ապրում t boone pickens-ը:")</f>
        <v>որտեղ է ապրում t boone pickens-ը:</v>
      </c>
      <c r="D3541" s="3" t="str">
        <f>IFERROR(__xludf.DUMMYFUNCTION("GOOGLETRANSLATE(B3541,""en"",""hy"")"),"Թի Բուն Փիքենսը մահացել է 2019 թվականի սեպտեմբերի 11-ին։")</f>
        <v>Թի Բուն Փիքենսը մահացել է 2019 թվականի սեպտեմբերի 11-ին։</v>
      </c>
    </row>
    <row r="3542">
      <c r="A3542" s="1" t="s">
        <v>6975</v>
      </c>
      <c r="B3542" s="2" t="s">
        <v>6976</v>
      </c>
      <c r="C3542" s="3" t="str">
        <f>IFERROR(__xludf.DUMMYFUNCTION("GOOGLETRANSLATE(A3542,""en"",""hy"")"),"ե՞րբ են մեծերը նվաճել նշանը:")</f>
        <v>ե՞րբ են մեծերը նվաճել նշանը:</v>
      </c>
      <c r="D3542" s="3" t="str">
        <f>IFERROR(__xludf.DUMMYFUNCTION("GOOGLETRANSLATE(B3542,""en"",""hy"")"),"Մեծերը հաղթել են 1969, 1973, 1986 և 2000 թվականներին:")</f>
        <v>Մեծերը հաղթել են 1969, 1973, 1986 և 2000 թվականներին:</v>
      </c>
    </row>
    <row r="3543">
      <c r="A3543" s="1" t="s">
        <v>6977</v>
      </c>
      <c r="B3543" s="2" t="s">
        <v>6978</v>
      </c>
      <c r="C3543" s="3" t="str">
        <f>IFERROR(__xludf.DUMMYFUNCTION("GOOGLETRANSLATE(A3543,""en"",""hy"")"),"որտեղից էր սուրբ Պողոսը")</f>
        <v>որտեղից էր սուրբ Պողոսը</v>
      </c>
      <c r="D3543" s="3" t="str">
        <f>IFERROR(__xludf.DUMMYFUNCTION("GOOGLETRANSLATE(B3543,""en"",""hy"")"),"Սուրբ Պողոսը Կիլիկիայի Տարսոնից էր, որն այժմյան Թուրքիան է։")</f>
        <v>Սուրբ Պողոսը Կիլիկիայի Տարսոնից էր, որն այժմյան Թուրքիան է։</v>
      </c>
    </row>
    <row r="3544">
      <c r="A3544" s="1" t="s">
        <v>6979</v>
      </c>
      <c r="B3544" s="2" t="s">
        <v>6980</v>
      </c>
      <c r="C3544" s="3" t="str">
        <f>IFERROR(__xludf.DUMMYFUNCTION("GOOGLETRANSLATE(A3544,""en"",""hy"")"),"ո՞րն է այժմ Գերմանիայի մայրաքաղաքը:")</f>
        <v>ո՞րն է այժմ Գերմանիայի մայրաքաղաքը:</v>
      </c>
      <c r="D3544" s="3" t="str">
        <f>IFERROR(__xludf.DUMMYFUNCTION("GOOGLETRANSLATE(B3544,""en"",""hy"")"),"Բեռլին")</f>
        <v>Բեռլին</v>
      </c>
    </row>
    <row r="3545">
      <c r="A3545" s="1" t="s">
        <v>6981</v>
      </c>
      <c r="B3545" s="2" t="s">
        <v>6982</v>
      </c>
      <c r="C3545" s="3" t="str">
        <f>IFERROR(__xludf.DUMMYFUNCTION("GOOGLETRANSLATE(A3545,""en"",""hy"")"),"ո՞ր երկրներ է արտահանում Ճապոնիան:")</f>
        <v>ո՞ր երկրներ է արտահանում Ճապոնիան:</v>
      </c>
      <c r="D3545" s="3" t="str">
        <f>IFERROR(__xludf.DUMMYFUNCTION("GOOGLETRANSLATE(B3545,""en"",""hy"")"),"Ճապոնիան արտահանում է աշխարհի տարբեր երկրներ, այդ թվում՝ ԱՄՆ, Չինաստան, Հարավային Կորեա, Թայվան և շատ այլ երկրներ:")</f>
        <v>Ճապոնիան արտահանում է աշխարհի տարբեր երկրներ, այդ թվում՝ ԱՄՆ, Չինաստան, Հարավային Կորեա, Թայվան և շատ այլ երկրներ:</v>
      </c>
    </row>
    <row r="3546">
      <c r="A3546" s="1" t="s">
        <v>6983</v>
      </c>
      <c r="B3546" s="2" t="s">
        <v>6984</v>
      </c>
      <c r="C3546" s="3" t="str">
        <f>IFERROR(__xludf.DUMMYFUNCTION("GOOGLETRANSLATE(A3546,""en"",""hy"")"),"որտեղ է արաբերենը պաշտոնական լեզուն")</f>
        <v>որտեղ է արաբերենը պաշտոնական լեզուն</v>
      </c>
      <c r="D3546" s="3" t="str">
        <f>IFERROR(__xludf.DUMMYFUNCTION("GOOGLETRANSLATE(B3546,""en"",""hy"")"),"Արաբերենը պաշտոնական լեզուն է բազմաթիվ երկրներում, այդ թվում՝ Եգիպտոսում, Սաուդյան Արաբիայում, Իրաքում, Մարոկկոյում և ԱՄԷ-ում:")</f>
        <v>Արաբերենը պաշտոնական լեզուն է բազմաթիվ երկրներում, այդ թվում՝ Եգիպտոսում, Սաուդյան Արաբիայում, Իրաքում, Մարոկկոյում և ԱՄԷ-ում:</v>
      </c>
    </row>
    <row r="3547">
      <c r="A3547" s="1" t="s">
        <v>6985</v>
      </c>
      <c r="B3547" s="2" t="s">
        <v>1299</v>
      </c>
      <c r="C3547" s="3" t="str">
        <f>IFERROR(__xludf.DUMMYFUNCTION("GOOGLETRANSLATE(A3547,""en"",""hy"")"),"ո՞ր մայրցամաքում է գտնվում Սիրիան.")</f>
        <v>ո՞ր մայրցամաքում է գտնվում Սիրիան.</v>
      </c>
      <c r="D3547" s="3" t="str">
        <f>IFERROR(__xludf.DUMMYFUNCTION("GOOGLETRANSLATE(B3547,""en"",""hy"")"),"Ասիա.")</f>
        <v>Ասիա.</v>
      </c>
    </row>
    <row r="3548">
      <c r="A3548" s="1" t="s">
        <v>6986</v>
      </c>
      <c r="B3548" s="2" t="s">
        <v>6987</v>
      </c>
      <c r="C3548" s="3" t="str">
        <f>IFERROR(__xludf.DUMMYFUNCTION("GOOGLETRANSLATE(A3548,""en"",""hy"")"),"Ի՞նչ միջոցառումների է մասնակցում Ստեֆանի Ռայսը:")</f>
        <v>Ի՞նչ միջոցառումների է մասնակցում Ստեֆանի Ռայսը:</v>
      </c>
      <c r="D3548" s="3" t="str">
        <f>IFERROR(__xludf.DUMMYFUNCTION("GOOGLETRANSLATE(B3548,""en"",""hy"")"),"Ստեֆանի Ռայսը մասնակցում է լողի մրցումներին։")</f>
        <v>Ստեֆանի Ռայսը մասնակցում է լողի մրցումներին։</v>
      </c>
    </row>
    <row r="3549">
      <c r="A3549" s="1" t="s">
        <v>6988</v>
      </c>
      <c r="B3549" s="2" t="s">
        <v>6989</v>
      </c>
      <c r="C3549" s="3" t="str">
        <f>IFERROR(__xludf.DUMMYFUNCTION("GOOGLETRANSLATE(A3549,""en"",""hy"")"),"ի՞նչ է պատահել Նելսոն Մանդելային բանտից ազատվելուց հետո.")</f>
        <v>ի՞նչ է պատահել Նելսոն Մանդելային բանտից ազատվելուց հետո.</v>
      </c>
      <c r="D3549" s="3" t="str">
        <f>IFERROR(__xludf.DUMMYFUNCTION("GOOGLETRANSLATE(B3549,""en"",""hy"")"),"Բանտից ազատվելուց հետո Նելսոն Մանդելան շարունակեց վճռորոշ դեր խաղալ ապարտեիդին վերջ տալու և Հարավային Աֆրիկայի առաջին սևամորթ նախագահը դառնալու գործում:")</f>
        <v>Բանտից ազատվելուց հետո Նելսոն Մանդելան շարունակեց վճռորոշ դեր խաղալ ապարտեիդին վերջ տալու և Հարավային Աֆրիկայի առաջին սևամորթ նախագահը դառնալու գործում:</v>
      </c>
    </row>
    <row r="3550">
      <c r="A3550" s="1" t="s">
        <v>6990</v>
      </c>
      <c r="B3550" s="2" t="s">
        <v>6991</v>
      </c>
      <c r="C3550" s="3" t="str">
        <f>IFERROR(__xludf.DUMMYFUNCTION("GOOGLETRANSLATE(A3550,""en"",""hy"")"),"որտեղ է ապրել Չարլթոն Հեսթոնը")</f>
        <v>որտեղ է ապրել Չարլթոն Հեսթոնը</v>
      </c>
      <c r="D3550" s="3" t="str">
        <f>IFERROR(__xludf.DUMMYFUNCTION("GOOGLETRANSLATE(B3550,""en"",""hy"")"),"Չարլթոն Հեսթոնն ապրում էր Կալիֆորնիայի Բևերլի Հիլզում:")</f>
        <v>Չարլթոն Հեսթոնն ապրում էր Կալիֆորնիայի Բևերլի Հիլզում:</v>
      </c>
    </row>
    <row r="3551">
      <c r="A3551" s="1" t="s">
        <v>6992</v>
      </c>
      <c r="B3551" s="2" t="s">
        <v>6993</v>
      </c>
      <c r="C3551" s="3" t="str">
        <f>IFERROR(__xludf.DUMMYFUNCTION("GOOGLETRANSLATE(A3551,""en"",""hy"")"),"որտեղ է փոթորիկը Իրեն.")</f>
        <v>որտեղ է փոթորիկը Իրեն.</v>
      </c>
      <c r="D3551" s="3" t="str">
        <f>IFERROR(__xludf.DUMMYFUNCTION("GOOGLETRANSLATE(B3551,""en"",""hy"")"),"«Այրին» փոթորիկը տեղի է ունեցել հիմնականում Կարիբյան ծովում և ԱՄՆ-ի արևելյան ափին:")</f>
        <v>«Այրին» փոթորիկը տեղի է ունեցել հիմնականում Կարիբյան ծովում և ԱՄՆ-ի արևելյան ափին:</v>
      </c>
    </row>
    <row r="3552">
      <c r="A3552" s="1" t="s">
        <v>6994</v>
      </c>
      <c r="B3552" s="2" t="s">
        <v>6995</v>
      </c>
      <c r="C3552" s="3" t="str">
        <f>IFERROR(__xludf.DUMMYFUNCTION("GOOGLETRANSLATE(A3552,""en"",""hy"")"),"ո՞ր շրջանում է գտնվում Թաիլանդը:")</f>
        <v>ո՞ր շրջանում է գտնվում Թաիլանդը:</v>
      </c>
      <c r="D3552" s="3" t="str">
        <f>IFERROR(__xludf.DUMMYFUNCTION("GOOGLETRANSLATE(B3552,""en"",""hy"")"),"Հարավարեւելյան Ասիա.")</f>
        <v>Հարավարեւելյան Ասիա.</v>
      </c>
    </row>
    <row r="3553">
      <c r="A3553" s="1" t="s">
        <v>6996</v>
      </c>
      <c r="B3553" s="2" t="s">
        <v>6997</v>
      </c>
      <c r="C3553" s="3" t="str">
        <f>IFERROR(__xludf.DUMMYFUNCTION("GOOGLETRANSLATE(A3553,""en"",""hy"")"),"ով էր նախագահը, երբ ստեղծվեց ԱՄՆ նավատորմի վարչությունը:")</f>
        <v>ով էր նախագահը, երբ ստեղծվեց ԱՄՆ նավատորմի վարչությունը:</v>
      </c>
      <c r="D3553" s="3" t="str">
        <f>IFERROR(__xludf.DUMMYFUNCTION("GOOGLETRANSLATE(B3553,""en"",""hy"")"),"Ջոն Ադամս.")</f>
        <v>Ջոն Ադամս.</v>
      </c>
    </row>
    <row r="3554">
      <c r="A3554" s="1" t="s">
        <v>6998</v>
      </c>
      <c r="B3554" s="2" t="s">
        <v>6999</v>
      </c>
      <c r="C3554" s="3" t="str">
        <f>IFERROR(__xludf.DUMMYFUNCTION("GOOGLETRANSLATE(A3554,""en"",""hy"")"),"որտե՞ղ այցելել Օրլանդո Ֆլորիդայում:")</f>
        <v>որտե՞ղ այցելել Օրլանդո Ֆլորիդայում:</v>
      </c>
      <c r="D3554" s="3" t="str">
        <f>IFERROR(__xludf.DUMMYFUNCTION("GOOGLETRANSLATE(B3554,""en"",""hy"")"),"Walt Disney World-ը, Universal Orlando Resort-ը և SeaWorld Orlando-ն հայտնի տեսարժան վայրեր են Օռլանդոյում, Ֆլորիդա:")</f>
        <v>Walt Disney World-ը, Universal Orlando Resort-ը և SeaWorld Orlando-ն հայտնի տեսարժան վայրեր են Օռլանդոյում, Ֆլորիդա:</v>
      </c>
    </row>
    <row r="3555">
      <c r="A3555" s="1" t="s">
        <v>7000</v>
      </c>
      <c r="B3555" s="2" t="s">
        <v>7001</v>
      </c>
      <c r="C3555" s="3" t="str">
        <f>IFERROR(__xludf.DUMMYFUNCTION("GOOGLETRANSLATE(A3555,""en"",""hy"")"),"ովքե՞ր են բոլոր ամերիկյան կուռքերի հաղթողներն ու երկրորդ տեղերը զբաղեցրածները:")</f>
        <v>ովքե՞ր են բոլոր ամերիկյան կուռքերի հաղթողներն ու երկրորդ տեղերը զբաղեցրածները:</v>
      </c>
      <c r="D3555" s="3" t="str">
        <f>IFERROR(__xludf.DUMMYFUNCTION("GOOGLETRANSLATE(B3555,""en"",""hy"")"),"Այս տարիների ընթացքում American Idol-ում բազմաթիվ հաղթողներ և երկրորդ տեղեր են զբաղեցրել: Ահա առաջին 18 սեզոնների հաղթողները՝ Քելլի Քլարկսոն, Ռուբեն Ստադարդ, Ֆանտասիա Բարինո, Քերի Անդերվուդ, Թեյլոր Հիքս, Ջորդին Սփարկս, Դեյվիդ Կուկ, Քրիս Ալեն, Լի Դևայզ, Սք"&amp;"ոթի ՄաքՔրի, Ֆիլիպ Ֆիլիպս, Քենդիս Գլովեր, Քելեբ Ջոնսոն, Ֆրադիանի, Թրենտ Հարմոն, Մեդի Փոփ, Լեյն Հարդին և Ջասթ Սեմը:")</f>
        <v>Այս տարիների ընթացքում American Idol-ում բազմաթիվ հաղթողներ և երկրորդ տեղեր են զբաղեցրել: Ահա առաջին 18 սեզոնների հաղթողները՝ Քելլի Քլարկսոն, Ռուբեն Ստադարդ, Ֆանտասիա Բարինո, Քերի Անդերվուդ, Թեյլոր Հիքս, Ջորդին Սփարկս, Դեյվիդ Կուկ, Քրիս Ալեն, Լի Դևայզ, Սքոթի ՄաքՔրի, Ֆիլիպ Ֆիլիպս, Քենդիս Գլովեր, Քելեբ Ջոնսոն, Ֆրադիանի, Թրենտ Հարմոն, Մեդի Փոփ, Լեյն Հարդին և Ջասթ Սեմը:</v>
      </c>
    </row>
    <row r="3556">
      <c r="A3556" s="1" t="s">
        <v>7002</v>
      </c>
      <c r="B3556" s="2" t="s">
        <v>7003</v>
      </c>
      <c r="C3556" s="3" t="str">
        <f>IFERROR(__xludf.DUMMYFUNCTION("GOOGLETRANSLATE(A3556,""en"",""hy"")"),"ի՞նչ սպորտաձևեր ունեն նրանք Չինաստանում:")</f>
        <v>ի՞նչ սպորտաձևեր ունեն նրանք Չինաստանում:</v>
      </c>
      <c r="D3556" s="3" t="str">
        <f>IFERROR(__xludf.DUMMYFUNCTION("GOOGLETRANSLATE(B3556,""en"",""hy"")"),"Չինաստանում հայտնի սպորտաձևերը ներառում են մարտարվեստը (օրինակ՝ քունգ ֆուն), սեղանի թենիսը, բասկետբոլը, բադմինտոնը, ֆուտբոլը և լողը։")</f>
        <v>Չինաստանում հայտնի սպորտաձևերը ներառում են մարտարվեստը (օրինակ՝ քունգ ֆուն), սեղանի թենիսը, բասկետբոլը, բադմինտոնը, ֆուտբոլը և լողը։</v>
      </c>
    </row>
    <row r="3557">
      <c r="A3557" s="1" t="s">
        <v>7004</v>
      </c>
      <c r="B3557" s="2" t="s">
        <v>7005</v>
      </c>
      <c r="C3557" s="3" t="str">
        <f>IFERROR(__xludf.DUMMYFUNCTION("GOOGLETRANSLATE(A3557,""en"",""hy"")"),"Ինչո՞վ էր հայտնի Ալեքսանդր Գրեհեմ Բելը:")</f>
        <v>Ինչո՞վ էր հայտնի Ալեքսանդր Գրեհեմ Բելը:</v>
      </c>
      <c r="D3557" s="3" t="str">
        <f>IFERROR(__xludf.DUMMYFUNCTION("GOOGLETRANSLATE(B3557,""en"",""hy"")"),"Ալեքսանդր Գրեհեմ Բելը հայտնի էր հեռախոսի հայտնագործությամբ:")</f>
        <v>Ալեքսանդր Գրեհեմ Բելը հայտնի էր հեռախոսի հայտնագործությամբ:</v>
      </c>
    </row>
    <row r="3558">
      <c r="A3558" s="1" t="s">
        <v>7006</v>
      </c>
      <c r="B3558" s="2" t="s">
        <v>7007</v>
      </c>
      <c r="C3558" s="3" t="str">
        <f>IFERROR(__xludf.DUMMYFUNCTION("GOOGLETRANSLATE(A3558,""en"",""hy"")"),"ո՞ր խմբում է նվագել Ջո Սատրիանին:")</f>
        <v>ո՞ր խմբում է նվագել Ջո Սատրիանին:</v>
      </c>
      <c r="D3558" s="3" t="str">
        <f>IFERROR(__xludf.DUMMYFUNCTION("GOOGLETRANSLATE(B3558,""en"",""hy"")"),"Ջո Սատրիանին նվագել է իր սեփական խմբում, որը կոչվում է Joe Satriani Band:")</f>
        <v>Ջո Սատրիանին նվագել է իր սեփական խմբում, որը կոչվում է Joe Satriani Band:</v>
      </c>
    </row>
    <row r="3559">
      <c r="A3559" s="1" t="s">
        <v>7008</v>
      </c>
      <c r="B3559" s="2" t="s">
        <v>7009</v>
      </c>
      <c r="C3559" s="3" t="str">
        <f>IFERROR(__xludf.DUMMYFUNCTION("GOOGLETRANSLATE(A3559,""en"",""hy"")"),"ինչի՞ վրա էր խոսում Միտչ Հեդբերգը")</f>
        <v>ինչի՞ վրա էր խոսում Միտչ Հեդբերգը</v>
      </c>
      <c r="D3559" s="3" t="str">
        <f>IFERROR(__xludf.DUMMYFUNCTION("GOOGLETRANSLATE(B3559,""en"",""hy"")"),"Միթչ Հեդբերգը մահացել է թմրանյութերի գերդոզավորումից, մասնավորապես հերոինի և կոկաինի համակցումից:")</f>
        <v>Միթչ Հեդբերգը մահացել է թմրանյութերի գերդոզավորումից, մասնավորապես հերոինի և կոկաինի համակցումից:</v>
      </c>
    </row>
    <row r="3560">
      <c r="A3560" s="1" t="s">
        <v>7010</v>
      </c>
      <c r="B3560" s="2" t="s">
        <v>7011</v>
      </c>
      <c r="C3560" s="3" t="str">
        <f>IFERROR(__xludf.DUMMYFUNCTION("GOOGLETRANSLATE(A3560,""en"",""hy"")"),"ով արեց դու. դեմ պայքար WW1-ում.")</f>
        <v>ով արեց դու. դեմ պայքար WW1-ում.</v>
      </c>
      <c r="D3560" s="3" t="str">
        <f>IFERROR(__xludf.DUMMYFUNCTION("GOOGLETRANSLATE(B3560,""en"",""hy"")"),"Գերմանիա և Ավստրո-Հունգարիա.")</f>
        <v>Գերմանիա և Ավստրո-Հունգարիա.</v>
      </c>
    </row>
    <row r="3561">
      <c r="A3561" s="1" t="s">
        <v>7012</v>
      </c>
      <c r="B3561" s="2" t="s">
        <v>7013</v>
      </c>
      <c r="C3561" s="3" t="str">
        <f>IFERROR(__xludf.DUMMYFUNCTION("GOOGLETRANSLATE(A3561,""en"",""hy"")"),"Ո՞ր սեզոնին թողեց Ջեյսոն Փրիսթլին 90210-ը:")</f>
        <v>Ո՞ր սեզոնին թողեց Ջեյսոն Փրիսթլին 90210-ը:</v>
      </c>
      <c r="D3561" s="3" t="str">
        <f>IFERROR(__xludf.DUMMYFUNCTION("GOOGLETRANSLATE(B3561,""en"",""hy"")"),"Ջեյսոն Փրիսթլին իններորդ սեզոնից հետո թողեց 90210-ը։")</f>
        <v>Ջեյսոն Փրիսթլին իններորդ սեզոնից հետո թողեց 90210-ը։</v>
      </c>
    </row>
    <row r="3562">
      <c r="A3562" s="1" t="s">
        <v>7014</v>
      </c>
      <c r="B3562" s="2" t="s">
        <v>7015</v>
      </c>
      <c r="C3562" s="3" t="str">
        <f>IFERROR(__xludf.DUMMYFUNCTION("GOOGLETRANSLATE(A3562,""en"",""hy"")"),"ո՞վ է գրել 2 Տիմոթեոս 4-ը։")</f>
        <v>ո՞վ է գրել 2 Տիմոթեոս 4-ը։</v>
      </c>
      <c r="D3562" s="3" t="str">
        <f>IFERROR(__xludf.DUMMYFUNCTION("GOOGLETRANSLATE(B3562,""en"",""hy"")"),"2 Տիմոթեոս 4-ի հեղինակը Պողոսն է։")</f>
        <v>2 Տիմոթեոս 4-ի հեղինակը Պողոսն է։</v>
      </c>
    </row>
    <row r="3563">
      <c r="A3563" s="1" t="s">
        <v>7016</v>
      </c>
      <c r="B3563" s="2" t="s">
        <v>7017</v>
      </c>
      <c r="C3563" s="3" t="str">
        <f>IFERROR(__xludf.DUMMYFUNCTION("GOOGLETRANSLATE(A3563,""en"",""hy"")"),"Ո՞ր երեք երկրներն ունեն ցամաքային սահման Կամբոջայի հետ:")</f>
        <v>Ո՞ր երեք երկրներն ունեն ցամաքային սահման Կամբոջայի հետ:</v>
      </c>
      <c r="D3563" s="3" t="str">
        <f>IFERROR(__xludf.DUMMYFUNCTION("GOOGLETRANSLATE(B3563,""en"",""hy"")"),"Կամբոջայի հետ ցամաքային սահման ունեցող երեք երկրներն են՝ Թաիլանդը, Լաոսը և Վիետնամը։")</f>
        <v>Կամբոջայի հետ ցամաքային սահման ունեցող երեք երկրներն են՝ Թաիլանդը, Լաոսը և Վիետնամը։</v>
      </c>
    </row>
    <row r="3564">
      <c r="A3564" s="1" t="s">
        <v>7018</v>
      </c>
      <c r="B3564" s="2" t="s">
        <v>7019</v>
      </c>
      <c r="C3564" s="3" t="str">
        <f>IFERROR(__xludf.DUMMYFUNCTION("GOOGLETRANSLATE(A3564,""en"",""hy"")"),"Ո՞ր երկրից էր Խուան Պոնսե դե Լեոնը")</f>
        <v>Ո՞ր երկրից էր Խուան Պոնսե դե Լեոնը</v>
      </c>
      <c r="D3564" s="3" t="str">
        <f>IFERROR(__xludf.DUMMYFUNCTION("GOOGLETRANSLATE(B3564,""en"",""hy"")"),"Խուան Պոնսե դե Լեոնը Իսպանիայից էր։")</f>
        <v>Խուան Պոնսե դե Լեոնը Իսպանիայից էր։</v>
      </c>
    </row>
    <row r="3565">
      <c r="A3565" s="1" t="s">
        <v>7020</v>
      </c>
      <c r="B3565" s="2" t="s">
        <v>7021</v>
      </c>
      <c r="C3565" s="3" t="str">
        <f>IFERROR(__xludf.DUMMYFUNCTION("GOOGLETRANSLATE(A3565,""en"",""hy"")"),"որտե՞ղ գնալ Ֆլորիդայում հանգստանալու:")</f>
        <v>որտե՞ղ գնալ Ֆլորիդայում հանգստանալու:</v>
      </c>
      <c r="D3565" s="3" t="str">
        <f>IFERROR(__xludf.DUMMYFUNCTION("GOOGLETRANSLATE(B3565,""en"",""hy"")"),"Ֆլորիդայում հանգստի համար շատ հիանալի վայրեր կան: Որոշ հայտնի ուղղություններ ներառում են Մայամի, Օռլանդոն, Քի Ուեսթը և Էվերգլեյդսը:")</f>
        <v>Ֆլորիդայում հանգստի համար շատ հիանալի վայրեր կան: Որոշ հայտնի ուղղություններ ներառում են Մայամի, Օռլանդոն, Քի Ուեսթը և Էվերգլեյդսը:</v>
      </c>
    </row>
    <row r="3566">
      <c r="A3566" s="1" t="s">
        <v>7022</v>
      </c>
      <c r="B3566" s="2" t="s">
        <v>7023</v>
      </c>
      <c r="C3566" s="3" t="str">
        <f>IFERROR(__xludf.DUMMYFUNCTION("GOOGLETRANSLATE(A3566,""en"",""hy"")"),"ինչ է խորհրդային աստղը ներկայացնում:")</f>
        <v>ինչ է խորհրդային աստղը ներկայացնում:</v>
      </c>
      <c r="D3566" s="3" t="str">
        <f>IFERROR(__xludf.DUMMYFUNCTION("GOOGLETRANSLATE(B3566,""en"",""hy"")"),"Խորհրդային աստղը ներկայացնում է կոմունիստական ​​հեղափոխությունը և խորհրդանշում խորհրդային ժողովրդի միասնությունը։")</f>
        <v>Խորհրդային աստղը ներկայացնում է կոմունիստական ​​հեղափոխությունը և խորհրդանշում խորհրդային ժողովրդի միասնությունը։</v>
      </c>
    </row>
    <row r="3567">
      <c r="A3567" s="1" t="s">
        <v>7024</v>
      </c>
      <c r="B3567" s="2" t="s">
        <v>7025</v>
      </c>
      <c r="C3567" s="3" t="str">
        <f>IFERROR(__xludf.DUMMYFUNCTION("GOOGLETRANSLATE(A3567,""en"",""hy"")"),"Ո՞ր քոլեջում է Սթիվ Նեշը բասկետբոլ խաղացել:")</f>
        <v>Ո՞ր քոլեջում է Սթիվ Նեշը բասկետբոլ խաղացել:</v>
      </c>
      <c r="D3567" s="3" t="str">
        <f>IFERROR(__xludf.DUMMYFUNCTION("GOOGLETRANSLATE(B3567,""en"",""hy"")"),"Սթիվ Նեշը բասկետբոլ է խաղացել Սանտա Կլարայի համալսարանում։")</f>
        <v>Սթիվ Նեշը բասկետբոլ է խաղացել Սանտա Կլարայի համալսարանում։</v>
      </c>
    </row>
    <row r="3568">
      <c r="A3568" s="1" t="s">
        <v>7026</v>
      </c>
      <c r="B3568" s="2" t="s">
        <v>7027</v>
      </c>
      <c r="C3568" s="3" t="str">
        <f>IFERROR(__xludf.DUMMYFUNCTION("GOOGLETRANSLATE(A3568,""en"",""hy"")"),"ով է խաղում Շաո Կան")</f>
        <v>ով է խաղում Շաո Կան</v>
      </c>
      <c r="D3568" s="3" t="str">
        <f>IFERROR(__xludf.DUMMYFUNCTION("GOOGLETRANSLATE(B3568,""en"",""hy"")"),"Բրայան Թոմփսոնը մարմնավորում է Շաո Կանին Mortal Kombat ֆիլմում։")</f>
        <v>Բրայան Թոմփսոնը մարմնավորում է Շաո Կանին Mortal Kombat ֆիլմում։</v>
      </c>
    </row>
    <row r="3569">
      <c r="A3569" s="1" t="s">
        <v>7028</v>
      </c>
      <c r="B3569" s="2" t="s">
        <v>7029</v>
      </c>
      <c r="C3569" s="3" t="str">
        <f>IFERROR(__xludf.DUMMYFUNCTION("GOOGLETRANSLATE(A3569,""en"",""hy"")"),"ի՞նչ է հորինել Դուգլաս Էնգելբարտը:")</f>
        <v>ի՞նչ է հորինել Դուգլաս Էնգելբարտը:</v>
      </c>
      <c r="D3569" s="3" t="str">
        <f>IFERROR(__xludf.DUMMYFUNCTION("GOOGLETRANSLATE(B3569,""en"",""hy"")"),"Դուգլաս Էնգելբարտը հայտնագործեց համակարգչային մկնիկը։")</f>
        <v>Դուգլաս Էնգելբարտը հայտնագործեց համակարգչային մկնիկը։</v>
      </c>
    </row>
    <row r="3570">
      <c r="A3570" s="1" t="s">
        <v>7030</v>
      </c>
      <c r="B3570" s="2" t="s">
        <v>7031</v>
      </c>
      <c r="C3570" s="3" t="str">
        <f>IFERROR(__xludf.DUMMYFUNCTION("GOOGLETRANSLATE(A3570,""en"",""hy"")"),"որտե՞ղ էր շեֆ-խոհարար Չակ Հյուզը դպրոց հաճախում:")</f>
        <v>որտե՞ղ էր շեֆ-խոհարար Չակ Հյուզը դպրոց հաճախում:</v>
      </c>
      <c r="D3570" s="3" t="str">
        <f>IFERROR(__xludf.DUMMYFUNCTION("GOOGLETRANSLATE(B3570,""en"",""hy"")"),"Շեֆ-խոհարար Չակ Հյուզը հաճախել է խոհարարական դպրոց Քվեբեկի զբոսաշրջության և հյուրանոցի ինստիտուտում, Մոնրեալում, Քվեբեկ, Կանադա:")</f>
        <v>Շեֆ-խոհարար Չակ Հյուզը հաճախել է խոհարարական դպրոց Քվեբեկի զբոսաշրջության և հյուրանոցի ինստիտուտում, Մոնրեալում, Քվեբեկ, Կանադա:</v>
      </c>
    </row>
    <row r="3571">
      <c r="A3571" s="1" t="s">
        <v>7032</v>
      </c>
      <c r="B3571" s="2" t="s">
        <v>7033</v>
      </c>
      <c r="C3571" s="3" t="str">
        <f>IFERROR(__xludf.DUMMYFUNCTION("GOOGLETRANSLATE(A3571,""en"",""hy"")"),"ով է խաղում Մարվին Էրիկսեն")</f>
        <v>ով է խաղում Մարվին Էրիկսեն</v>
      </c>
      <c r="D3571" s="3" t="str">
        <f>IFERROR(__xludf.DUMMYFUNCTION("GOOGLETRANSLATE(B3571,""en"",""hy"")"),"Բիլ Ֆագերբակկե")</f>
        <v>Բիլ Ֆագերբակկե</v>
      </c>
    </row>
    <row r="3572">
      <c r="A3572" s="1" t="s">
        <v>7034</v>
      </c>
      <c r="B3572" s="2" t="s">
        <v>7035</v>
      </c>
      <c r="C3572" s="3" t="str">
        <f>IFERROR(__xludf.DUMMYFUNCTION("GOOGLETRANSLATE(A3572,""en"",""hy"")"),"ինչ է գրել Ջեյմս Մեդիսոնը")</f>
        <v>ինչ է գրել Ջեյմս Մեդիսոնը</v>
      </c>
      <c r="D3572" s="3" t="str">
        <f>IFERROR(__xludf.DUMMYFUNCTION("GOOGLETRANSLATE(B3572,""en"",""hy"")"),"Ջեյմս Մեդիսոնը գրել է Միացյալ Նահանգների Սահմանադրությունը:")</f>
        <v>Ջեյմս Մեդիսոնը գրել է Միացյալ Նահանգների Սահմանադրությունը:</v>
      </c>
    </row>
    <row r="3573">
      <c r="A3573" s="1" t="s">
        <v>7036</v>
      </c>
      <c r="B3573" s="2" t="s">
        <v>7037</v>
      </c>
      <c r="C3573" s="3" t="str">
        <f>IFERROR(__xludf.DUMMYFUNCTION("GOOGLETRANSLATE(A3573,""en"",""hy"")"),"որտեղ է պատրաստվում fiat abarth-ը:")</f>
        <v>որտեղ է պատրաստվում fiat abarth-ը:</v>
      </c>
      <c r="D3573" s="3" t="str">
        <f>IFERROR(__xludf.DUMMYFUNCTION("GOOGLETRANSLATE(B3573,""en"",""hy"")"),"Fiat Abarth-ը արտադրված է Իտալիայում։")</f>
        <v>Fiat Abarth-ը արտադրված է Իտալիայում։</v>
      </c>
    </row>
    <row r="3574">
      <c r="A3574" s="1" t="s">
        <v>7038</v>
      </c>
      <c r="B3574" s="2" t="s">
        <v>7039</v>
      </c>
      <c r="C3574" s="3" t="str">
        <f>IFERROR(__xludf.DUMMYFUNCTION("GOOGLETRANSLATE(A3574,""en"",""hy"")"),"որտեղ է ծնվել Թոմի Սթիլը:")</f>
        <v>որտեղ է ծնվել Թոմի Սթիլը:</v>
      </c>
      <c r="D3574" s="3" t="str">
        <f>IFERROR(__xludf.DUMMYFUNCTION("GOOGLETRANSLATE(B3574,""en"",""hy"")"),"Թոմի Սթիլը ծնվել է Լոնդոնում, Անգլիա:")</f>
        <v>Թոմի Սթիլը ծնվել է Լոնդոնում, Անգլիա:</v>
      </c>
    </row>
    <row r="3575">
      <c r="A3575" s="1" t="s">
        <v>7040</v>
      </c>
      <c r="B3575" s="2" t="s">
        <v>7041</v>
      </c>
      <c r="C3575" s="3" t="str">
        <f>IFERROR(__xludf.DUMMYFUNCTION("GOOGLETRANSLATE(A3575,""en"",""hy"")"),"ինչում է խաղում Չեդ Մայքլ Մյուրեյը")</f>
        <v>ինչում է խաղում Չեդ Մայքլ Մյուրեյը</v>
      </c>
      <c r="D3575" s="3" t="str">
        <f>IFERROR(__xludf.DUMMYFUNCTION("GOOGLETRANSLATE(B3575,""en"",""hy"")"),"Չեդ Մայքլ Մյուրեյը դերասան է և խաղացել է տարբեր դերեր ֆիլմերում և հեռուստատեսային շոուներում: Որոշ ուշագրավ դերերից են Լուկաս Սքոթը «One Tree Hill» և Ջեք Թոմփսոնը «Agent Carter» ֆիլմում։")</f>
        <v>Չեդ Մայքլ Մյուրեյը դերասան է և խաղացել է տարբեր դերեր ֆիլմերում և հեռուստատեսային շոուներում: Որոշ ուշագրավ դերերից են Լուկաս Սքոթը «One Tree Hill» և Ջեք Թոմփսոնը «Agent Carter» ֆիլմում։</v>
      </c>
    </row>
    <row r="3576">
      <c r="A3576" s="1" t="s">
        <v>7042</v>
      </c>
      <c r="B3576" s="2" t="s">
        <v>7043</v>
      </c>
      <c r="C3576" s="3" t="str">
        <f>IFERROR(__xludf.DUMMYFUNCTION("GOOGLETRANSLATE(A3576,""en"",""hy"")"),"Դերեկ Ֆիշերը ո՞ր թիմում է խաղում 2012 թվականին:")</f>
        <v>Դերեկ Ֆիշերը ո՞ր թիմում է խաղում 2012 թվականին:</v>
      </c>
      <c r="D3576" s="3" t="str">
        <f>IFERROR(__xludf.DUMMYFUNCTION("GOOGLETRANSLATE(B3576,""en"",""hy"")"),"Դերեկ Ֆիշերը 2012 թվականին հանդես է եկել «Օկլահոմա Սիթի Թանդեր»-ում:")</f>
        <v>Դերեկ Ֆիշերը 2012 թվականին հանդես է եկել «Օկլահոմա Սիթի Թանդեր»-ում:</v>
      </c>
    </row>
    <row r="3577">
      <c r="A3577" s="1" t="s">
        <v>7044</v>
      </c>
      <c r="B3577" s="2" t="s">
        <v>7045</v>
      </c>
      <c r="C3577" s="3" t="str">
        <f>IFERROR(__xludf.DUMMYFUNCTION("GOOGLETRANSLATE(A3577,""en"",""hy"")"),"որո՞նք են կարևոր իրադարձությունները Հին Եգիպտոսում:")</f>
        <v>որո՞նք են կարևոր իրադարձությունները Հին Եգիպտոսում:</v>
      </c>
      <c r="D3577" s="3" t="str">
        <f>IFERROR(__xludf.DUMMYFUNCTION("GOOGLETRANSLATE(B3577,""en"",""hy"")"),"Հին Եգիպտոսի որոշ կարևոր իրադարձություններ ներառում են բուրգերի կառուցումը, Թութանհամոնի և Ռամզես II-ի նման փարավոնների թագավորությունը և Ալեքսանդր Մակեդոնացու կողմից Եգիպտոսի գրավումը։")</f>
        <v>Հին Եգիպտոսի որոշ կարևոր իրադարձություններ ներառում են բուրգերի կառուցումը, Թութանհամոնի և Ռամզես II-ի նման փարավոնների թագավորությունը և Ալեքսանդր Մակեդոնացու կողմից Եգիպտոսի գրավումը։</v>
      </c>
    </row>
    <row r="3578">
      <c r="A3578" s="1" t="s">
        <v>7046</v>
      </c>
      <c r="B3578" s="2" t="s">
        <v>7047</v>
      </c>
      <c r="C3578" s="3" t="str">
        <f>IFERROR(__xludf.DUMMYFUNCTION("GOOGLETRANSLATE(A3578,""en"",""hy"")"),"ո՞վ էր երդվել պաշտոնավարել, երբ սպանվեց Ջոն Քենեդին:")</f>
        <v>ո՞վ էր երդվել պաշտոնավարել, երբ սպանվեց Ջոն Քենեդին:</v>
      </c>
      <c r="D3578" s="3" t="str">
        <f>IFERROR(__xludf.DUMMYFUNCTION("GOOGLETRANSLATE(B3578,""en"",""hy"")"),"Լինդոն Բ. Ջոնսոն")</f>
        <v>Լինդոն Բ. Ջոնսոն</v>
      </c>
    </row>
    <row r="3579">
      <c r="A3579" s="1" t="s">
        <v>7048</v>
      </c>
      <c r="B3579" s="2" t="s">
        <v>7049</v>
      </c>
      <c r="C3579" s="3" t="str">
        <f>IFERROR(__xludf.DUMMYFUNCTION("GOOGLETRANSLATE(A3579,""en"",""hy"")"),"Ո՞ր ամսաթվին է տեղի ունեցել երկրաշարժը քրիստոնեական եկեղեցում.")</f>
        <v>Ո՞ր ամսաթվին է տեղի ունեցել երկրաշարժը քրիստոնեական եկեղեցում.</v>
      </c>
      <c r="D3579" s="3" t="str">
        <f>IFERROR(__xludf.DUMMYFUNCTION("GOOGLETRANSLATE(B3579,""en"",""hy"")"),"Քրայսթչերչում երկրաշարժը տեղի է ունեցել 2011 թվականի փետրվարի 22-ին։")</f>
        <v>Քրայսթչերչում երկրաշարժը տեղի է ունեցել 2011 թվականի փետրվարի 22-ին։</v>
      </c>
    </row>
    <row r="3580">
      <c r="A3580" s="1" t="s">
        <v>7050</v>
      </c>
      <c r="B3580" s="2" t="s">
        <v>7051</v>
      </c>
      <c r="C3580" s="3" t="str">
        <f>IFERROR(__xludf.DUMMYFUNCTION("GOOGLETRANSLATE(A3580,""en"",""hy"")"),"երբ McGee-ն միացավ NCs թիմին:")</f>
        <v>երբ McGee-ն միացավ NCs թիմին:</v>
      </c>
      <c r="D3580" s="3" t="str">
        <f>IFERROR(__xludf.DUMMYFUNCTION("GOOGLETRANSLATE(B3580,""en"",""hy"")"),"ՄակԳին միացավ NCIS թիմին 1-ին սեզոնի 7-րդ դրվագում:")</f>
        <v>ՄակԳին միացավ NCIS թիմին 1-ին սեզոնի 7-րդ դրվագում:</v>
      </c>
    </row>
    <row r="3581">
      <c r="A3581" s="1" t="s">
        <v>7052</v>
      </c>
      <c r="B3581" s="2" t="s">
        <v>7053</v>
      </c>
      <c r="C3581" s="3" t="str">
        <f>IFERROR(__xludf.DUMMYFUNCTION("GOOGLETRANSLATE(A3581,""en"",""hy"")"),"որտե՞ղ ես, եթե Խարտումում ես:")</f>
        <v>որտե՞ղ ես, եթե Խարտումում ես:</v>
      </c>
      <c r="D3581" s="3" t="str">
        <f>IFERROR(__xludf.DUMMYFUNCTION("GOOGLETRANSLATE(B3581,""en"",""hy"")"),"Ես Խարտումում եմ։")</f>
        <v>Ես Խարտումում եմ։</v>
      </c>
    </row>
    <row r="3582">
      <c r="A3582" s="1" t="s">
        <v>7054</v>
      </c>
      <c r="B3582" s="2" t="s">
        <v>7055</v>
      </c>
      <c r="C3582" s="3" t="str">
        <f>IFERROR(__xludf.DUMMYFUNCTION("GOOGLETRANSLATE(A3582,""en"",""hy"")"),"որտեղ է աշխատել Ֆրեդ Ուեսթը:")</f>
        <v>որտեղ է աշխատել Ֆրեդ Ուեսթը:</v>
      </c>
      <c r="D3582" s="3" t="str">
        <f>IFERROR(__xludf.DUMMYFUNCTION("GOOGLETRANSLATE(B3582,""en"",""hy"")"),"Ֆրեդ Ուեսթը աշխատել է որպես շինարար և դեկորատոր։")</f>
        <v>Ֆրեդ Ուեսթը աշխատել է որպես շինարար և դեկորատոր։</v>
      </c>
    </row>
    <row r="3583">
      <c r="A3583" s="1" t="s">
        <v>7056</v>
      </c>
      <c r="B3583" s="2" t="s">
        <v>7057</v>
      </c>
      <c r="C3583" s="3" t="str">
        <f>IFERROR(__xludf.DUMMYFUNCTION("GOOGLETRANSLATE(A3583,""en"",""hy"")"),"որտեղ է Օբուրնի համալսարանը")</f>
        <v>որտեղ է Օբուրնի համալսարանը</v>
      </c>
      <c r="D3583" s="3" t="str">
        <f>IFERROR(__xludf.DUMMYFUNCTION("GOOGLETRANSLATE(B3583,""en"",""hy"")"),"Օբուրնի համալսարանը գտնվում է ԱՄՆ Ալաբամա նահանգի Օբերն քաղաքում:")</f>
        <v>Օբուրնի համալսարանը գտնվում է ԱՄՆ Ալաբամա նահանգի Օբերն քաղաքում:</v>
      </c>
    </row>
    <row r="3584">
      <c r="A3584" s="1" t="s">
        <v>7058</v>
      </c>
      <c r="B3584" s="2" t="s">
        <v>7059</v>
      </c>
      <c r="C3584" s="3" t="str">
        <f>IFERROR(__xludf.DUMMYFUNCTION("GOOGLETRANSLATE(A3584,""en"",""hy"")"),"ինչ երկրներ են գտնվում Եգիպտոսի շուրջը")</f>
        <v>ինչ երկրներ են գտնվում Եգիպտոսի շուրջը</v>
      </c>
      <c r="D3584" s="3" t="str">
        <f>IFERROR(__xludf.DUMMYFUNCTION("GOOGLETRANSLATE(B3584,""en"",""hy"")"),"Եգիպտոսին հարող երկրներն են Լիբիան, Սուդանը, Իսրայելը և Սաուդյան Արաբիան։")</f>
        <v>Եգիպտոսին հարող երկրներն են Լիբիան, Սուդանը, Իսրայելը և Սաուդյան Արաբիան։</v>
      </c>
    </row>
    <row r="3585">
      <c r="A3585" s="1" t="s">
        <v>7060</v>
      </c>
      <c r="B3585" s="2" t="s">
        <v>7061</v>
      </c>
      <c r="C3585" s="3" t="str">
        <f>IFERROR(__xludf.DUMMYFUNCTION("GOOGLETRANSLATE(A3585,""en"",""hy"")"),"Ինչի՞ համար է Ջուլիա Ռոբերտսը Օսկար շահել.")</f>
        <v>Ինչի՞ համար է Ջուլիա Ռոբերտսը Օսկար շահել.</v>
      </c>
      <c r="D3585" s="3" t="str">
        <f>IFERROR(__xludf.DUMMYFUNCTION("GOOGLETRANSLATE(B3585,""en"",""hy"")"),"Ջուլիա Ռոբերթսը «Օսկար» է ստացել «Էրին Բրոկովիչ» ֆիլմում դերակատարման համար՝ որպես լավագույն դերասանուհի։")</f>
        <v>Ջուլիա Ռոբերթսը «Օսկար» է ստացել «Էրին Բրոկովիչ» ֆիլմում դերակատարման համար՝ որպես լավագույն դերասանուհի։</v>
      </c>
    </row>
    <row r="3586">
      <c r="A3586" s="1" t="s">
        <v>7062</v>
      </c>
      <c r="B3586" s="2" t="s">
        <v>7063</v>
      </c>
      <c r="C3586" s="3" t="str">
        <f>IFERROR(__xludf.DUMMYFUNCTION("GOOGLETRANSLATE(A3586,""en"",""hy"")"),"Ո՞ր տարում է Միթ Ռոմնին առաջին անգամ առաջադրվել նախագահի պաշտոնում:")</f>
        <v>Ո՞ր տարում է Միթ Ռոմնին առաջին անգամ առաջադրվել նախագահի պաշտոնում:</v>
      </c>
      <c r="D3586" s="3" t="str">
        <f>IFERROR(__xludf.DUMMYFUNCTION("GOOGLETRANSLATE(B3586,""en"",""hy"")"),"Միթ Ռոմնին առաջին անգամ առաջադրվել է նախագահի պաշտոնում 2008 թվականին։")</f>
        <v>Միթ Ռոմնին առաջին անգամ առաջադրվել է նախագահի պաշտոնում 2008 թվականին։</v>
      </c>
    </row>
    <row r="3587">
      <c r="A3587" s="1" t="s">
        <v>7064</v>
      </c>
      <c r="B3587" s="2" t="s">
        <v>7065</v>
      </c>
      <c r="C3587" s="3" t="str">
        <f>IFERROR(__xludf.DUMMYFUNCTION("GOOGLETRANSLATE(A3587,""en"",""hy"")"),"ով է նշանված Ջոն լեգենդի հետ")</f>
        <v>ով է նշանված Ջոն լեգենդի հետ</v>
      </c>
      <c r="D3587" s="3" t="str">
        <f>IFERROR(__xludf.DUMMYFUNCTION("GOOGLETRANSLATE(B3587,""en"",""hy"")"),"Քրիսի Թեյգեն.")</f>
        <v>Քրիսի Թեյգեն.</v>
      </c>
    </row>
    <row r="3588">
      <c r="A3588" s="1" t="s">
        <v>7066</v>
      </c>
      <c r="B3588" s="2" t="s">
        <v>7067</v>
      </c>
      <c r="C3588" s="3" t="str">
        <f>IFERROR(__xludf.DUMMYFUNCTION("GOOGLETRANSLATE(A3588,""en"",""hy"")"),"ինչ է պատկանում Nestle-ին")</f>
        <v>ինչ է պատկանում Nestle-ին</v>
      </c>
      <c r="D3588" s="3" t="str">
        <f>IFERROR(__xludf.DUMMYFUNCTION("GOOGLETRANSLATE(B3588,""en"",""hy"")"),"Nestle-ն ունի տարբեր ապրանքանիշեր և բիզնեսներ տարբեր ոլորտներում, ներառյալ սննդամթերք և խմիչքներ, կենդանիների խնամք և առողջապահական գիտություններ: Nestle-ի սեփականության տակ գտնվող որոշ հայտնի ապրանքանիշեր ներառում են Nescafe, KitKat, Purina և Nestle Heal"&amp;"th Science:")</f>
        <v>Nestle-ն ունի տարբեր ապրանքանիշեր և բիզնեսներ տարբեր ոլորտներում, ներառյալ սննդամթերք և խմիչքներ, կենդանիների խնամք և առողջապահական գիտություններ: Nestle-ի սեփականության տակ գտնվող որոշ հայտնի ապրանքանիշեր ներառում են Nescafe, KitKat, Purina և Nestle Health Science:</v>
      </c>
    </row>
    <row r="3589">
      <c r="A3589" s="1" t="s">
        <v>7068</v>
      </c>
      <c r="B3589" s="2" t="s">
        <v>7069</v>
      </c>
      <c r="C3589" s="3" t="str">
        <f>IFERROR(__xludf.DUMMYFUNCTION("GOOGLETRANSLATE(A3589,""en"",""hy"")"),"ով է հաղթել Ինդիանայի նահանգապետը 2012 թ.")</f>
        <v>ով է հաղթել Ինդիանայի նահանգապետը 2012 թ.</v>
      </c>
      <c r="D3589" s="3" t="str">
        <f>IFERROR(__xludf.DUMMYFUNCTION("GOOGLETRANSLATE(B3589,""en"",""hy"")"),"Մայք Փենսը Ինդիանայի նահանգապետի պաշտոնում հաղթել է 2012թ.")</f>
        <v>Մայք Փենսը Ինդիանայի նահանգապետի պաշտոնում հաղթել է 2012թ.</v>
      </c>
    </row>
    <row r="3590">
      <c r="A3590" s="1" t="s">
        <v>7070</v>
      </c>
      <c r="B3590" s="2" t="s">
        <v>7071</v>
      </c>
      <c r="C3590" s="3" t="str">
        <f>IFERROR(__xludf.DUMMYFUNCTION("GOOGLETRANSLATE(A3590,""en"",""hy"")"),"որտեղ տեղի ունեցավ դաշնակիցների ներխուժումը Ֆրանսիա:")</f>
        <v>որտեղ տեղի ունեցավ դաշնակիցների ներխուժումը Ֆրանսիա:</v>
      </c>
      <c r="D3590" s="3" t="str">
        <f>IFERROR(__xludf.DUMMYFUNCTION("GOOGLETRANSLATE(B3590,""en"",""hy"")"),"Դաշնակիցների ներխուժումը Ֆրանսիա տեղի ունեցավ Նորմանդիայում, մասնավորապես՝ Օմահայի, Յուտայի, Գոլդի, Ջունոյի և Սուրի լողափերում։")</f>
        <v>Դաշնակիցների ներխուժումը Ֆրանսիա տեղի ունեցավ Նորմանդիայում, մասնավորապես՝ Օմահայի, Յուտայի, Գոլդի, Ջունոյի և Սուրի լողափերում։</v>
      </c>
    </row>
    <row r="3591">
      <c r="A3591" s="1" t="s">
        <v>7072</v>
      </c>
      <c r="B3591" s="2" t="s">
        <v>7073</v>
      </c>
      <c r="C3591" s="3" t="str">
        <f>IFERROR(__xludf.DUMMYFUNCTION("GOOGLETRANSLATE(A3591,""en"",""hy"")"),"որտեղ է սբ. Ջո գետի սկիզբը")</f>
        <v>որտեղ է սբ. Ջո գետի սկիզբը</v>
      </c>
      <c r="D3591" s="3" t="str">
        <f>IFERROR(__xludf.DUMMYFUNCTION("GOOGLETRANSLATE(B3591,""en"",""hy"")"),"Մոնտանայի Բիթերրոտ լեռներից սկիզբ է առնում Սուրբ Ջո գետը։")</f>
        <v>Մոնտանայի Բիթերրոտ լեռներից սկիզբ է առնում Սուրբ Ջո գետը։</v>
      </c>
    </row>
    <row r="3592">
      <c r="A3592" s="1" t="s">
        <v>7074</v>
      </c>
      <c r="B3592" s="2" t="s">
        <v>7075</v>
      </c>
      <c r="C3592" s="3" t="str">
        <f>IFERROR(__xludf.DUMMYFUNCTION("GOOGLETRANSLATE(A3592,""en"",""hy"")"),"որտեղ է Ալեքս Սմիթը խաղացել ավագ դպրոցի ֆուտբոլ:")</f>
        <v>որտեղ է Ալեքս Սմիթը խաղացել ավագ դպրոցի ֆուտբոլ:</v>
      </c>
      <c r="D3592" s="3" t="str">
        <f>IFERROR(__xludf.DUMMYFUNCTION("GOOGLETRANSLATE(B3592,""en"",""hy"")"),"Ալեքս Սմիթը ավագ դպրոցական ֆուտբոլ է խաղացել Կալիֆորնիայի Լա Մեսա քաղաքի Helix ավագ դպրոցում:")</f>
        <v>Ալեքս Սմիթը ավագ դպրոցական ֆուտբոլ է խաղացել Կալիֆորնիայի Լա Մեսա քաղաքի Helix ավագ դպրոցում:</v>
      </c>
    </row>
    <row r="3593">
      <c r="A3593" s="1" t="s">
        <v>7076</v>
      </c>
      <c r="B3593" s="2" t="s">
        <v>7077</v>
      </c>
      <c r="C3593" s="3" t="str">
        <f>IFERROR(__xludf.DUMMYFUNCTION("GOOGLETRANSLATE(A3593,""en"",""hy"")"),"որտեղ են գտնվում Գիզայի բուրգերը:")</f>
        <v>որտեղ են գտնվում Գիզայի բուրգերը:</v>
      </c>
      <c r="D3593" s="3" t="str">
        <f>IFERROR(__xludf.DUMMYFUNCTION("GOOGLETRANSLATE(B3593,""en"",""hy"")"),"Գիզայի բուրգերը գտնվում են Եգիպտոսում։")</f>
        <v>Գիզայի բուրգերը գտնվում են Եգիպտոսում։</v>
      </c>
    </row>
    <row r="3594">
      <c r="A3594" s="1" t="s">
        <v>7078</v>
      </c>
      <c r="B3594" s="2" t="s">
        <v>7079</v>
      </c>
      <c r="C3594" s="3" t="str">
        <f>IFERROR(__xludf.DUMMYFUNCTION("GOOGLETRANSLATE(A3594,""en"",""hy"")"),"երբ է nasdaq-ը սկսում առևտուրը:")</f>
        <v>երբ է nasdaq-ը սկսում առևտուրը:</v>
      </c>
      <c r="D3594" s="3" t="str">
        <f>IFERROR(__xludf.DUMMYFUNCTION("GOOGLETRANSLATE(B3594,""en"",""hy"")"),"Nasdaq-ը սկսում է առևտուրը 9:30 AM ET:")</f>
        <v>Nasdaq-ը սկսում է առևտուրը 9:30 AM ET:</v>
      </c>
    </row>
    <row r="3595">
      <c r="A3595" s="1" t="s">
        <v>7080</v>
      </c>
      <c r="B3595" s="2" t="s">
        <v>7081</v>
      </c>
      <c r="C3595" s="3" t="str">
        <f>IFERROR(__xludf.DUMMYFUNCTION("GOOGLETRANSLATE(A3595,""en"",""hy"")"),"Ո՞վ է խաղում կերմիթ մուփեթների ֆիլմում:")</f>
        <v>Ո՞վ է խաղում կերմիթ մուփեթների ֆիլմում:</v>
      </c>
      <c r="D3595" s="3" t="str">
        <f>IFERROR(__xludf.DUMMYFUNCTION("GOOGLETRANSLATE(B3595,""en"",""hy"")"),"Ջիմ Հենսոն.")</f>
        <v>Ջիմ Հենսոն.</v>
      </c>
    </row>
    <row r="3596">
      <c r="A3596" s="1" t="s">
        <v>7082</v>
      </c>
      <c r="B3596" s="2" t="s">
        <v>7083</v>
      </c>
      <c r="C3596" s="3" t="str">
        <f>IFERROR(__xludf.DUMMYFUNCTION("GOOGLETRANSLATE(A3596,""en"",""hy"")"),"ինչպիսի՞ իշխանություն ունի Իրանը այսօր.")</f>
        <v>ինչպիսի՞ իշխանություն ունի Իրանը այսօր.</v>
      </c>
      <c r="D3596" s="3" t="str">
        <f>IFERROR(__xludf.DUMMYFUNCTION("GOOGLETRANSLATE(B3596,""en"",""hy"")"),"Իրանն ունի Իսլամական Հանրապետության կառավարման ձև:")</f>
        <v>Իրանն ունի Իսլամական Հանրապետության կառավարման ձև:</v>
      </c>
    </row>
    <row r="3597">
      <c r="A3597" s="1" t="s">
        <v>7084</v>
      </c>
      <c r="B3597" s="2" t="s">
        <v>7085</v>
      </c>
      <c r="C3597" s="3" t="str">
        <f>IFERROR(__xludf.DUMMYFUNCTION("GOOGLETRANSLATE(A3597,""en"",""hy"")"),"ինչ է աֆրոամերիկյան գրականությունը:")</f>
        <v>ինչ է աֆրոամերիկյան գրականությունը:</v>
      </c>
      <c r="D3597" s="3" t="str">
        <f>IFERROR(__xludf.DUMMYFUNCTION("GOOGLETRANSLATE(B3597,""en"",""hy"")"),"Աֆրոամերիկյան գրականությունը վերաբերում է աֆրոամերիկացի հեղինակների կողմից գրված գրական ստեղծագործություններին, որոնք ուսումնասիրում են աֆրոամերիկացիների փորձը, պատմությունը և մշակույթը:")</f>
        <v>Աֆրոամերիկյան գրականությունը վերաբերում է աֆրոամերիկացի հեղինակների կողմից գրված գրական ստեղծագործություններին, որոնք ուսումնասիրում են աֆրոամերիկացիների փորձը, պատմությունը և մշակույթը:</v>
      </c>
    </row>
    <row r="3598">
      <c r="A3598" s="1" t="s">
        <v>7086</v>
      </c>
      <c r="B3598" s="2" t="s">
        <v>7087</v>
      </c>
      <c r="C3598" s="3" t="str">
        <f>IFERROR(__xludf.DUMMYFUNCTION("GOOGLETRANSLATE(A3598,""en"",""hy"")"),"որո՞նք են Ֆրանսիայի հիմնական լեզուները:")</f>
        <v>որո՞նք են Ֆրանսիայի հիմնական լեզուները:</v>
      </c>
      <c r="D3598" s="3" t="str">
        <f>IFERROR(__xludf.DUMMYFUNCTION("GOOGLETRANSLATE(B3598,""en"",""hy"")"),"Ֆրանսիայի հիմնական լեզուներն են ֆրանսերենը։")</f>
        <v>Ֆրանսիայի հիմնական լեզուներն են ֆրանսերենը։</v>
      </c>
    </row>
    <row r="3599">
      <c r="A3599" s="1" t="s">
        <v>7088</v>
      </c>
      <c r="B3599" s="2" t="s">
        <v>395</v>
      </c>
      <c r="C3599" s="3" t="str">
        <f>IFERROR(__xludf.DUMMYFUNCTION("GOOGLETRANSLATE(A3599,""en"",""hy"")"),"ի՞նչ լեզվով են խոսում Գայանա Հարավային Ամերիկայում:")</f>
        <v>ի՞նչ լեզվով են խոսում Գայանա Հարավային Ամերիկայում:</v>
      </c>
      <c r="D3599" s="3" t="str">
        <f>IFERROR(__xludf.DUMMYFUNCTION("GOOGLETRANSLATE(B3599,""en"",""hy"")"),"Անգլերեն.")</f>
        <v>Անգլերեն.</v>
      </c>
    </row>
    <row r="3600">
      <c r="A3600" s="1" t="s">
        <v>7089</v>
      </c>
      <c r="B3600" s="2" t="s">
        <v>7090</v>
      </c>
      <c r="C3600" s="3" t="str">
        <f>IFERROR(__xludf.DUMMYFUNCTION("GOOGLETRANSLATE(A3600,""en"",""hy"")"),"Ո՞ր տարում են հիմնադրվել Նյու Յորքի յանկիները:")</f>
        <v>Ո՞ր տարում են հիմնադրվել Նյու Յորքի յանկիները:</v>
      </c>
      <c r="D3600" s="3" t="str">
        <f>IFERROR(__xludf.DUMMYFUNCTION("GOOGLETRANSLATE(B3600,""en"",""hy"")"),"New York Yankees-ը ստեղծվել է 1901 թվականին։")</f>
        <v>New York Yankees-ը ստեղծվել է 1901 թվականին։</v>
      </c>
    </row>
    <row r="3601">
      <c r="A3601" s="1" t="s">
        <v>7091</v>
      </c>
      <c r="B3601" s="2" t="s">
        <v>7092</v>
      </c>
      <c r="C3601" s="3" t="str">
        <f>IFERROR(__xludf.DUMMYFUNCTION("GOOGLETRANSLATE(A3601,""en"",""hy"")"),"ինչ խաղեր են խաղում ճապոնացիները:")</f>
        <v>ինչ խաղեր են խաղում ճապոնացիները:</v>
      </c>
      <c r="D3601" s="3" t="str">
        <f>IFERROR(__xludf.DUMMYFUNCTION("GOOGLETRANSLATE(B3601,""en"",""hy"")"),"Ճապոնացիները խաղում են խաղերի լայն տեսականի, ներառյալ ավանդական խաղերը, ինչպիսիք են go, շոգին և հանաֆուդան, ինչպես նաև ժամանակակից հայտնի խաղեր, ինչպիսիք են տեսախաղերը, թղթախաղերը և սեղանի խաղերը:")</f>
        <v>Ճապոնացիները խաղում են խաղերի լայն տեսականի, ներառյալ ավանդական խաղերը, ինչպիսիք են go, շոգին և հանաֆուդան, ինչպես նաև ժամանակակից հայտնի խաղեր, ինչպիսիք են տեսախաղերը, թղթախաղերը և սեղանի խաղերը:</v>
      </c>
    </row>
    <row r="3602">
      <c r="A3602" s="1" t="s">
        <v>7093</v>
      </c>
      <c r="B3602" s="2" t="s">
        <v>7094</v>
      </c>
      <c r="C3602" s="3" t="str">
        <f>IFERROR(__xludf.DUMMYFUNCTION("GOOGLETRANSLATE(A3602,""en"",""hy"")"),"Ո՞ր քաղաքում է ծնվել Նելսոն Մանդելան.")</f>
        <v>Ո՞ր քաղաքում է ծնվել Նելսոն Մանդելան.</v>
      </c>
      <c r="D3602" s="3" t="str">
        <f>IFERROR(__xludf.DUMMYFUNCTION("GOOGLETRANSLATE(B3602,""en"",""hy"")"),"Նելսոն Մանդելան ծնվել է Հարավային Աֆրիկայի Արևելյան Քեյփ նահանգի Մվեզո գյուղում։")</f>
        <v>Նելսոն Մանդելան ծնվել է Հարավային Աֆրիկայի Արևելյան Քեյփ նահանգի Մվեզո գյուղում։</v>
      </c>
    </row>
    <row r="3603">
      <c r="A3603" s="1" t="s">
        <v>7095</v>
      </c>
      <c r="B3603" s="2" t="s">
        <v>7096</v>
      </c>
      <c r="C3603" s="3" t="str">
        <f>IFERROR(__xludf.DUMMYFUNCTION("GOOGLETRANSLATE(A3603,""en"",""hy"")"),"երբ է անկախության կենտրոնը բացվում կիրակի օրերին")</f>
        <v>երբ է անկախության կենտրոնը բացվում կիրակի օրերին</v>
      </c>
      <c r="D3603" s="3" t="str">
        <f>IFERROR(__xludf.DUMMYFUNCTION("GOOGLETRANSLATE(B3603,""en"",""hy"")"),"Կիրակի օրերին Անկախության կենտրոնի բացման ժամը տարբեր է: Լավագույնն այն է, որ ստուգեք նրանց կայքը կամ ուղղակիորեն կապվեք նրանց հետ առավել ճշգրիտ տեղեկատվության համար:")</f>
        <v>Կիրակի օրերին Անկախության կենտրոնի բացման ժամը տարբեր է: Լավագույնն այն է, որ ստուգեք նրանց կայքը կամ ուղղակիորեն կապվեք նրանց հետ առավել ճշգրիտ տեղեկատվության համար:</v>
      </c>
    </row>
    <row r="3604">
      <c r="A3604" s="1" t="s">
        <v>7097</v>
      </c>
      <c r="B3604" s="2" t="s">
        <v>7098</v>
      </c>
      <c r="C3604" s="3" t="str">
        <f>IFERROR(__xludf.DUMMYFUNCTION("GOOGLETRANSLATE(A3604,""en"",""hy"")"),"որտեղ էր ապրում նավաջո ցեղը:")</f>
        <v>որտեղ էր ապրում նավաջո ցեղը:</v>
      </c>
      <c r="D3604" s="3" t="str">
        <f>IFERROR(__xludf.DUMMYFUNCTION("GOOGLETRANSLATE(B3604,""en"",""hy"")"),"Նավախո ցեղը ապրում էր Միացյալ Նահանգների հարավ-արևմուտքում, հիմնականում Արիզոնայում, Նյու Մեքսիկոյում և Յուտայում:")</f>
        <v>Նավախո ցեղը ապրում էր Միացյալ Նահանգների հարավ-արևմուտքում, հիմնականում Արիզոնայում, Նյու Մեքսիկոյում և Յուտայում:</v>
      </c>
    </row>
    <row r="3605">
      <c r="A3605" s="1" t="s">
        <v>7099</v>
      </c>
      <c r="B3605" s="2" t="s">
        <v>7100</v>
      </c>
      <c r="C3605" s="3" t="str">
        <f>IFERROR(__xludf.DUMMYFUNCTION("GOOGLETRANSLATE(A3605,""en"",""hy"")"),"ինչի՞ց է մահացել Ֆրենկի Լայմոնը")</f>
        <v>ինչի՞ց է մահացել Ֆրենկի Լայմոնը</v>
      </c>
      <c r="D3605" s="3" t="str">
        <f>IFERROR(__xludf.DUMMYFUNCTION("GOOGLETRANSLATE(B3605,""en"",""hy"")"),"Ֆրենկի Լայմոնը մահացել է հերոինի գերդոզավորումից.")</f>
        <v>Ֆրենկի Լայմոնը մահացել է հերոինի գերդոզավորումից.</v>
      </c>
    </row>
    <row r="3606">
      <c r="A3606" s="1" t="s">
        <v>7101</v>
      </c>
      <c r="B3606" s="2" t="s">
        <v>7102</v>
      </c>
      <c r="C3606" s="3" t="str">
        <f>IFERROR(__xludf.DUMMYFUNCTION("GOOGLETRANSLATE(A3606,""en"",""hy"")"),"ինչ տեսնել Օսթինի մոտակայքում.")</f>
        <v>ինչ տեսնել Օսթինի մոտակայքում.</v>
      </c>
      <c r="D3606" s="3" t="str">
        <f>IFERROR(__xludf.DUMMYFUNCTION("GOOGLETRANSLATE(B3606,""en"",""hy"")"),"Օսթինի մերձակայքում գտնվող որոշ հայտնի տեսարժան վայրերը ներառում են Տեխաս նահանգի Կապիտոլիումը, Բարտոն Սփրինգս լողավազանը, Լեդի Բրդ Լիճը և Բալոք Տեխասի պետական ​​պատմության թանգարանը:")</f>
        <v>Օսթինի մերձակայքում գտնվող որոշ հայտնի տեսարժան վայրերը ներառում են Տեխաս նահանգի Կապիտոլիումը, Բարտոն Սփրինգս լողավազանը, Լեդի Բրդ Լիճը և Բալոք Տեխասի պետական ​​պատմության թանգարանը:</v>
      </c>
    </row>
    <row r="3607">
      <c r="A3607" s="1" t="s">
        <v>7103</v>
      </c>
      <c r="B3607" s="2" t="s">
        <v>7104</v>
      </c>
      <c r="C3607" s="3" t="str">
        <f>IFERROR(__xludf.DUMMYFUNCTION("GOOGLETRANSLATE(A3607,""en"",""hy"")"),"որտե՞ղ է Թրեյ Սոնզը սովորել ավագ դպրոցում:")</f>
        <v>որտե՞ղ է Թրեյ Սոնզը սովորել ավագ դպրոցում:</v>
      </c>
      <c r="D3607" s="3" t="str">
        <f>IFERROR(__xludf.DUMMYFUNCTION("GOOGLETRANSLATE(B3607,""en"",""hy"")"),"Թրեյ Սոնգզը գնացել է Պետերբուրգի ավագ դպրոց։")</f>
        <v>Թրեյ Սոնգզը գնացել է Պետերբուրգի ավագ դպրոց։</v>
      </c>
    </row>
    <row r="3608">
      <c r="A3608" s="1" t="s">
        <v>7105</v>
      </c>
      <c r="B3608" s="2" t="s">
        <v>7106</v>
      </c>
      <c r="C3608" s="3" t="str">
        <f>IFERROR(__xludf.DUMMYFUNCTION("GOOGLETRANSLATE(A3608,""en"",""hy"")"),"ինչո՞վ էր հայտնի Մաթիաս Շլայդենը:")</f>
        <v>ինչո՞վ էր հայտնի Մաթիաս Շլայդենը:</v>
      </c>
      <c r="D3608" s="3" t="str">
        <f>IFERROR(__xludf.DUMMYFUNCTION("GOOGLETRANSLATE(B3608,""en"",""hy"")"),"Մաթիաս Շլայդենը հայտնի էր բջջային տեսության մեջ իր ներդրումով։")</f>
        <v>Մաթիաս Շլայդենը հայտնի էր բջջային տեսության մեջ իր ներդրումով։</v>
      </c>
    </row>
    <row r="3609">
      <c r="A3609" s="1" t="s">
        <v>7107</v>
      </c>
      <c r="B3609" s="2" t="s">
        <v>7108</v>
      </c>
      <c r="C3609" s="3" t="str">
        <f>IFERROR(__xludf.DUMMYFUNCTION("GOOGLETRANSLATE(A3609,""en"",""hy"")"),"ո՞ր երկրում է ծնվել Հիսուսը")</f>
        <v>ո՞ր երկրում է ծնվել Հիսուսը</v>
      </c>
      <c r="D3609" s="3" t="str">
        <f>IFERROR(__xludf.DUMMYFUNCTION("GOOGLETRANSLATE(B3609,""en"",""hy"")"),"Հիսուսը ծնվել է Բեթղեհեմում՝ ժամանակակից Իսրայելում։")</f>
        <v>Հիսուսը ծնվել է Բեթղեհեմում՝ ժամանակակից Իսրայելում։</v>
      </c>
    </row>
    <row r="3610">
      <c r="A3610" s="1" t="s">
        <v>7109</v>
      </c>
      <c r="B3610" s="2" t="s">
        <v>7110</v>
      </c>
      <c r="C3610" s="3" t="str">
        <f>IFERROR(__xludf.DUMMYFUNCTION("GOOGLETRANSLATE(A3610,""en"",""hy"")"),"ե՞րբ է Լուիզիանան մտել միություն:")</f>
        <v>ե՞րբ է Լուիզիանան մտել միություն:</v>
      </c>
      <c r="D3610" s="3" t="str">
        <f>IFERROR(__xludf.DUMMYFUNCTION("GOOGLETRANSLATE(B3610,""en"",""hy"")"),"Լուիզիանան միության մեջ մտավ 1812 թվականի ապրիլի 30-ին։")</f>
        <v>Լուիզիանան միության մեջ մտավ 1812 թվականի ապրիլի 30-ին։</v>
      </c>
    </row>
    <row r="3611">
      <c r="A3611" s="1" t="s">
        <v>7111</v>
      </c>
      <c r="B3611" s="2" t="s">
        <v>7112</v>
      </c>
      <c r="C3611" s="3" t="str">
        <f>IFERROR(__xludf.DUMMYFUNCTION("GOOGLETRANSLATE(A3611,""en"",""hy"")"),"ովքե՞ր են Քրիստեն Ստյուարտի ծնողները:")</f>
        <v>ովքե՞ր են Քրիստեն Ստյուարտի ծնողները:</v>
      </c>
      <c r="D3611" s="3" t="str">
        <f>IFERROR(__xludf.DUMMYFUNCTION("GOOGLETRANSLATE(B3611,""en"",""hy"")"),"Քրիստեն Ստյուարտի ծնողներն են Ջոն Ստյուարտը և Ջուլս Ման-Սթյուարտը։")</f>
        <v>Քրիստեն Ստյուարտի ծնողներն են Ջոն Ստյուարտը և Ջուլս Ման-Սթյուարտը։</v>
      </c>
    </row>
    <row r="3612">
      <c r="A3612" s="1" t="s">
        <v>7113</v>
      </c>
      <c r="B3612" s="2" t="s">
        <v>7114</v>
      </c>
      <c r="C3612" s="3" t="str">
        <f>IFERROR(__xludf.DUMMYFUNCTION("GOOGLETRANSLATE(A3612,""en"",""hy"")"),"Ե՞րբ է Մերի Շելլին գրել Ֆրանկենշտեյն, ինչ հանգամանքներ են եղել:")</f>
        <v>Ե՞րբ է Մերի Շելլին գրել Ֆրանկենշտեյն, ինչ հանգամանքներ են եղել:</v>
      </c>
      <c r="D3612" s="3" t="str">
        <f>IFERROR(__xludf.DUMMYFUNCTION("GOOGLETRANSLATE(B3612,""en"",""hy"")"),"Մերի Շելլին գրել է Ֆրանկենշտեյնը 1816 թվականին: Հանգամանքներն այնպիսին էին, որ նա մի խումբ գրողների մի մասն էր, որոնք գտնվում էին Ժնևում, Շվեյցարիա, և նրանք միմյանց մարտահրավեր էին նետում գրել ուրվականների պատմություն:")</f>
        <v>Մերի Շելլին գրել է Ֆրանկենշտեյնը 1816 թվականին: Հանգամանքներն այնպիսին էին, որ նա մի խումբ գրողների մի մասն էր, որոնք գտնվում էին Ժնևում, Շվեյցարիա, և նրանք միմյանց մարտահրավեր էին նետում գրել ուրվականների պատմություն:</v>
      </c>
    </row>
    <row r="3613">
      <c r="A3613" s="1" t="s">
        <v>7115</v>
      </c>
      <c r="B3613" s="2" t="s">
        <v>7116</v>
      </c>
      <c r="C3613" s="3" t="str">
        <f>IFERROR(__xludf.DUMMYFUNCTION("GOOGLETRANSLATE(A3613,""en"",""hy"")"),"ինչի՞ համար է կռվել Վիետնամի պատերազմը")</f>
        <v>ինչի՞ համար է կռվել Վիետնամի պատերազմը</v>
      </c>
      <c r="D3613" s="3" t="str">
        <f>IFERROR(__xludf.DUMMYFUNCTION("GOOGLETRANSLATE(B3613,""en"",""hy"")"),"Վիետնամի պատերազմը մղվել է տարբեր պատճառներով՝ հիմնականում կանխելու կոմունիզմի տարածումը և աջակցելու Հարավային Վիետնամի կառավարությանը։")</f>
        <v>Վիետնամի պատերազմը մղվել է տարբեր պատճառներով՝ հիմնականում կանխելու կոմունիզմի տարածումը և աջակցելու Հարավային Վիետնամի կառավարությանը։</v>
      </c>
    </row>
    <row r="3614">
      <c r="A3614" s="1" t="s">
        <v>7117</v>
      </c>
      <c r="B3614" s="2" t="s">
        <v>7118</v>
      </c>
      <c r="C3614" s="3" t="str">
        <f>IFERROR(__xludf.DUMMYFUNCTION("GOOGLETRANSLATE(A3614,""en"",""hy"")"),"ինչ է Քեյթ Սփեյդը")</f>
        <v>ինչ է Քեյթ Սփեյդը</v>
      </c>
      <c r="D3614" s="3" t="str">
        <f>IFERROR(__xludf.DUMMYFUNCTION("GOOGLETRANSLATE(B3614,""en"",""hy"")"),"Kate Spade-ը նորաձևության բրենդ է, որը մասնագիտացած է հագուստի, պայուսակների, աքսեսուարների և տնային ապրանքների մեջ:")</f>
        <v>Kate Spade-ը նորաձևության բրենդ է, որը մասնագիտացած է հագուստի, պայուսակների, աքսեսուարների և տնային ապրանքների մեջ:</v>
      </c>
    </row>
    <row r="3615">
      <c r="A3615" s="1" t="s">
        <v>7119</v>
      </c>
      <c r="B3615" s="2" t="s">
        <v>7120</v>
      </c>
      <c r="C3615" s="3" t="str">
        <f>IFERROR(__xludf.DUMMYFUNCTION("GOOGLETRANSLATE(A3615,""en"",""hy"")"),"Ո՞ր տարիքից կարող է կինը թոշակի անցնել Ավստրալիայում:")</f>
        <v>Ո՞ր տարիքից կարող է կինը թոշակի անցնել Ավստրալիայում:</v>
      </c>
      <c r="D3615" s="3" t="str">
        <f>IFERROR(__xludf.DUMMYFUNCTION("GOOGLETRANSLATE(B3615,""en"",""hy"")"),"Ավստրալիայում կանանց համար կենսաթոշակային տարիքը 67 է:")</f>
        <v>Ավստրալիայում կանանց համար կենսաթոշակային տարիքը 67 է:</v>
      </c>
    </row>
    <row r="3616">
      <c r="A3616" s="1" t="s">
        <v>7121</v>
      </c>
      <c r="B3616" s="2" t="s">
        <v>7122</v>
      </c>
      <c r="C3616" s="3" t="str">
        <f>IFERROR(__xludf.DUMMYFUNCTION("GOOGLETRANSLATE(A3616,""en"",""hy"")"),"Ո՞ր թիմում է խաղում Լամար Օդոմը 2013թ.")</f>
        <v>Ո՞ր թիմում է խաղում Լամար Օդոմը 2013թ.</v>
      </c>
      <c r="D3616" s="3" t="str">
        <f>IFERROR(__xludf.DUMMYFUNCTION("GOOGLETRANSLATE(B3616,""en"",""hy"")"),"Լամար Օդոմը հանդես է եկել «Լոս Անջելես Քլիպերսում» 2013 թվականին։")</f>
        <v>Լամար Օդոմը հանդես է եկել «Լոս Անջելես Քլիպերսում» 2013 թվականին։</v>
      </c>
    </row>
    <row r="3617">
      <c r="A3617" s="1" t="s">
        <v>7123</v>
      </c>
      <c r="B3617" s="2" t="s">
        <v>4370</v>
      </c>
      <c r="C3617" s="3" t="str">
        <f>IFERROR(__xludf.DUMMYFUNCTION("GOOGLETRANSLATE(A3617,""en"",""hy"")"),"Ո՞վ է հիմնադրել 1886 թվականին Աշխատանքի ամերիկյան ֆեդերացիան:")</f>
        <v>Ո՞վ է հիմնադրել 1886 թվականին Աշխատանքի ամերիկյան ֆեդերացիան:</v>
      </c>
      <c r="D3617" s="3" t="str">
        <f>IFERROR(__xludf.DUMMYFUNCTION("GOOGLETRANSLATE(B3617,""en"",""hy"")"),"Սամուել Գոմպերս")</f>
        <v>Սամուել Գոմպերս</v>
      </c>
    </row>
    <row r="3618">
      <c r="A3618" s="1" t="s">
        <v>7124</v>
      </c>
      <c r="B3618" s="2" t="s">
        <v>7125</v>
      </c>
      <c r="C3618" s="3" t="str">
        <f>IFERROR(__xludf.DUMMYFUNCTION("GOOGLETRANSLATE(A3618,""en"",""hy"")"),"որտեղ է Լուիսվիլ Նը")</f>
        <v>որտեղ է Լուիսվիլ Նը</v>
      </c>
      <c r="D3618" s="3" t="str">
        <f>IFERROR(__xludf.DUMMYFUNCTION("GOOGLETRANSLATE(B3618,""en"",""hy"")"),"Louisville NE գտնվում է Նեբրասկա նահանգում, ԱՄՆ։")</f>
        <v>Louisville NE գտնվում է Նեբրասկա նահանգում, ԱՄՆ։</v>
      </c>
    </row>
    <row r="3619">
      <c r="A3619" s="1" t="s">
        <v>7126</v>
      </c>
      <c r="B3619" s="2" t="s">
        <v>7127</v>
      </c>
      <c r="C3619" s="3" t="str">
        <f>IFERROR(__xludf.DUMMYFUNCTION("GOOGLETRANSLATE(A3619,""en"",""hy"")"),"որտեղ է ավարտվում Միսուրի գետը.")</f>
        <v>որտեղ է ավարտվում Միսուրի գետը.</v>
      </c>
      <c r="D3619" s="3" t="str">
        <f>IFERROR(__xludf.DUMMYFUNCTION("GOOGLETRANSLATE(B3619,""en"",""hy"")"),"Միսսուրի գետը վերջանում է Միսսիսիպի գետի հետ Միսսուրիի Սենթ Լուիսի մոտ։")</f>
        <v>Միսսուրի գետը վերջանում է Միսսիսիպի գետի հետ Միսսուրիի Սենթ Լուիսի մոտ։</v>
      </c>
    </row>
    <row r="3620">
      <c r="A3620" s="1" t="s">
        <v>7128</v>
      </c>
      <c r="B3620" s="2" t="s">
        <v>7129</v>
      </c>
      <c r="C3620" s="3" t="str">
        <f>IFERROR(__xludf.DUMMYFUNCTION("GOOGLETRANSLATE(A3620,""en"",""hy"")"),"Ո՞ր թիմում է խաղում Հենք Բասկետը 2010թ.")</f>
        <v>Ո՞ր թիմում է խաղում Հենք Բասկետը 2010թ.</v>
      </c>
      <c r="D3620" s="3" t="str">
        <f>IFERROR(__xludf.DUMMYFUNCTION("GOOGLETRANSLATE(B3620,""en"",""hy"")"),"Philadelphia Eagles.")</f>
        <v>Philadelphia Eagles.</v>
      </c>
    </row>
    <row r="3621">
      <c r="A3621" s="1" t="s">
        <v>7130</v>
      </c>
      <c r="B3621" s="2" t="s">
        <v>7131</v>
      </c>
      <c r="C3621" s="3" t="str">
        <f>IFERROR(__xludf.DUMMYFUNCTION("GOOGLETRANSLATE(A3621,""en"",""hy"")"),"որտեղ է իտալերենը խոսում ամբողջ աշխարհում:")</f>
        <v>որտեղ է իտալերենը խոսում ամբողջ աշխարհում:</v>
      </c>
      <c r="D3621" s="3" t="str">
        <f>IFERROR(__xludf.DUMMYFUNCTION("GOOGLETRANSLATE(B3621,""en"",""hy"")"),"Իտալերենը խոսում են հիմնականում Իտալիայում, սակայն այն նաև խոսում են Շվեյցարիայի, Սան Մարինոյի, Վատիկանի և իտալացի ներգաղթյալների բնակչությամբ տարբեր այլ երկրներում։")</f>
        <v>Իտալերենը խոսում են հիմնականում Իտալիայում, սակայն այն նաև խոսում են Շվեյցարիայի, Սան Մարինոյի, Վատիկանի և իտալացի ներգաղթյալների բնակչությամբ տարբեր այլ երկրներում։</v>
      </c>
    </row>
    <row r="3622">
      <c r="A3622" s="1" t="s">
        <v>7132</v>
      </c>
      <c r="B3622" s="2" t="s">
        <v>7133</v>
      </c>
      <c r="C3622" s="3" t="str">
        <f>IFERROR(__xludf.DUMMYFUNCTION("GOOGLETRANSLATE(A3622,""en"",""hy"")"),"ինչ է արժույթը Պանամայում:")</f>
        <v>ինչ է արժույթը Պանամայում:</v>
      </c>
      <c r="D3622" s="3" t="str">
        <f>IFERROR(__xludf.DUMMYFUNCTION("GOOGLETRANSLATE(B3622,""en"",""hy"")"),"Պանամայում արժույթը պանամական բալբոան է։")</f>
        <v>Պանամայում արժույթը պանամական բալբոան է։</v>
      </c>
    </row>
    <row r="3623">
      <c r="A3623" s="1" t="s">
        <v>7134</v>
      </c>
      <c r="B3623" s="2" t="s">
        <v>7135</v>
      </c>
      <c r="C3623" s="3" t="str">
        <f>IFERROR(__xludf.DUMMYFUNCTION("GOOGLETRANSLATE(A3623,""en"",""hy"")"),"ո՞ր բակալավրիատն է սովորել Մարտին Լյութեր Քինգ կրտսերը: մասնակցել?")</f>
        <v>ո՞ր բակալավրիատն է սովորել Մարտին Լյութեր Քինգ կրտսերը: մասնակցել?</v>
      </c>
      <c r="D3623" s="3" t="str">
        <f>IFERROR(__xludf.DUMMYFUNCTION("GOOGLETRANSLATE(B3623,""en"",""hy"")"),"Մարտին Լյութեր Քինգ կրտսերը հաճախել է Մորհաուս քոլեջը բակալավրիատի համար:")</f>
        <v>Մարտին Լյութեր Քինգ կրտսերը հաճախել է Մորհաուս քոլեջը բակալավրիատի համար:</v>
      </c>
    </row>
    <row r="3624">
      <c r="A3624" s="1" t="s">
        <v>7136</v>
      </c>
      <c r="B3624" s="2" t="s">
        <v>7137</v>
      </c>
      <c r="C3624" s="3" t="str">
        <f>IFERROR(__xludf.DUMMYFUNCTION("GOOGLETRANSLATE(A3624,""en"",""hy"")"),"Ո՞ր 5 երկրներն են սահմանակից Ռումինիային:")</f>
        <v>Ո՞ր 5 երկրներն են սահմանակից Ռումինիային:</v>
      </c>
      <c r="D3624" s="3" t="str">
        <f>IFERROR(__xludf.DUMMYFUNCTION("GOOGLETRANSLATE(B3624,""en"",""hy"")"),"Բուլղարիա, Սերբիա, Հունգարիա, Ուկրաինա և Մոլդովա:")</f>
        <v>Բուլղարիա, Սերբիա, Հունգարիա, Ուկրաինա և Մոլդովա:</v>
      </c>
    </row>
    <row r="3625">
      <c r="A3625" s="1" t="s">
        <v>7138</v>
      </c>
      <c r="B3625" s="2" t="s">
        <v>7139</v>
      </c>
      <c r="C3625" s="3" t="str">
        <f>IFERROR(__xludf.DUMMYFUNCTION("GOOGLETRANSLATE(A3625,""en"",""hy"")"),"Ե՞րբ է վերջին անգամ Կանզաս քաղաքի ղեկավարները հաղթել սուպերգավաթում:")</f>
        <v>Ե՞րբ է վերջին անգամ Կանզաս քաղաքի ղեկավարները հաղթել սուպերգավաթում:</v>
      </c>
      <c r="D3625" s="3" t="str">
        <f>IFERROR(__xludf.DUMMYFUNCTION("GOOGLETRANSLATE(B3625,""en"",""hy"")"),"Կանզաս Սիթի Չայֆսը հաղթել է իրենց վերջին Super Bowl-ը 2020 թվականին:")</f>
        <v>Կանզաս Սիթի Չայֆսը հաղթել է իրենց վերջին Super Bowl-ը 2020 թվականին:</v>
      </c>
    </row>
    <row r="3626">
      <c r="A3626" s="1" t="s">
        <v>7140</v>
      </c>
      <c r="B3626" s="2" t="s">
        <v>7141</v>
      </c>
      <c r="C3626" s="3" t="str">
        <f>IFERROR(__xludf.DUMMYFUNCTION("GOOGLETRANSLATE(A3626,""en"",""hy"")"),"որտեղ է սովորել Սմիթը ավագ դպրոց:")</f>
        <v>որտեղ է սովորել Սմիթը ավագ դպրոց:</v>
      </c>
      <c r="D3626" s="3" t="str">
        <f>IFERROR(__xludf.DUMMYFUNCTION("GOOGLETRANSLATE(B3626,""en"",""hy"")"),"Ուիլ Սմիթը գնաց Օվերբրուկ ավագ դպրոց:")</f>
        <v>Ուիլ Սմիթը գնաց Օվերբրուկ ավագ դպրոց:</v>
      </c>
    </row>
    <row r="3627">
      <c r="A3627" s="1" t="s">
        <v>7142</v>
      </c>
      <c r="B3627" s="2" t="s">
        <v>7143</v>
      </c>
      <c r="C3627" s="3" t="str">
        <f>IFERROR(__xludf.DUMMYFUNCTION("GOOGLETRANSLATE(A3627,""en"",""hy"")"),"որտեղ է գտնվում Միացյալ Արաբը")</f>
        <v>որտեղ է գտնվում Միացյալ Արաբը</v>
      </c>
      <c r="D3627" s="3" t="str">
        <f>IFERROR(__xludf.DUMMYFUNCTION("GOOGLETRANSLATE(B3627,""en"",""hy"")"),"Արաբական Միացյալ Էմիրությունները գտնվում է Մերձավոր Արևելքում՝ Արաբական թերակղզու արևելյան կողմում։")</f>
        <v>Արաբական Միացյալ Էմիրությունները գտնվում է Մերձավոր Արևելքում՝ Արաբական թերակղզու արևելյան կողմում։</v>
      </c>
    </row>
    <row r="3628">
      <c r="A3628" s="1" t="s">
        <v>7144</v>
      </c>
      <c r="B3628" s="2" t="s">
        <v>7145</v>
      </c>
      <c r="C3628" s="3" t="str">
        <f>IFERROR(__xludf.DUMMYFUNCTION("GOOGLETRANSLATE(A3628,""en"",""hy"")"),"որտեղ է Քեյթ Միդլթոնն անցկացնում Սուրբ Ծնունդը:")</f>
        <v>որտեղ է Քեյթ Միդլթոնն անցկացնում Սուրբ Ծնունդը:</v>
      </c>
      <c r="D3628" s="3" t="str">
        <f>IFERROR(__xludf.DUMMYFUNCTION("GOOGLETRANSLATE(B3628,""en"",""hy"")"),"Քեյթ Միդլթոնը Սուրբ Ծնունդն անցկացնում է ընտանիքի հետ.")</f>
        <v>Քեյթ Միդլթոնը Սուրբ Ծնունդն անցկացնում է ընտանիքի հետ.</v>
      </c>
    </row>
    <row r="3629">
      <c r="A3629" s="1" t="s">
        <v>7146</v>
      </c>
      <c r="B3629" s="2" t="s">
        <v>7147</v>
      </c>
      <c r="C3629" s="3" t="str">
        <f>IFERROR(__xludf.DUMMYFUNCTION("GOOGLETRANSLATE(A3629,""en"",""hy"")"),"ինչ այլ ֆիլմեր ունի Լիամ Հեմսվորթը:")</f>
        <v>ինչ այլ ֆիլմեր ունի Լիամ Հեմսվորթը:</v>
      </c>
      <c r="D3629" s="3" t="str">
        <f>IFERROR(__xludf.DUMMYFUNCTION("GOOGLETRANSLATE(B3629,""en"",""hy"")"),"Լիամ Հեմսվորթը նկարահանվել է այնպիսի ֆիլմերում, ինչպիսիք են «Քաղցած խաղերը» սերիալները, «Անկախության օր. վերածնունդ» և «Վերջին երգը»։")</f>
        <v>Լիամ Հեմսվորթը նկարահանվել է այնպիսի ֆիլմերում, ինչպիսիք են «Քաղցած խաղերը» սերիալները, «Անկախության օր. վերածնունդ» և «Վերջին երգը»։</v>
      </c>
    </row>
    <row r="3630">
      <c r="A3630" s="1" t="s">
        <v>7148</v>
      </c>
      <c r="B3630" s="2" t="s">
        <v>7149</v>
      </c>
      <c r="C3630" s="3" t="str">
        <f>IFERROR(__xludf.DUMMYFUNCTION("GOOGLETRANSLATE(A3630,""en"",""hy"")"),"ինչ է Duncan Bannatyne-ը:")</f>
        <v>ինչ է Duncan Bannatyne-ը:</v>
      </c>
      <c r="D3630" s="3" t="str">
        <f>IFERROR(__xludf.DUMMYFUNCTION("GOOGLETRANSLATE(B3630,""en"",""hy"")"),"Դունկան Բանատայնը բրիտանացի ձեռներեց և հեռուստատեսային անձնավորություն է:")</f>
        <v>Դունկան Բանատայնը բրիտանացի ձեռներեց և հեռուստատեսային անձնավորություն է:</v>
      </c>
    </row>
    <row r="3631">
      <c r="A3631" s="1" t="s">
        <v>7150</v>
      </c>
      <c r="B3631" s="2" t="s">
        <v>7151</v>
      </c>
      <c r="C3631" s="3" t="str">
        <f>IFERROR(__xludf.DUMMYFUNCTION("GOOGLETRANSLATE(A3631,""en"",""hy"")"),"ինչո՞վ էր հայտնի Կեսար Օգոստոսը:")</f>
        <v>ինչո՞վ էր հայտնի Կեսար Օգոստոսը:</v>
      </c>
      <c r="D3631" s="3" t="str">
        <f>IFERROR(__xludf.DUMMYFUNCTION("GOOGLETRANSLATE(B3631,""en"",""hy"")"),"Կեսար Օգոստոսը հայտնի էր որպես հռոմեական առաջին կայսրը և Pax Romana-ի ստեղծման գործում ունեցած դերով։")</f>
        <v>Կեսար Օգոստոսը հայտնի էր որպես հռոմեական առաջին կայսրը և Pax Romana-ի ստեղծման գործում ունեցած դերով։</v>
      </c>
    </row>
    <row r="3632">
      <c r="A3632" s="1" t="s">
        <v>7152</v>
      </c>
      <c r="B3632" s="2" t="s">
        <v>7153</v>
      </c>
      <c r="C3632" s="3" t="str">
        <f>IFERROR(__xludf.DUMMYFUNCTION("GOOGLETRANSLATE(A3632,""en"",""hy"")"),"Ե՞րբ է մահացել Բրեդլի Կուպերի հայրը:")</f>
        <v>Ե՞րբ է մահացել Բրեդլի Կուպերի հայրը:</v>
      </c>
      <c r="D3632" s="3" t="str">
        <f>IFERROR(__xludf.DUMMYFUNCTION("GOOGLETRANSLATE(B3632,""en"",""hy"")"),"Բրեդլի Կուպերի հայրը՝ Չարլզ Կուպերը, մահացել է 2011 թվականի հունվարի 15-ին։")</f>
        <v>Բրեդլի Կուպերի հայրը՝ Չարլզ Կուպերը, մահացել է 2011 թվականի հունվարի 15-ին։</v>
      </c>
    </row>
    <row r="3633">
      <c r="A3633" s="1" t="s">
        <v>7154</v>
      </c>
      <c r="B3633" s="2" t="s">
        <v>7155</v>
      </c>
      <c r="C3633" s="3" t="str">
        <f>IFERROR(__xludf.DUMMYFUNCTION("GOOGLETRANSLATE(A3633,""en"",""hy"")"),"ո՞ր երկրները սահմանակից են Բալթիկ ծովին:")</f>
        <v>ո՞ր երկրները սահմանակից են Բալթիկ ծովին:</v>
      </c>
      <c r="D3633" s="3" t="str">
        <f>IFERROR(__xludf.DUMMYFUNCTION("GOOGLETRANSLATE(B3633,""en"",""hy"")"),"Բալթիկ ծովին սահմանակից երկրներն են Դանիան, Շվեդիան, Ֆինլանդիան, Ռուսաստանը, Էստոնիան, Լատվիան և Լիտվան։")</f>
        <v>Բալթիկ ծովին սահմանակից երկրներն են Դանիան, Շվեդիան, Ֆինլանդիան, Ռուսաստանը, Էստոնիան, Լատվիան և Լիտվան։</v>
      </c>
    </row>
    <row r="3634">
      <c r="A3634" s="1" t="s">
        <v>7156</v>
      </c>
      <c r="B3634" s="2" t="s">
        <v>7157</v>
      </c>
      <c r="C3634" s="3" t="str">
        <f>IFERROR(__xludf.DUMMYFUNCTION("GOOGLETRANSLATE(A3634,""en"",""hy"")"),"ինչ անել Պերտ Շոտլանդիայում.")</f>
        <v>ինչ անել Պերտ Շոտլանդիայում.</v>
      </c>
      <c r="D3634" s="3" t="str">
        <f>IFERROR(__xludf.DUMMYFUNCTION("GOOGLETRANSLATE(B3634,""en"",""hy"")"),"Շոտլանդիայի Պերտ քաղաքում կարող եք այցելել այնպիսի տեսարժան վայրեր, ինչպիսիք են Սքոն պալատը, Պերտի թանգարանը և արվեստի պատկերասրահը և Սուրբ Ջոն Քըրքը: Դուք կարող եք նաև վայելել բացօթյա գործողություններ, ինչպիսիք են՝ քայլել Թեյ գետի երկայնքով կամ ուսումնաս"&amp;"իրել մոտակա Պերթշիրի գյուղերը:")</f>
        <v>Շոտլանդիայի Պերտ քաղաքում կարող եք այցելել այնպիսի տեսարժան վայրեր, ինչպիսիք են Սքոն պալատը, Պերտի թանգարանը և արվեստի պատկերասրահը և Սուրբ Ջոն Քըրքը: Դուք կարող եք նաև վայելել բացօթյա գործողություններ, ինչպիսիք են՝ քայլել Թեյ գետի երկայնքով կամ ուսումնասիրել մոտակա Պերթշիրի գյուղերը:</v>
      </c>
    </row>
    <row r="3635">
      <c r="A3635" s="1" t="s">
        <v>7158</v>
      </c>
      <c r="B3635" s="2" t="s">
        <v>7159</v>
      </c>
      <c r="C3635" s="3" t="str">
        <f>IFERROR(__xludf.DUMMYFUNCTION("GOOGLETRANSLATE(A3635,""en"",""hy"")"),"ով է նաև Քեյշիա Քոուլն ամուսնացած:")</f>
        <v>ով է նաև Քեյշիա Քոուլն ամուսնացած:</v>
      </c>
      <c r="D3635" s="3" t="str">
        <f>IFERROR(__xludf.DUMMYFUNCTION("GOOGLETRANSLATE(B3635,""en"",""hy"")"),"Քեյշիա Քոուլը ներկայումս ամուսնացած չէ։")</f>
        <v>Քեյշիա Քոուլը ներկայումս ամուսնացած չէ։</v>
      </c>
    </row>
    <row r="3636">
      <c r="A3636" s="1" t="s">
        <v>7160</v>
      </c>
      <c r="B3636" s="2" t="s">
        <v>7161</v>
      </c>
      <c r="C3636" s="3" t="str">
        <f>IFERROR(__xludf.DUMMYFUNCTION("GOOGLETRANSLATE(A3636,""en"",""hy"")"),"ո՞ւմ է ներկայացնում Քրիստին Գրեգուարը:")</f>
        <v>ո՞ւմ է ներկայացնում Քրիստին Գրեգուարը:</v>
      </c>
      <c r="D3636" s="3" t="str">
        <f>IFERROR(__xludf.DUMMYFUNCTION("GOOGLETRANSLATE(B3636,""en"",""hy"")"),"Քրիստին Գրեգուարը ներկայացնում է Վաշինգտոն նահանգի ժողովրդին:")</f>
        <v>Քրիստին Գրեգուարը ներկայացնում է Վաշինգտոն նահանգի ժողովրդին:</v>
      </c>
    </row>
    <row r="3637">
      <c r="A3637" s="1" t="s">
        <v>7162</v>
      </c>
      <c r="B3637" s="2" t="s">
        <v>7163</v>
      </c>
      <c r="C3637" s="3" t="str">
        <f>IFERROR(__xludf.DUMMYFUNCTION("GOOGLETRANSLATE(A3637,""en"",""hy"")"),"որո՞նք էին Լեոնարդո դա Վինչիի որոշ գյուտեր:")</f>
        <v>որո՞նք էին Լեոնարդո դա Վինչիի որոշ գյուտեր:</v>
      </c>
      <c r="D3637" s="3" t="str">
        <f>IFERROR(__xludf.DUMMYFUNCTION("GOOGLETRANSLATE(B3637,""en"",""hy"")"),"Լեոնարդո դա Վինչիի որոշ գյուտեր ներառում են ուղղաթիռ, պարաշյուտ և զրահապատ տանկ:")</f>
        <v>Լեոնարդո դա Վինչիի որոշ գյուտեր ներառում են ուղղաթիռ, պարաշյուտ և զրահապատ տանկ:</v>
      </c>
    </row>
    <row r="3638">
      <c r="A3638" s="1" t="s">
        <v>7164</v>
      </c>
      <c r="B3638" s="2" t="s">
        <v>7165</v>
      </c>
      <c r="C3638" s="3" t="str">
        <f>IFERROR(__xludf.DUMMYFUNCTION("GOOGLETRANSLATE(A3638,""en"",""hy"")"),"ինչ քոլեջ է արել tosh. o գնալ?")</f>
        <v>ինչ քոլեջ է արել tosh. o գնալ?</v>
      </c>
      <c r="D3638" s="3" t="str">
        <f>IFERROR(__xludf.DUMMYFUNCTION("GOOGLETRANSLATE(B3638,""en"",""hy"")"),"Tosh.0-ը հաճախել է Կենտրոնական Ֆլորիդայի համալսարան:")</f>
        <v>Tosh.0-ը հաճախել է Կենտրոնական Ֆլորիդայի համալսարան:</v>
      </c>
    </row>
    <row r="3639">
      <c r="A3639" s="1" t="s">
        <v>7166</v>
      </c>
      <c r="B3639" s="2" t="s">
        <v>7167</v>
      </c>
      <c r="C3639" s="3" t="str">
        <f>IFERROR(__xludf.DUMMYFUNCTION("GOOGLETRANSLATE(A3639,""en"",""hy"")"),"ով է խաղում սեմը զայրույթի կառավարման մեջ:")</f>
        <v>ով է խաղում սեմը զայրույթի կառավարման մեջ:</v>
      </c>
      <c r="D3639" s="3" t="str">
        <f>IFERROR(__xludf.DUMMYFUNCTION("GOOGLETRANSLATE(B3639,""en"",""hy"")"),"Ադամ Սենդլեր")</f>
        <v>Ադամ Սենդլեր</v>
      </c>
    </row>
    <row r="3640">
      <c r="A3640" s="1" t="s">
        <v>7168</v>
      </c>
      <c r="B3640" s="2" t="s">
        <v>7169</v>
      </c>
      <c r="C3640" s="3" t="str">
        <f>IFERROR(__xludf.DUMMYFUNCTION("GOOGLETRANSLATE(A3640,""en"",""hy"")"),"ի՞նչ տեսակի լարեր է օգտագործում Վիլի Նելսոնը:")</f>
        <v>ի՞նչ տեսակի լարեր է օգտագործում Վիլի Նելսոնը:</v>
      </c>
      <c r="D3640" s="3" t="str">
        <f>IFERROR(__xludf.DUMMYFUNCTION("GOOGLETRANSLATE(B3640,""en"",""hy"")"),"Վիլի Նելսոնը սովորաբար օգտագործում է նեյլոնե լարեր իր կիթառի վրա:")</f>
        <v>Վիլի Նելսոնը սովորաբար օգտագործում է նեյլոնե լարեր իր կիթառի վրա:</v>
      </c>
    </row>
    <row r="3641">
      <c r="A3641" s="1" t="s">
        <v>7170</v>
      </c>
      <c r="B3641" s="2" t="s">
        <v>7171</v>
      </c>
      <c r="C3641" s="3" t="str">
        <f>IFERROR(__xludf.DUMMYFUNCTION("GOOGLETRANSLATE(A3641,""en"",""hy"")"),"ու՞մ հետ է Հեյդի Կլումը հանդիպել մինչև կնքումը:")</f>
        <v>ու՞մ հետ է Հեյդի Կլումը հանդիպել մինչև կնքումը:</v>
      </c>
      <c r="D3641" s="3" t="str">
        <f>IFERROR(__xludf.DUMMYFUNCTION("GOOGLETRANSLATE(B3641,""en"",""hy"")"),"Հայդի Քլումը Սեյլից առաջ հանդիպել է Ֆլավիո Բրիատորեի հետ")</f>
        <v>Հայդի Քլումը Սեյլից առաջ հանդիպել է Ֆլավիո Բրիատորեի հետ</v>
      </c>
    </row>
    <row r="3642">
      <c r="A3642" s="1" t="s">
        <v>7172</v>
      </c>
      <c r="B3642" s="2" t="s">
        <v>7173</v>
      </c>
      <c r="C3642" s="3" t="str">
        <f>IFERROR(__xludf.DUMMYFUNCTION("GOOGLETRANSLATE(A3642,""en"",""hy"")"),"ի՞նչ տեսակի քվեարկության համակարգ ունի Ավստրալիան:")</f>
        <v>ի՞նչ տեսակի քվեարկության համակարգ ունի Ավստրալիան:</v>
      </c>
      <c r="D3642" s="3" t="str">
        <f>IFERROR(__xludf.DUMMYFUNCTION("GOOGLETRANSLATE(B3642,""en"",""hy"")"),"Ավստրալիան ունի արտոնյալ քվեարկության համակարգ։")</f>
        <v>Ավստրալիան ունի արտոնյալ քվեարկության համակարգ։</v>
      </c>
    </row>
    <row r="3643">
      <c r="A3643" s="1" t="s">
        <v>7174</v>
      </c>
      <c r="B3643" s="2" t="s">
        <v>7175</v>
      </c>
      <c r="C3643" s="3" t="str">
        <f>IFERROR(__xludf.DUMMYFUNCTION("GOOGLETRANSLATE(A3643,""en"",""hy"")"),"որտեղ է մեծացել նախագահ Էնդրյու Ջեքսոնը:")</f>
        <v>որտեղ է մեծացել նախագահ Էնդրյու Ջեքսոնը:</v>
      </c>
      <c r="D3643" s="3" t="str">
        <f>IFERROR(__xludf.DUMMYFUNCTION("GOOGLETRANSLATE(B3643,""en"",""hy"")"),"Նախագահ Էնդրյու Ջեքսոնը մեծացել է Հարավային Կարոլինայի Վաքհաուս քաղաքում:")</f>
        <v>Նախագահ Էնդրյու Ջեքսոնը մեծացել է Հարավային Կարոլինայի Վաքհաուս քաղաքում:</v>
      </c>
    </row>
    <row r="3644">
      <c r="A3644" s="1" t="s">
        <v>7176</v>
      </c>
      <c r="B3644" s="2" t="s">
        <v>7177</v>
      </c>
      <c r="C3644" s="3" t="str">
        <f>IFERROR(__xludf.DUMMYFUNCTION("GOOGLETRANSLATE(A3644,""en"",""hy"")"),"ի՞նչ է հորինել Իվան Պավլովը:")</f>
        <v>ի՞նչ է հորինել Իվան Պավլովը:</v>
      </c>
      <c r="D3644" s="3" t="str">
        <f>IFERROR(__xludf.DUMMYFUNCTION("GOOGLETRANSLATE(B3644,""en"",""hy"")"),"Իվան Պավլովը հորինել է դասական կոնդիցիոներ:")</f>
        <v>Իվան Պավլովը հորինել է դասական կոնդիցիոներ:</v>
      </c>
    </row>
    <row r="3645">
      <c r="A3645" s="1" t="s">
        <v>7178</v>
      </c>
      <c r="B3645" s="2" t="s">
        <v>7179</v>
      </c>
      <c r="C3645" s="3" t="str">
        <f>IFERROR(__xludf.DUMMYFUNCTION("GOOGLETRANSLATE(A3645,""en"",""hy"")"),"ո՞ր երկրներն ու ծովերը սահմանակից են Ուկրաինային:")</f>
        <v>ո՞ր երկրներն ու ծովերը սահմանակից են Ուկրաինային:</v>
      </c>
      <c r="D3645" s="3" t="str">
        <f>IFERROR(__xludf.DUMMYFUNCTION("GOOGLETRANSLATE(B3645,""en"",""hy"")"),"Լեհաստան, Բելառուս, Ռուսաստան, Սլովակիա, Հունգարիա, Ռումինիա, Մոլդովա և Սև ծով:")</f>
        <v>Լեհաստան, Բելառուս, Ռուսաստան, Սլովակիա, Հունգարիա, Ռումինիա, Մոլդովա և Սև ծով:</v>
      </c>
    </row>
    <row r="3646">
      <c r="A3646" s="1" t="s">
        <v>7180</v>
      </c>
      <c r="B3646" s="2" t="s">
        <v>7181</v>
      </c>
      <c r="C3646" s="3" t="str">
        <f>IFERROR(__xludf.DUMMYFUNCTION("GOOGLETRANSLATE(A3646,""en"",""hy"")"),"որտեղ է գտնվում Մյուրեյ գետը:")</f>
        <v>որտեղ է գտնվում Մյուրեյ գետը:</v>
      </c>
      <c r="D3646" s="3" t="str">
        <f>IFERROR(__xludf.DUMMYFUNCTION("GOOGLETRANSLATE(B3646,""en"",""hy"")"),"Ավստրալիա")</f>
        <v>Ավստրալիա</v>
      </c>
    </row>
    <row r="3647">
      <c r="A3647" s="1" t="s">
        <v>7182</v>
      </c>
      <c r="B3647" s="2" t="s">
        <v>7183</v>
      </c>
      <c r="C3647" s="3" t="str">
        <f>IFERROR(__xludf.DUMMYFUNCTION("GOOGLETRANSLATE(A3647,""en"",""hy"")"),"որտեղ էր Ջո Բայդենը սենատոր.")</f>
        <v>որտեղ էր Ջո Բայդենը սենատոր.</v>
      </c>
      <c r="D3647" s="3" t="str">
        <f>IFERROR(__xludf.DUMMYFUNCTION("GOOGLETRANSLATE(B3647,""en"",""hy"")"),"Ջո Բայդենը սենատոր էր Դելավերից։")</f>
        <v>Ջո Բայդենը սենատոր էր Դելավերից։</v>
      </c>
    </row>
    <row r="3648">
      <c r="A3648" s="1" t="s">
        <v>7184</v>
      </c>
      <c r="B3648" s="2" t="s">
        <v>7185</v>
      </c>
      <c r="C3648" s="3" t="str">
        <f>IFERROR(__xludf.DUMMYFUNCTION("GOOGLETRANSLATE(A3648,""en"",""hy"")"),"ո՞րն է փողի արժույթը Իտալիայում:")</f>
        <v>ո՞րն է փողի արժույթը Իտալիայում:</v>
      </c>
      <c r="D3648" s="3" t="str">
        <f>IFERROR(__xludf.DUMMYFUNCTION("GOOGLETRANSLATE(B3648,""en"",""hy"")"),"Իտալիայում փողի արժույթը եվրոն է:")</f>
        <v>Իտալիայում փողի արժույթը եվրոն է:</v>
      </c>
    </row>
    <row r="3649">
      <c r="A3649" s="1" t="s">
        <v>7186</v>
      </c>
      <c r="B3649" s="2" t="s">
        <v>7187</v>
      </c>
      <c r="C3649" s="3" t="str">
        <f>IFERROR(__xludf.DUMMYFUNCTION("GOOGLETRANSLATE(A3649,""en"",""hy"")"),"որտեղ է մահացել Ադոլֆ Հիտլերը.")</f>
        <v>որտեղ է մահացել Ադոլֆ Հիտլերը.</v>
      </c>
      <c r="D3649" s="3" t="str">
        <f>IFERROR(__xludf.DUMMYFUNCTION("GOOGLETRANSLATE(B3649,""en"",""hy"")"),"Ադոլֆ Հիտլերը մահացել է Գերմանիայի Բեռլինում գտնվող իր բունկերում։")</f>
        <v>Ադոլֆ Հիտլերը մահացել է Գերմանիայի Բեռլինում գտնվող իր բունկերում։</v>
      </c>
    </row>
    <row r="3650">
      <c r="A3650" s="1" t="s">
        <v>7188</v>
      </c>
      <c r="B3650" s="2" t="s">
        <v>7189</v>
      </c>
      <c r="C3650" s="3" t="str">
        <f>IFERROR(__xludf.DUMMYFUNCTION("GOOGLETRANSLATE(A3650,""en"",""hy"")"),"Միսիսիպիի քանի՞ տոկոսն է սև:")</f>
        <v>Միսիսիպիի քանի՞ տոկոսն է սև:</v>
      </c>
      <c r="D3650" s="3" t="str">
        <f>IFERROR(__xludf.DUMMYFUNCTION("GOOGLETRANSLATE(B3650,""en"",""hy"")"),"2021 թվականին Միսիսիպիի բնակչության մոտավորապես 38%-ը սևամորթ է։")</f>
        <v>2021 թվականին Միսիսիպիի բնակչության մոտավորապես 38%-ը սևամորթ է։</v>
      </c>
    </row>
    <row r="3651">
      <c r="A3651" s="1" t="s">
        <v>7190</v>
      </c>
      <c r="B3651" s="2" t="s">
        <v>7191</v>
      </c>
      <c r="C3651" s="3" t="str">
        <f>IFERROR(__xludf.DUMMYFUNCTION("GOOGLETRANSLATE(A3651,""en"",""hy"")"),"Ո՞ր տարին է զորակոչվել Ռեջի Բուշը:")</f>
        <v>Ո՞ր տարին է զորակոչվել Ռեջի Բուշը:</v>
      </c>
      <c r="D3651" s="3" t="str">
        <f>IFERROR(__xludf.DUMMYFUNCTION("GOOGLETRANSLATE(B3651,""en"",""hy"")"),"Ռեջի Բուշը զորակոչվել է 2006 թվականին։")</f>
        <v>Ռեջի Բուշը զորակոչվել է 2006 թվականին։</v>
      </c>
    </row>
    <row r="3652">
      <c r="A3652" s="1" t="s">
        <v>7192</v>
      </c>
      <c r="B3652" s="2" t="s">
        <v>7193</v>
      </c>
      <c r="C3652" s="3" t="str">
        <f>IFERROR(__xludf.DUMMYFUNCTION("GOOGLETRANSLATE(A3652,""en"",""hy"")"),"ինչո՞վ էր հայտնի Շերլոկ Հոլմսը.")</f>
        <v>ինչո՞վ էր հայտնի Շերլոկ Հոլմսը.</v>
      </c>
      <c r="D3652" s="3" t="str">
        <f>IFERROR(__xludf.DUMMYFUNCTION("GOOGLETRANSLATE(B3652,""en"",""hy"")"),"Շերլոկ Հոլմսը հայտնի էր դեդուկտացիայի իր բուռն հմտություններով և բարդ առեղծվածներ լուծելով:")</f>
        <v>Շերլոկ Հոլմսը հայտնի էր դեդուկտացիայի իր բուռն հմտություններով և բարդ առեղծվածներ լուծելով:</v>
      </c>
    </row>
    <row r="3653">
      <c r="A3653" s="1" t="s">
        <v>7194</v>
      </c>
      <c r="B3653" s="2" t="s">
        <v>7195</v>
      </c>
      <c r="C3653" s="3" t="str">
        <f>IFERROR(__xludf.DUMMYFUNCTION("GOOGLETRANSLATE(A3653,""en"",""hy"")"),"ո՞վ է 5-րդ համարը Բոստոն Սելթիքսում:")</f>
        <v>ո՞վ է 5-րդ համարը Բոստոն Սելթիքսում:</v>
      </c>
      <c r="D3653" s="3" t="str">
        <f>IFERROR(__xludf.DUMMYFUNCTION("GOOGLETRANSLATE(B3653,""en"",""hy"")"),"Կեմբա Ուոքեր.")</f>
        <v>Կեմբա Ուոքեր.</v>
      </c>
    </row>
    <row r="3654">
      <c r="A3654" s="1" t="s">
        <v>7196</v>
      </c>
      <c r="B3654" s="2" t="s">
        <v>7197</v>
      </c>
      <c r="C3654" s="3" t="str">
        <f>IFERROR(__xludf.DUMMYFUNCTION("GOOGLETRANSLATE(A3654,""en"",""hy"")"),"ինչ տեսք ունի Սիրիուսի սև գավազանը:")</f>
        <v>ինչ տեսք ունի Սիրիուսի սև գավազանը:</v>
      </c>
      <c r="D3654" s="3" t="str">
        <f>IFERROR(__xludf.DUMMYFUNCTION("GOOGLETRANSLATE(B3654,""en"",""hy"")"),"Սիրիուս Բլեքի գավազանը պատրաստված է սև փայտից և ունի յուրահատուկ փորագրություններ։ Գրքերում կամ ֆիլմերում դա մանրամասն նկարագրված չէ։")</f>
        <v>Սիրիուս Բլեքի գավազանը պատրաստված է սև փայտից և ունի յուրահատուկ փորագրություններ։ Գրքերում կամ ֆիլմերում դա մանրամասն նկարագրված չէ։</v>
      </c>
    </row>
    <row r="3655">
      <c r="A3655" s="1" t="s">
        <v>7198</v>
      </c>
      <c r="B3655" s="2" t="s">
        <v>7199</v>
      </c>
      <c r="C3655" s="3" t="str">
        <f>IFERROR(__xludf.DUMMYFUNCTION("GOOGLETRANSLATE(A3655,""en"",""hy"")"),"ով է Ռոջեր Բեկոնի գյուտարարը:")</f>
        <v>ով է Ռոջեր Բեկոնի գյուտարարը:</v>
      </c>
      <c r="D3655" s="3" t="str">
        <f>IFERROR(__xludf.DUMMYFUNCTION("GOOGLETRANSLATE(B3655,""en"",""hy"")"),"Ռոջեր Բեկոնը ոչ թե գյուտարար է, այլ ավելի շուտ փիլիսոփա և ֆրանցիսկյան վանական, որը հայտնի է օպտիկայի և ալքիմիայի ոլորտներում իր ներդրումով:")</f>
        <v>Ռոջեր Բեկոնը ոչ թե գյուտարար է, այլ ավելի շուտ փիլիսոփա և ֆրանցիսկյան վանական, որը հայտնի է օպտիկայի և ալքիմիայի ոլորտներում իր ներդրումով:</v>
      </c>
    </row>
    <row r="3656">
      <c r="A3656" s="1" t="s">
        <v>7200</v>
      </c>
      <c r="B3656" s="2" t="s">
        <v>7201</v>
      </c>
      <c r="C3656" s="3" t="str">
        <f>IFERROR(__xludf.DUMMYFUNCTION("GOOGLETRANSLATE(A3656,""en"",""hy"")"),"ո՞ւր են գնում լիբիացի փախստականները.")</f>
        <v>ո՞ւր են գնում լիբիացի փախստականները.</v>
      </c>
      <c r="D3656" s="3" t="str">
        <f>IFERROR(__xludf.DUMMYFUNCTION("GOOGLETRANSLATE(B3656,""en"",""hy"")"),"Լիբիացի փախստականները մեկնում են տարբեր երկրներ, առաջին հերթին՝ Եվրոպա և որոշ հարևան աֆրիկյան երկրներ։")</f>
        <v>Լիբիացի փախստականները մեկնում են տարբեր երկրներ, առաջին հերթին՝ Եվրոպա և որոշ հարևան աֆրիկյան երկրներ։</v>
      </c>
    </row>
    <row r="3657">
      <c r="A3657" s="1" t="s">
        <v>7202</v>
      </c>
      <c r="B3657" s="2" t="s">
        <v>7203</v>
      </c>
      <c r="C3657" s="3" t="str">
        <f>IFERROR(__xludf.DUMMYFUNCTION("GOOGLETRANSLATE(A3657,""en"",""hy"")"),"ո՞ր քաղաքում է անցկացվել woodstock-ը:")</f>
        <v>ո՞ր քաղաքում է անցկացվել woodstock-ը:</v>
      </c>
      <c r="D3657" s="3" t="str">
        <f>IFERROR(__xludf.DUMMYFUNCTION("GOOGLETRANSLATE(B3657,""en"",""hy"")"),"Վուդսթոքը տեղի ունեցավ Բեթելում (Նյու Յորք)։")</f>
        <v>Վուդսթոքը տեղի ունեցավ Բեթելում (Նյու Յորք)։</v>
      </c>
    </row>
    <row r="3658">
      <c r="A3658" s="1" t="s">
        <v>7204</v>
      </c>
      <c r="B3658" s="2" t="s">
        <v>7205</v>
      </c>
      <c r="C3658" s="3" t="str">
        <f>IFERROR(__xludf.DUMMYFUNCTION("GOOGLETRANSLATE(A3658,""en"",""hy"")"),"հեթանոսները ո՞ւմ են համարում աստված:")</f>
        <v>հեթանոսները ո՞ւմ են համարում աստված:</v>
      </c>
      <c r="D3658" s="3" t="str">
        <f>IFERROR(__xludf.DUMMYFUNCTION("GOOGLETRANSLATE(B3658,""en"",""hy"")"),"Հեթանոսները չեն հետևում կոնկրետ աստծու կամ աստվածության: Նրանց համոզմունքները տարբեր են, և տարբեր անհատներ կարող են երկրպագել տարբեր դիցաբանությունների կամ պանթեոնների տարբեր աստվածների կամ աստվածուհիների:")</f>
        <v>Հեթանոսները չեն հետևում կոնկրետ աստծու կամ աստվածության: Նրանց համոզմունքները տարբեր են, և տարբեր անհատներ կարող են երկրպագել տարբեր դիցաբանությունների կամ պանթեոնների տարբեր աստվածների կամ աստվածուհիների:</v>
      </c>
    </row>
    <row r="3659">
      <c r="A3659" s="1" t="s">
        <v>7206</v>
      </c>
      <c r="B3659" s="2" t="s">
        <v>7207</v>
      </c>
      <c r="C3659" s="3" t="str">
        <f>IFERROR(__xludf.DUMMYFUNCTION("GOOGLETRANSLATE(A3659,""en"",""hy"")"),"Ինչո՞վ է հայտնի Բենջամին Ֆրանկլինը:")</f>
        <v>Ինչո՞վ է հայտնի Բենջամին Ֆրանկլինը:</v>
      </c>
      <c r="D3659" s="3" t="str">
        <f>IFERROR(__xludf.DUMMYFUNCTION("GOOGLETRANSLATE(B3659,""en"",""hy"")"),"Մի բան, որով հայտնի է Բենջամին Ֆրանկլինը, էլեկտրաէներգիայի հետ կապված իր փորձերն են և կայծակաձողի գյուտը:")</f>
        <v>Մի բան, որով հայտնի է Բենջամին Ֆրանկլինը, էլեկտրաէներգիայի հետ կապված իր փորձերն են և կայծակաձողի գյուտը:</v>
      </c>
    </row>
    <row r="3660">
      <c r="A3660" s="1" t="s">
        <v>7208</v>
      </c>
      <c r="B3660" s="2" t="s">
        <v>7209</v>
      </c>
      <c r="C3660" s="3" t="str">
        <f>IFERROR(__xludf.DUMMYFUNCTION("GOOGLETRANSLATE(A3660,""en"",""hy"")"),"ինչ էր խաղում Ջոն Ուիլյամսը")</f>
        <v>ինչ էր խաղում Ջոն Ուիլյամսը</v>
      </c>
      <c r="D3660" s="3" t="str">
        <f>IFERROR(__xludf.DUMMYFUNCTION("GOOGLETRANSLATE(B3660,""en"",""hy"")"),"Ջոն Ուիլյամսը կիթառ է նվագում։")</f>
        <v>Ջոն Ուիլյամսը կիթառ է նվագում։</v>
      </c>
    </row>
    <row r="3661">
      <c r="A3661" s="1" t="s">
        <v>7210</v>
      </c>
      <c r="B3661" s="2" t="s">
        <v>7211</v>
      </c>
      <c r="C3661" s="3" t="str">
        <f>IFERROR(__xludf.DUMMYFUNCTION("GOOGLETRANSLATE(A3661,""en"",""hy"")"),"որտեղից է ներմուծվում Մեծ Բրիտանիան")</f>
        <v>որտեղից է ներմուծվում Մեծ Բրիտանիան</v>
      </c>
      <c r="D3661" s="3" t="str">
        <f>IFERROR(__xludf.DUMMYFUNCTION("GOOGLETRANSLATE(B3661,""en"",""hy"")"),"Մեծ Բրիտանիան ներմուծում է աշխարհի տարբեր երկրներից:")</f>
        <v>Մեծ Բրիտանիան ներմուծում է աշխարհի տարբեր երկրներից:</v>
      </c>
    </row>
    <row r="3662">
      <c r="A3662" s="1" t="s">
        <v>7212</v>
      </c>
      <c r="B3662" s="2" t="s">
        <v>7213</v>
      </c>
      <c r="C3662" s="3" t="str">
        <f>IFERROR(__xludf.DUMMYFUNCTION("GOOGLETRANSLATE(A3662,""en"",""hy"")"),"ով է սկսել հարավարևմտյան ավիաընկերությունները:")</f>
        <v>ով է սկսել հարավարևմտյան ավիաընկերությունները:</v>
      </c>
      <c r="D3662" s="3" t="str">
        <f>IFERROR(__xludf.DUMMYFUNCTION("GOOGLETRANSLATE(B3662,""en"",""hy"")"),"Հերբ Քելեհեր.")</f>
        <v>Հերբ Քելեհեր.</v>
      </c>
    </row>
    <row r="3663">
      <c r="A3663" s="1" t="s">
        <v>7214</v>
      </c>
      <c r="B3663" s="2" t="s">
        <v>7215</v>
      </c>
      <c r="C3663" s="3" t="str">
        <f>IFERROR(__xludf.DUMMYFUNCTION("GOOGLETRANSLATE(A3663,""en"",""hy"")"),"ով է Կոլումբիայի ներկայիս նախագահը 2011 թ.")</f>
        <v>ով է Կոլումբիայի ներկայիս նախագահը 2011 թ.</v>
      </c>
      <c r="D3663" s="3" t="str">
        <f>IFERROR(__xludf.DUMMYFUNCTION("GOOGLETRANSLATE(B3663,""en"",""hy"")"),"Կոլումբիայի ներկայիս նախագահը 2011 թվականին Խուան Մանուել Սանտոսն է։")</f>
        <v>Կոլումբիայի ներկայիս նախագահը 2011 թվականին Խուան Մանուել Սանտոսն է։</v>
      </c>
    </row>
    <row r="3664">
      <c r="A3664" s="1" t="s">
        <v>7216</v>
      </c>
      <c r="B3664" s="2" t="s">
        <v>7217</v>
      </c>
      <c r="C3664" s="3" t="str">
        <f>IFERROR(__xludf.DUMMYFUNCTION("GOOGLETRANSLATE(A3664,""en"",""hy"")"),"ի՞նչ էր այն գրքի անունը, որը գրել է Չարլզ Դարվինը:")</f>
        <v>ի՞նչ էր այն գրքի անունը, որը գրել է Չարլզ Դարվինը:</v>
      </c>
      <c r="D3664" s="3" t="str">
        <f>IFERROR(__xludf.DUMMYFUNCTION("GOOGLETRANSLATE(B3664,""en"",""hy"")"),"Չարլզ Դարվինի գրած գրքի անվանումն է՝ «Տեսակների ծագման մասին»։")</f>
        <v>Չարլզ Դարվինի գրած գրքի անվանումն է՝ «Տեսակների ծագման մասին»։</v>
      </c>
    </row>
    <row r="3665">
      <c r="A3665" s="1" t="s">
        <v>7218</v>
      </c>
      <c r="B3665" s="2" t="s">
        <v>7219</v>
      </c>
      <c r="C3665" s="3" t="str">
        <f>IFERROR(__xludf.DUMMYFUNCTION("GOOGLETRANSLATE(A3665,""en"",""hy"")"),"ո՞վ կարող է մտածել Արթուր Միլլերի մասին:")</f>
        <v>ո՞վ կարող է մտածել Արթուր Միլլերի մասին:</v>
      </c>
      <c r="D3665" s="3" t="str">
        <f>IFERROR(__xludf.DUMMYFUNCTION("GOOGLETRANSLATE(B3665,""en"",""hy"")"),"Ցավում եմ, բայց ես չեմ կարող պատասխանել ձեր հարցին, քանի որ այն անհասկանալի է: Կարո՞ղ եք ավելի շատ ենթատեքստ տրամադրել կամ պարզաբանել ձեր հարցը:")</f>
        <v>Ցավում եմ, բայց ես չեմ կարող պատասխանել ձեր հարցին, քանի որ այն անհասկանալի է: Կարո՞ղ եք ավելի շատ ենթատեքստ տրամադրել կամ պարզաբանել ձեր հարցը:</v>
      </c>
    </row>
    <row r="3666">
      <c r="A3666" s="1" t="s">
        <v>7220</v>
      </c>
      <c r="B3666" s="2" t="s">
        <v>7221</v>
      </c>
      <c r="C3666" s="3" t="str">
        <f>IFERROR(__xludf.DUMMYFUNCTION("GOOGLETRANSLATE(A3666,""en"",""hy"")"),"ումի՞ց է սերել Աբրահամը։")</f>
        <v>ումի՞ց է սերել Աբրահամը։</v>
      </c>
      <c r="D3666" s="3" t="str">
        <f>IFERROR(__xludf.DUMMYFUNCTION("GOOGLETRANSLATE(B3666,""en"",""hy"")"),"Աբրահամը սերում է Նոյի որդիներից Սեմից։")</f>
        <v>Աբրահամը սերում է Նոյի որդիներից Սեմից։</v>
      </c>
    </row>
    <row r="3667">
      <c r="A3667" s="1" t="s">
        <v>7222</v>
      </c>
      <c r="B3667" s="2" t="s">
        <v>7223</v>
      </c>
      <c r="C3667" s="3" t="str">
        <f>IFERROR(__xludf.DUMMYFUNCTION("GOOGLETRANSLATE(A3667,""en"",""hy"")"),"ինչ արեց Ատտիկուս Ֆինչը")</f>
        <v>ինչ արեց Ատտիկուս Ֆինչը</v>
      </c>
      <c r="D3667" s="3" t="str">
        <f>IFERROR(__xludf.DUMMYFUNCTION("GOOGLETRANSLATE(B3667,""en"",""hy"")"),"Ատտիկուս Ֆինչը փաստաբան էր «Սպանել ծաղրող թռչունին» վեպում, ով պաշտպանում էր բռնաբարության մեջ մեղադրվող սևամորթ Թոմ Ռոբինսոնին։")</f>
        <v>Ատտիկուս Ֆինչը փաստաբան էր «Սպանել ծաղրող թռչունին» վեպում, ով պաշտպանում էր բռնաբարության մեջ մեղադրվող սևամորթ Թոմ Ռոբինսոնին։</v>
      </c>
    </row>
    <row r="3668">
      <c r="A3668" s="1" t="s">
        <v>7224</v>
      </c>
      <c r="B3668" s="2" t="s">
        <v>7225</v>
      </c>
      <c r="C3668" s="3" t="str">
        <f>IFERROR(__xludf.DUMMYFUNCTION("GOOGLETRANSLATE(A3668,""en"",""hy"")"),"Ո՞ր տեսակի քաղցկեղից է մահացել Պատրիկ Սուեյզը:")</f>
        <v>Ո՞ր տեսակի քաղցկեղից է մահացել Պատրիկ Սուեյզը:</v>
      </c>
      <c r="D3668" s="3" t="str">
        <f>IFERROR(__xludf.DUMMYFUNCTION("GOOGLETRANSLATE(B3668,""en"",""hy"")"),"Պատրիկ Սուեյզը մահացել է ենթաստամոքսային գեղձի քաղցկեղից։")</f>
        <v>Պատրիկ Սուեյզը մահացել է ենթաստամոքսային գեղձի քաղցկեղից։</v>
      </c>
    </row>
    <row r="3669">
      <c r="A3669" s="1" t="s">
        <v>7226</v>
      </c>
      <c r="B3669" s="2" t="s">
        <v>7227</v>
      </c>
      <c r="C3669" s="3" t="str">
        <f>IFERROR(__xludf.DUMMYFUNCTION("GOOGLETRANSLATE(A3669,""en"",""hy"")"),"ինչ էր Ջեյմս Մեդիսոնի աշխատանքը:")</f>
        <v>ինչ էր Ջեյմս Մեդիսոնի աշխատանքը:</v>
      </c>
      <c r="D3669" s="3" t="str">
        <f>IFERROR(__xludf.DUMMYFUNCTION("GOOGLETRANSLATE(B3669,""en"",""hy"")"),"Ջեյմս Մեդիսոնի գործն էր ծառայել որպես Միացյալ Նահանգների չորրորդ նախագահ:")</f>
        <v>Ջեյմս Մեդիսոնի գործն էր ծառայել որպես Միացյալ Նահանգների չորրորդ նախագահ:</v>
      </c>
    </row>
    <row r="3670">
      <c r="A3670" s="1" t="s">
        <v>7228</v>
      </c>
      <c r="B3670" s="2" t="s">
        <v>7229</v>
      </c>
      <c r="C3670" s="3" t="str">
        <f>IFERROR(__xludf.DUMMYFUNCTION("GOOGLETRANSLATE(A3670,""en"",""hy"")"),"ի՞նչ լեզվով են խոսում Ֆրանսիայում:")</f>
        <v>ի՞նչ լեզվով են խոսում Ֆրանսիայում:</v>
      </c>
      <c r="D3670" s="3" t="str">
        <f>IFERROR(__xludf.DUMMYFUNCTION("GOOGLETRANSLATE(B3670,""en"",""hy"")"),"ֆրանսերեն.")</f>
        <v>ֆրանսերեն.</v>
      </c>
    </row>
    <row r="3671">
      <c r="A3671" s="1" t="s">
        <v>7230</v>
      </c>
      <c r="B3671" s="2" t="s">
        <v>7231</v>
      </c>
      <c r="C3671" s="3" t="str">
        <f>IFERROR(__xludf.DUMMYFUNCTION("GOOGLETRANSLATE(A3671,""en"",""hy"")"),"որտեղ են գտնվում սփրատլի կղզիները:")</f>
        <v>որտեղ են գտնվում սփրատլի կղզիները:</v>
      </c>
      <c r="D3671" s="3" t="str">
        <f>IFERROR(__xludf.DUMMYFUNCTION("GOOGLETRANSLATE(B3671,""en"",""hy"")"),"Սպրատլի կղզիները գտնվում են Հարավչինական ծովում։")</f>
        <v>Սպրատլի կղզիները գտնվում են Հարավչինական ծովում։</v>
      </c>
    </row>
    <row r="3672">
      <c r="A3672" s="1" t="s">
        <v>7232</v>
      </c>
      <c r="B3672" s="2" t="s">
        <v>7233</v>
      </c>
      <c r="C3672" s="3" t="str">
        <f>IFERROR(__xludf.DUMMYFUNCTION("GOOGLETRANSLATE(A3672,""en"",""hy"")"),"որտեղի՞ց է հայտնվել Համուրաբին")</f>
        <v>որտեղի՞ց է հայտնվել Համուրաբին</v>
      </c>
      <c r="D3672" s="3" t="str">
        <f>IFERROR(__xludf.DUMMYFUNCTION("GOOGLETRANSLATE(B3672,""en"",""hy"")"),"Համուրաբին եկել է Բաբելոնից, որը գտնվում է ժամանակակից Իրաքում։")</f>
        <v>Համուրաբին եկել է Բաբելոնից, որը գտնվում է ժամանակակից Իրաքում։</v>
      </c>
    </row>
    <row r="3673">
      <c r="A3673" s="1" t="s">
        <v>7234</v>
      </c>
      <c r="B3673" s="2" t="s">
        <v>7235</v>
      </c>
      <c r="C3673" s="3" t="str">
        <f>IFERROR(__xludf.DUMMYFUNCTION("GOOGLETRANSLATE(A3673,""en"",""hy"")"),"ով է թագուհի Էլիզաբեթի մազերը:")</f>
        <v>ով է թագուհի Էլիզաբեթի մազերը:</v>
      </c>
      <c r="D3673" s="3" t="str">
        <f>IFERROR(__xludf.DUMMYFUNCTION("GOOGLETRANSLATE(B3673,""en"",""hy"")"),"Թե ով է թագուհի Եղիսաբեթի մազերը հարդարում, հանրությանը հայտնի չէ։")</f>
        <v>Թե ով է թագուհի Եղիսաբեթի մազերը հարդարում, հանրությանը հայտնի չէ։</v>
      </c>
    </row>
    <row r="3674">
      <c r="A3674" s="1" t="s">
        <v>7236</v>
      </c>
      <c r="B3674" s="2" t="s">
        <v>7237</v>
      </c>
      <c r="C3674" s="3" t="str">
        <f>IFERROR(__xludf.DUMMYFUNCTION("GOOGLETRANSLATE(A3674,""en"",""hy"")"),"Ո՞ր թիմերի հետ է Ռոբերտ Հորին օղակներ նվաճել:")</f>
        <v>Ո՞ր թիմերի հետ է Ռոբերտ Հորին օղակներ նվաճել:</v>
      </c>
      <c r="D3674" s="3" t="str">
        <f>IFERROR(__xludf.DUMMYFUNCTION("GOOGLETRANSLATE(B3674,""en"",""hy"")"),"Ռոբերտ Հորրին օղակներ է նվաճել Հյուսթոն Ռոքեթսի, Լոս Անջելես Լեյքերսի և Սան Անտոնիո Սփըրսի հետ:")</f>
        <v>Ռոբերտ Հորրին օղակներ է նվաճել Հյուսթոն Ռոքեթսի, Լոս Անջելես Լեյքերսի և Սան Անտոնիո Սփըրսի հետ:</v>
      </c>
    </row>
    <row r="3675">
      <c r="A3675" s="1" t="s">
        <v>7238</v>
      </c>
      <c r="B3675" s="2" t="s">
        <v>7239</v>
      </c>
      <c r="C3675" s="3" t="str">
        <f>IFERROR(__xludf.DUMMYFUNCTION("GOOGLETRANSLATE(A3675,""en"",""hy"")"),"Ո՞ր ժամային գոտում է Կոլորադոն:")</f>
        <v>Ո՞ր ժամային գոտում է Կոլորադոն:</v>
      </c>
      <c r="D3675" s="3" t="str">
        <f>IFERROR(__xludf.DUMMYFUNCTION("GOOGLETRANSLATE(B3675,""en"",""hy"")"),"Կոլորադոն գտնվում է լեռնային ժամանակային գոտում:")</f>
        <v>Կոլորադոն գտնվում է լեռնային ժամանակային գոտում:</v>
      </c>
    </row>
    <row r="3676">
      <c r="A3676" s="1" t="s">
        <v>7240</v>
      </c>
      <c r="B3676" s="2" t="s">
        <v>7241</v>
      </c>
      <c r="C3676" s="3" t="str">
        <f>IFERROR(__xludf.DUMMYFUNCTION("GOOGLETRANSLATE(A3676,""en"",""hy"")"),"ինչ է գրել Չարլզ Դիքենսը")</f>
        <v>ինչ է գրել Չարլզ Դիքենսը</v>
      </c>
      <c r="D3676" s="3" t="str">
        <f>IFERROR(__xludf.DUMMYFUNCTION("GOOGLETRANSLATE(B3676,""en"",""hy"")"),"Չարլզ Դիքենսը վեպերի և պատմվածքների գրող էր։")</f>
        <v>Չարլզ Դիքենսը վեպերի և պատմվածքների գրող էր։</v>
      </c>
    </row>
    <row r="3677">
      <c r="A3677" s="1" t="s">
        <v>7242</v>
      </c>
      <c r="B3677" s="2" t="s">
        <v>7243</v>
      </c>
      <c r="C3677" s="3" t="str">
        <f>IFERROR(__xludf.DUMMYFUNCTION("GOOGLETRANSLATE(A3677,""en"",""hy"")"),"որտեղ է գտնվում Սուրբ Հելենսի այգին NSW:")</f>
        <v>որտեղ է գտնվում Սուրբ Հելենսի այգին NSW:</v>
      </c>
      <c r="D3677" s="3" t="str">
        <f>IFERROR(__xludf.DUMMYFUNCTION("GOOGLETRANSLATE(B3677,""en"",""hy"")"),"Սուրբ Հելենս այգին գտնվում է Ավստրալիայի Նոր Հարավային Ուելս քաղաքում:")</f>
        <v>Սուրբ Հելենս այգին գտնվում է Ավստրալիայի Նոր Հարավային Ուելս քաղաքում:</v>
      </c>
    </row>
    <row r="3678">
      <c r="A3678" s="1" t="s">
        <v>7244</v>
      </c>
      <c r="B3678" s="2" t="s">
        <v>7245</v>
      </c>
      <c r="C3678" s="3" t="str">
        <f>IFERROR(__xludf.DUMMYFUNCTION("GOOGLETRANSLATE(A3678,""en"",""hy"")"),"ով սպանեց Դեյվիդ Ռաֆինին")</f>
        <v>ով սպանեց Դեյվիդ Ռաֆինին</v>
      </c>
      <c r="D3678" s="3" t="str">
        <f>IFERROR(__xludf.DUMMYFUNCTION("GOOGLETRANSLATE(B3678,""en"",""hy"")"),"Դեյվիդ Ռաֆինը մահացել է թմրամիջոցների գերդոզավորումից։")</f>
        <v>Դեյվիդ Ռաֆինը մահացել է թմրամիջոցների գերդոզավորումից։</v>
      </c>
    </row>
    <row r="3679">
      <c r="A3679" s="1" t="s">
        <v>7246</v>
      </c>
      <c r="B3679" s="2" t="s">
        <v>7247</v>
      </c>
      <c r="C3679" s="3" t="str">
        <f>IFERROR(__xludf.DUMMYFUNCTION("GOOGLETRANSLATE(A3679,""en"",""hy"")"),"որտեղ է Ջեյմս Ֆրանկոն սովորել դերասանական վարպետություն")</f>
        <v>որտեղ է Ջեյմս Ֆրանկոն սովորել դերասանական վարպետություն</v>
      </c>
      <c r="D3679" s="3" t="str">
        <f>IFERROR(__xludf.DUMMYFUNCTION("GOOGLETRANSLATE(B3679,""en"",""hy"")"),"Ջեյմս Ֆրանկոն դերասանություն է սովորել Լոս Անջելեսի Կալիֆորնիայի համալսարանում (UCLA):")</f>
        <v>Ջեյմս Ֆրանկոն դերասանություն է սովորել Լոս Անջելեսի Կալիֆորնիայի համալսարանում (UCLA):</v>
      </c>
    </row>
    <row r="3680">
      <c r="A3680" s="1" t="s">
        <v>7248</v>
      </c>
      <c r="B3680" s="2" t="s">
        <v>7249</v>
      </c>
      <c r="C3680" s="3" t="str">
        <f>IFERROR(__xludf.DUMMYFUNCTION("GOOGLETRANSLATE(A3680,""en"",""hy"")"),"Ո՞րն է Հարավային Աֆրիկայի մայրաքաղաքը:")</f>
        <v>Ո՞րն է Հարավային Աֆրիկայի մայրաքաղաքը:</v>
      </c>
      <c r="D3680" s="3" t="str">
        <f>IFERROR(__xludf.DUMMYFUNCTION("GOOGLETRANSLATE(B3680,""en"",""hy"")"),"Հարավային Աֆրիկայի մայրաքաղաքը Պրետորիան է։")</f>
        <v>Հարավային Աֆրիկայի մայրաքաղաքը Պրետորիան է։</v>
      </c>
    </row>
    <row r="3681">
      <c r="A3681" s="1" t="s">
        <v>7250</v>
      </c>
      <c r="B3681" s="2" t="s">
        <v>7251</v>
      </c>
      <c r="C3681" s="3" t="str">
        <f>IFERROR(__xludf.DUMMYFUNCTION("GOOGLETRANSLATE(A3681,""en"",""hy"")"),"ի՞նչ լեզվաընտանիքի մեջ է մտնում անգլերենը:")</f>
        <v>ի՞նչ լեզվաընտանիքի մեջ է մտնում անգլերենը:</v>
      </c>
      <c r="D3681" s="3" t="str">
        <f>IFERROR(__xludf.DUMMYFUNCTION("GOOGLETRANSLATE(B3681,""en"",""hy"")"),"Անգլերենը պատկանում է գերմանական լեզուների ընտանիքին:")</f>
        <v>Անգլերենը պատկանում է գերմանական լեզուների ընտանիքին:</v>
      </c>
    </row>
    <row r="3682">
      <c r="A3682" s="1" t="s">
        <v>7252</v>
      </c>
      <c r="B3682" s="2" t="s">
        <v>7253</v>
      </c>
      <c r="C3682" s="3" t="str">
        <f>IFERROR(__xludf.DUMMYFUNCTION("GOOGLETRANSLATE(A3682,""en"",""hy"")"),"ումի՞ց է ներմուծում Նոր Զելանդիան.")</f>
        <v>ումի՞ց է ներմուծում Նոր Զելանդիան.</v>
      </c>
      <c r="D3682" s="3" t="str">
        <f>IFERROR(__xludf.DUMMYFUNCTION("GOOGLETRANSLATE(B3682,""en"",""hy"")"),"Նոր Զելանդիան ներմուծում է աշխարհի տարբեր երկրներից:")</f>
        <v>Նոր Զելանդիան ներմուծում է աշխարհի տարբեր երկրներից:</v>
      </c>
    </row>
    <row r="3683">
      <c r="A3683" s="1" t="s">
        <v>7254</v>
      </c>
      <c r="B3683" s="2" t="s">
        <v>7255</v>
      </c>
      <c r="C3683" s="3" t="str">
        <f>IFERROR(__xludf.DUMMYFUNCTION("GOOGLETRANSLATE(A3683,""en"",""hy"")"),"ով է Մեքսիկայի նախագահը հենց հիմա 2011թ.")</f>
        <v>ով է Մեքսիկայի նախագահը հենց հիմա 2011թ.</v>
      </c>
      <c r="D3683" s="3" t="str">
        <f>IFERROR(__xludf.DUMMYFUNCTION("GOOGLETRANSLATE(B3683,""en"",""hy"")"),"2011 թվականի դրությամբ Մեքսիկայի նախագահը Ֆելիպե Կալդերոնն է։")</f>
        <v>2011 թվականի դրությամբ Մեքսիկայի նախագահը Ֆելիպե Կալդերոնն է։</v>
      </c>
    </row>
    <row r="3684">
      <c r="A3684" s="1" t="s">
        <v>7256</v>
      </c>
      <c r="B3684" s="2" t="s">
        <v>7257</v>
      </c>
      <c r="C3684" s="3" t="str">
        <f>IFERROR(__xludf.DUMMYFUNCTION("GOOGLETRANSLATE(A3684,""en"",""hy"")"),"որո՞նք են չինարենի տարբեր բարբառները:")</f>
        <v>որո՞նք են չինարենի տարբեր բարբառները:</v>
      </c>
      <c r="D3684" s="3" t="str">
        <f>IFERROR(__xludf.DUMMYFUNCTION("GOOGLETRANSLATE(B3684,""en"",""hy"")"),"Չինարենի տարբեր բարբառները ներառում են մանդարին, կանտոներեն, շանհայերեն, հոկիեն և շատ ուրիշներ:")</f>
        <v>Չինարենի տարբեր բարբառները ներառում են մանդարին, կանտոներեն, շանհայերեն, հոկիեն և շատ ուրիշներ:</v>
      </c>
    </row>
    <row r="3685">
      <c r="A3685" s="1" t="s">
        <v>7258</v>
      </c>
      <c r="B3685" s="2" t="s">
        <v>7259</v>
      </c>
      <c r="C3685" s="3" t="str">
        <f>IFERROR(__xludf.DUMMYFUNCTION("GOOGLETRANSLATE(A3685,""en"",""hy"")"),"Ո՞ր քաղաքում են գնդակահարել Քենեդին:")</f>
        <v>Ո՞ր քաղաքում են գնդակահարել Քենեդին:</v>
      </c>
      <c r="D3685" s="3" t="str">
        <f>IFERROR(__xludf.DUMMYFUNCTION("GOOGLETRANSLATE(B3685,""en"",""hy"")"),"Դալլաս.")</f>
        <v>Դալլաս.</v>
      </c>
    </row>
    <row r="3686">
      <c r="A3686" s="1" t="s">
        <v>7260</v>
      </c>
      <c r="B3686" s="2" t="s">
        <v>7261</v>
      </c>
      <c r="C3686" s="3" t="str">
        <f>IFERROR(__xludf.DUMMYFUNCTION("GOOGLETRANSLATE(A3686,""en"",""hy"")"),"ո՞ւմ է պատկանում sf հսկաների սեփականատերը:")</f>
        <v>ո՞ւմ է պատկանում sf հսկաների սեփականատերը:</v>
      </c>
      <c r="D3686" s="3" t="str">
        <f>IFERROR(__xludf.DUMMYFUNCTION("GOOGLETRANSLATE(B3686,""en"",""hy"")"),"San Francisco Giants-ը պատկանում է Չարլզ Բ. Ջոնսոնի գլխավորած գործընկերային խմբին:")</f>
        <v>San Francisco Giants-ը պատկանում է Չարլզ Բ. Ջոնսոնի գլխավորած գործընկերային խմբին:</v>
      </c>
    </row>
    <row r="3687">
      <c r="A3687" s="1" t="s">
        <v>7262</v>
      </c>
      <c r="B3687" s="2" t="s">
        <v>7263</v>
      </c>
      <c r="C3687" s="3" t="str">
        <f>IFERROR(__xludf.DUMMYFUNCTION("GOOGLETRANSLATE(A3687,""en"",""hy"")"),"ինչ է Ալաբամա նահանգի ծառի անունը:")</f>
        <v>ինչ է Ալաբամա նահանգի ծառի անունը:</v>
      </c>
      <c r="D3687" s="3" t="str">
        <f>IFERROR(__xludf.DUMMYFUNCTION("GOOGLETRANSLATE(B3687,""en"",""hy"")"),"Ալաբամա նահանգի ծառի անունը հարավային երկարատև սոճին է:")</f>
        <v>Ալաբամա նահանգի ծառի անունը հարավային երկարատև սոճին է:</v>
      </c>
    </row>
    <row r="3688">
      <c r="A3688" s="1" t="s">
        <v>7264</v>
      </c>
      <c r="B3688" s="2" t="s">
        <v>7265</v>
      </c>
      <c r="C3688" s="3" t="str">
        <f>IFERROR(__xludf.DUMMYFUNCTION("GOOGLETRANSLATE(A3688,""en"",""hy"")"),"Ո՞րն է Կենտուկիի մայրաքաղաքը, որը հայտնի է իր բլյուգրասով:")</f>
        <v>Ո՞րն է Կենտուկիի մայրաքաղաքը, որը հայտնի է իր բլյուգրասով:</v>
      </c>
      <c r="D3688" s="3" t="str">
        <f>IFERROR(__xludf.DUMMYFUNCTION("GOOGLETRANSLATE(B3688,""en"",""hy"")"),"Կենտուկիի մայրաքաղաքը, որը հայտնի է իր բլյուգրասով, Ֆրանկֆորտն է։")</f>
        <v>Կենտուկիի մայրաքաղաքը, որը հայտնի է իր բլյուգրասով, Ֆրանկֆորտն է։</v>
      </c>
    </row>
    <row r="3689">
      <c r="A3689" s="1" t="s">
        <v>7266</v>
      </c>
      <c r="B3689" s="2" t="s">
        <v>7267</v>
      </c>
      <c r="C3689" s="3" t="str">
        <f>IFERROR(__xludf.DUMMYFUNCTION("GOOGLETRANSLATE(A3689,""en"",""hy"")"),"ինչ գումար եք օգտագործում Արուբայում")</f>
        <v>ինչ գումար եք օգտագործում Արուբայում</v>
      </c>
      <c r="D3689" s="3" t="str">
        <f>IFERROR(__xludf.DUMMYFUNCTION("GOOGLETRANSLATE(B3689,""en"",""hy"")"),"Արուբայում օգտագործվող արժույթը Արուբան ֆլորինն է (AWG):")</f>
        <v>Արուբայում օգտագործվող արժույթը Արուբան ֆլորինն է (AWG):</v>
      </c>
    </row>
    <row r="3690">
      <c r="A3690" s="1" t="s">
        <v>7268</v>
      </c>
      <c r="B3690" s="2" t="s">
        <v>7269</v>
      </c>
      <c r="C3690" s="3" t="str">
        <f>IFERROR(__xludf.DUMMYFUNCTION("GOOGLETRANSLATE(A3690,""en"",""hy"")"),"որտեղ է մեծացել Պողոս առաքյալը:")</f>
        <v>որտեղ է մեծացել Պողոս առաքյալը:</v>
      </c>
      <c r="D3690" s="3" t="str">
        <f>IFERROR(__xludf.DUMMYFUNCTION("GOOGLETRANSLATE(B3690,""en"",""hy"")"),"Պողոս առաքյալը մեծացել է Տարսոնում՝ Հռոմի Կիլիկիա նահանգի (ներկայիս Թուրքիա) քաղաքում։")</f>
        <v>Պողոս առաքյալը մեծացել է Տարսոնում՝ Հռոմի Կիլիկիա նահանգի (ներկայիս Թուրքիա) քաղաքում։</v>
      </c>
    </row>
    <row r="3691">
      <c r="A3691" s="1" t="s">
        <v>7270</v>
      </c>
      <c r="B3691" s="2" t="s">
        <v>7271</v>
      </c>
      <c r="C3691" s="3" t="str">
        <f>IFERROR(__xludf.DUMMYFUNCTION("GOOGLETRANSLATE(A3691,""en"",""hy"")"),"որո՞նք էին Կարլ Մարքսի համոզմունքները:")</f>
        <v>որո՞նք էին Կարլ Մարքսի համոզմունքները:</v>
      </c>
      <c r="D3691" s="3" t="str">
        <f>IFERROR(__xludf.DUMMYFUNCTION("GOOGLETRANSLATE(B3691,""en"",""hy"")"),"Կարլ Մարքսը հավատում էր կապիտալիզմի վերացմանը, դասակարգային պայքարի հայեցակարգին և կոմունիստական ​​հասարակության ստեղծմանը։")</f>
        <v>Կարլ Մարքսը հավատում էր կապիտալիզմի վերացմանը, դասակարգային պայքարի հայեցակարգին և կոմունիստական ​​հասարակության ստեղծմանը։</v>
      </c>
    </row>
    <row r="3692">
      <c r="A3692" s="1" t="s">
        <v>7272</v>
      </c>
      <c r="B3692" s="2" t="s">
        <v>7273</v>
      </c>
      <c r="C3692" s="3" t="str">
        <f>IFERROR(__xludf.DUMMYFUNCTION("GOOGLETRANSLATE(A3692,""en"",""hy"")"),"Ո՞ր երկրներն են Վիետնամի հետ սահմանակից:")</f>
        <v>Ո՞ր երկրներն են Վիետնամի հետ սահմանակից:</v>
      </c>
      <c r="D3692" s="3" t="str">
        <f>IFERROR(__xludf.DUMMYFUNCTION("GOOGLETRANSLATE(B3692,""en"",""hy"")"),"Չինաստան, Լաոս և Կամբոջա։")</f>
        <v>Չինաստան, Լաոս և Կամբոջա։</v>
      </c>
    </row>
    <row r="3693">
      <c r="A3693" s="1" t="s">
        <v>7274</v>
      </c>
      <c r="B3693" s="2" t="s">
        <v>7275</v>
      </c>
      <c r="C3693" s="3" t="str">
        <f>IFERROR(__xludf.DUMMYFUNCTION("GOOGLETRANSLATE(A3693,""en"",""hy"")"),"ում հետ ամուսնացավ Մարիամ թագուհին")</f>
        <v>ում հետ ամուսնացավ Մարիամ թագուհին</v>
      </c>
      <c r="D3693" s="3" t="str">
        <f>IFERROR(__xludf.DUMMYFUNCTION("GOOGLETRANSLATE(B3693,""en"",""hy"")"),"Մարիամ թագուհին ամուսնացավ Անգլիայի թագավոր Ուիլյամ III-ի հետ։")</f>
        <v>Մարիամ թագուհին ամուսնացավ Անգլիայի թագավոր Ուիլյամ III-ի հետ։</v>
      </c>
    </row>
    <row r="3694">
      <c r="A3694" s="1" t="s">
        <v>7276</v>
      </c>
      <c r="B3694" s="2" t="s">
        <v>7277</v>
      </c>
      <c r="C3694" s="3" t="str">
        <f>IFERROR(__xludf.DUMMYFUNCTION("GOOGLETRANSLATE(A3694,""en"",""hy"")"),"որտեղի՞ց ներխուժեց Ճապոնիան ռեսուրսներ ստանալու համար:")</f>
        <v>որտեղի՞ց ներխուժեց Ճապոնիան ռեսուրսներ ստանալու համար:</v>
      </c>
      <c r="D3694" s="3" t="str">
        <f>IFERROR(__xludf.DUMMYFUNCTION("GOOGLETRANSLATE(B3694,""en"",""hy"")"),"Ճապոնիան ներխուժեց Հարավարևելյան Ասիայի տարբեր երկրներ՝ նավթ, կաուչուկ և հանքանյութեր ձեռք բերելու համար։")</f>
        <v>Ճապոնիան ներխուժեց Հարավարևելյան Ասիայի տարբեր երկրներ՝ նավթ, կաուչուկ և հանքանյութեր ձեռք բերելու համար։</v>
      </c>
    </row>
    <row r="3695">
      <c r="A3695" s="1" t="s">
        <v>7278</v>
      </c>
      <c r="B3695" s="2" t="s">
        <v>2425</v>
      </c>
      <c r="C3695" s="3" t="str">
        <f>IFERROR(__xludf.DUMMYFUNCTION("GOOGLETRANSLATE(A3695,""en"",""hy"")"),"ով է Չիկագո Բուլզի գլխավոր մարզիչը")</f>
        <v>ով է Չիկագո Բուլզի գլխավոր մարզիչը</v>
      </c>
      <c r="D3695" s="3" t="str">
        <f>IFERROR(__xludf.DUMMYFUNCTION("GOOGLETRANSLATE(B3695,""en"",""hy"")"),"Բիլի Դոնովան.")</f>
        <v>Բիլի Դոնովան.</v>
      </c>
    </row>
    <row r="3696">
      <c r="A3696" s="1" t="s">
        <v>7279</v>
      </c>
      <c r="B3696" s="2" t="s">
        <v>7280</v>
      </c>
      <c r="C3696" s="3" t="str">
        <f>IFERROR(__xludf.DUMMYFUNCTION("GOOGLETRANSLATE(A3696,""en"",""hy"")"),"ինչ տեսակի փող եք օգտագործում Կուբայում:")</f>
        <v>ինչ տեսակի փող եք օգտագործում Կուբայում:</v>
      </c>
      <c r="D3696" s="3" t="str">
        <f>IFERROR(__xludf.DUMMYFUNCTION("GOOGLETRANSLATE(B3696,""en"",""hy"")"),"Կուբայում օգտագործվող արժույթն է Կուբայական պեսոն (CUP) և Կուբայական փոխարկելի պեսոն (CUC):")</f>
        <v>Կուբայում օգտագործվող արժույթն է Կուբայական պեսոն (CUP) և Կուբայական փոխարկելի պեսոն (CUC):</v>
      </c>
    </row>
    <row r="3697">
      <c r="A3697" s="1" t="s">
        <v>7281</v>
      </c>
      <c r="B3697" s="2" t="s">
        <v>7282</v>
      </c>
      <c r="C3697" s="3" t="str">
        <f>IFERROR(__xludf.DUMMYFUNCTION("GOOGLETRANSLATE(A3697,""en"",""hy"")"),"որտեղ է ապրում Ուշերը Վրաստանում")</f>
        <v>որտեղ է ապրում Ուշերը Վրաստանում</v>
      </c>
      <c r="D3697" s="3" t="str">
        <f>IFERROR(__xludf.DUMMYFUNCTION("GOOGLETRANSLATE(B3697,""en"",""hy"")"),"Աշերը ներկայումս ապրում է Ատլանտայում, Ջորջիա:")</f>
        <v>Աշերը ներկայումս ապրում է Ատլանտայում, Ջորջիա:</v>
      </c>
    </row>
    <row r="3698">
      <c r="A3698" s="1" t="s">
        <v>7283</v>
      </c>
      <c r="B3698" s="2" t="s">
        <v>7284</v>
      </c>
      <c r="C3698" s="3" t="str">
        <f>IFERROR(__xludf.DUMMYFUNCTION("GOOGLETRANSLATE(A3698,""en"",""hy"")"),"ովքեր են Վրաստանի երկու պետական ​​սենատորները.")</f>
        <v>ովքեր են Վրաստանի երկու պետական ​​սենատորները.</v>
      </c>
      <c r="D3698" s="3" t="str">
        <f>IFERROR(__xludf.DUMMYFUNCTION("GOOGLETRANSLATE(B3698,""en"",""hy"")"),"Վրաստանի երկու նահանգային սենատորներն են Ջոն Օսոֆը և Ռաֆայել Ուորնոկը։")</f>
        <v>Վրաստանի երկու նահանգային սենատորներն են Ջոն Օսոֆը և Ռաֆայել Ուորնոկը։</v>
      </c>
    </row>
    <row r="3699">
      <c r="A3699" s="1" t="s">
        <v>7285</v>
      </c>
      <c r="B3699" s="2" t="s">
        <v>7286</v>
      </c>
      <c r="C3699" s="3" t="str">
        <f>IFERROR(__xludf.DUMMYFUNCTION("GOOGLETRANSLATE(A3699,""en"",""hy"")"),"ինչպիսի՞ կառավարություն է օգտագործում Ավստրալիան:")</f>
        <v>ինչպիսի՞ կառավարություն է օգտագործում Ավստրալիան:</v>
      </c>
      <c r="D3699" s="3" t="str">
        <f>IFERROR(__xludf.DUMMYFUNCTION("GOOGLETRANSLATE(B3699,""en"",""hy"")"),"Ավստրալիան օգտագործում է դաշնային խորհրդարանական սահմանադրական միապետություն:")</f>
        <v>Ավստրալիան օգտագործում է դաշնային խորհրդարանական սահմանադրական միապետություն:</v>
      </c>
    </row>
    <row r="3700">
      <c r="A3700" s="1" t="s">
        <v>7287</v>
      </c>
      <c r="B3700" s="2" t="s">
        <v>1209</v>
      </c>
      <c r="C3700" s="3" t="str">
        <f>IFERROR(__xludf.DUMMYFUNCTION("GOOGLETRANSLATE(A3700,""en"",""hy"")"),"ինչ լեզվով են խոսում Չեխիայի Հանրապետությունում:")</f>
        <v>ինչ լեզվով են խոսում Չեխիայի Հանրապետությունում:</v>
      </c>
      <c r="D3700" s="3" t="str">
        <f>IFERROR(__xludf.DUMMYFUNCTION("GOOGLETRANSLATE(B3700,""en"",""hy"")"),"չեխ.")</f>
        <v>չեխ.</v>
      </c>
    </row>
    <row r="3701">
      <c r="A3701" s="1" t="s">
        <v>7288</v>
      </c>
      <c r="B3701" s="2" t="s">
        <v>7289</v>
      </c>
      <c r="C3701" s="3" t="str">
        <f>IFERROR(__xludf.DUMMYFUNCTION("GOOGLETRANSLATE(A3701,""en"",""hy"")"),"ով է խաղում Ռայլի Ֆինն վամպիր սպանողի բաֆֆիի վրա:")</f>
        <v>ով է խաղում Ռայլի Ֆինն վամպիր սպանողի բաֆֆիի վրա:</v>
      </c>
      <c r="D3701" s="3" t="str">
        <f>IFERROR(__xludf.DUMMYFUNCTION("GOOGLETRANSLATE(B3701,""en"",""hy"")"),"Մարկ Բլուկաս")</f>
        <v>Մարկ Բլուկաս</v>
      </c>
    </row>
    <row r="3702">
      <c r="A3702" s="1" t="s">
        <v>7290</v>
      </c>
      <c r="B3702" s="2" t="s">
        <v>7291</v>
      </c>
      <c r="C3702" s="3" t="str">
        <f>IFERROR(__xludf.DUMMYFUNCTION("GOOGLETRANSLATE(A3702,""en"",""hy"")"),"ինչպիսի՞ քաղաքական համակարգ է Կանադան:")</f>
        <v>ինչպիսի՞ քաղաքական համակարգ է Կանադան:</v>
      </c>
      <c r="D3702" s="3" t="str">
        <f>IFERROR(__xludf.DUMMYFUNCTION("GOOGLETRANSLATE(B3702,""en"",""hy"")"),"Կանադան ունի խորհրդարանական ժողովրդավարություն՝ սահմանադրական միապետությամբ։")</f>
        <v>Կանադան ունի խորհրդարանական ժողովրդավարություն՝ սահմանադրական միապետությամբ։</v>
      </c>
    </row>
    <row r="3703">
      <c r="A3703" s="1" t="s">
        <v>7292</v>
      </c>
      <c r="B3703" s="2" t="s">
        <v>4261</v>
      </c>
      <c r="C3703" s="3" t="str">
        <f>IFERROR(__xludf.DUMMYFUNCTION("GOOGLETRANSLATE(A3703,""en"",""hy"")"),"ով է ջայլս խաղում վամպիր սպանողի մեջ:")</f>
        <v>ով է ջայլս խաղում վամպիր սպանողի մեջ:</v>
      </c>
      <c r="D3703" s="3" t="str">
        <f>IFERROR(__xludf.DUMMYFUNCTION("GOOGLETRANSLATE(B3703,""en"",""hy"")"),"Էնթոնի Ստյուարտ ղեկավար.")</f>
        <v>Էնթոնի Ստյուարտ ղեկավար.</v>
      </c>
    </row>
    <row r="3704">
      <c r="A3704" s="1" t="s">
        <v>7293</v>
      </c>
      <c r="B3704" s="2" t="s">
        <v>7294</v>
      </c>
      <c r="C3704" s="3" t="str">
        <f>IFERROR(__xludf.DUMMYFUNCTION("GOOGLETRANSLATE(A3704,""en"",""hy"")"),"Ո՞վ է հնչեցնում լոլա նապաստակին լունի մեղեդիներով:")</f>
        <v>Ո՞վ է հնչեցնում լոլա նապաստակին լունի մեղեդիներով:</v>
      </c>
      <c r="D3704" s="3" t="str">
        <f>IFERROR(__xludf.DUMMYFUNCTION("GOOGLETRANSLATE(B3704,""en"",""hy"")"),"Քրիստեն Ուիգը հնչյունավորում է Լոլա Նապաստակին «Looney Tunes»-ում։")</f>
        <v>Քրիստեն Ուիգը հնչյունավորում է Լոլա Նապաստակին «Looney Tunes»-ում։</v>
      </c>
    </row>
    <row r="3705">
      <c r="A3705" s="1" t="s">
        <v>7295</v>
      </c>
      <c r="B3705" s="2" t="s">
        <v>7296</v>
      </c>
      <c r="C3705" s="3" t="str">
        <f>IFERROR(__xludf.DUMMYFUNCTION("GOOGLETRANSLATE(A3705,""en"",""hy"")"),"ի՞նչ է ստեղծել Չարլզ Բեբեյջը 1800-ականներին:")</f>
        <v>ի՞նչ է ստեղծել Չարլզ Բեբեյջը 1800-ականներին:</v>
      </c>
      <c r="D3705" s="3" t="str">
        <f>IFERROR(__xludf.DUMMYFUNCTION("GOOGLETRANSLATE(B3705,""en"",""hy"")"),"Չարլզ Բեբիջը ստեղծեց վերլուծական շարժիչի հայեցակարգը 1800-ականներին:")</f>
        <v>Չարլզ Բեբիջը ստեղծեց վերլուծական շարժիչի հայեցակարգը 1800-ականներին:</v>
      </c>
    </row>
    <row r="3706">
      <c r="A3706" s="1" t="s">
        <v>7297</v>
      </c>
      <c r="B3706" s="2" t="s">
        <v>7298</v>
      </c>
      <c r="C3706" s="3" t="str">
        <f>IFERROR(__xludf.DUMMYFUNCTION("GOOGLETRANSLATE(A3706,""en"",""hy"")"),"ով է ձայն տալիս անակին կլոնների պատերազմներում:")</f>
        <v>ով է ձայն տալիս անակին կլոնների պատերազմներում:</v>
      </c>
      <c r="D3706" s="3" t="str">
        <f>IFERROR(__xludf.DUMMYFUNCTION("GOOGLETRANSLATE(B3706,""en"",""hy"")"),"Մեթ Լանթերը հնչյունավորում է Անակինին The Clone Wars-ում։")</f>
        <v>Մեթ Լանթերը հնչյունավորում է Անակինին The Clone Wars-ում։</v>
      </c>
    </row>
    <row r="3707">
      <c r="A3707" s="1" t="s">
        <v>7299</v>
      </c>
      <c r="B3707" s="2" t="s">
        <v>7300</v>
      </c>
      <c r="C3707" s="3" t="str">
        <f>IFERROR(__xludf.DUMMYFUNCTION("GOOGLETRANSLATE(A3707,""en"",""hy"")"),"ինչն էր ատում Հիտլերը")</f>
        <v>ինչն էր ատում Հիտլերը</v>
      </c>
      <c r="D3707" s="3" t="str">
        <f>IFERROR(__xludf.DUMMYFUNCTION("GOOGLETRANSLATE(B3707,""en"",""hy"")"),"Հիտլերը ատելություն ուներ հրեաների, ինչպես նաև այլ փոքրամասնությունների նկատմամբ և ձգտում էր խտրականության ենթարկել և վերացնել նրանց:")</f>
        <v>Հիտլերը ատելություն ուներ հրեաների, ինչպես նաև այլ փոքրամասնությունների նկատմամբ և ձգտում էր խտրականության ենթարկել և վերացնել նրանց:</v>
      </c>
    </row>
    <row r="3708">
      <c r="A3708" s="1" t="s">
        <v>7301</v>
      </c>
      <c r="B3708" s="2" t="s">
        <v>7302</v>
      </c>
      <c r="C3708" s="3" t="str">
        <f>IFERROR(__xludf.DUMMYFUNCTION("GOOGLETRANSLATE(A3708,""en"",""hy"")"),"ով է խաղում Ֆարամիրը օղակների տիրակալում:")</f>
        <v>ով է խաղում Ֆարամիրը օղակների տիրակալում:</v>
      </c>
      <c r="D3708" s="3" t="str">
        <f>IFERROR(__xludf.DUMMYFUNCTION("GOOGLETRANSLATE(B3708,""en"",""hy"")"),"Դեյվիդ Վենհեմ.")</f>
        <v>Դեյվիդ Վենհեմ.</v>
      </c>
    </row>
    <row r="3709">
      <c r="A3709" s="1" t="s">
        <v>7303</v>
      </c>
      <c r="B3709" s="2" t="s">
        <v>7304</v>
      </c>
      <c r="C3709" s="3" t="str">
        <f>IFERROR(__xludf.DUMMYFUNCTION("GOOGLETRANSLATE(A3709,""en"",""hy"")"),"Ե՞րբ է վերջին անգամ Չիկագո Բուլզը հաղթել առաջնությունում:")</f>
        <v>Ե՞րբ է վերջին անգամ Չիկագո Բուլզը հաղթել առաջնությունում:</v>
      </c>
      <c r="D3709" s="3" t="str">
        <f>IFERROR(__xludf.DUMMYFUNCTION("GOOGLETRANSLATE(B3709,""en"",""hy"")"),"Վերջին անգամ Չիկագո Բուլզը չեմպիոն է դարձել 1998 թվականին։")</f>
        <v>Վերջին անգամ Չիկագո Բուլզը չեմպիոն է դարձել 1998 թվականին։</v>
      </c>
    </row>
    <row r="3710">
      <c r="A3710" s="1" t="s">
        <v>7305</v>
      </c>
      <c r="B3710" s="2" t="s">
        <v>7306</v>
      </c>
      <c r="C3710" s="3" t="str">
        <f>IFERROR(__xludf.DUMMYFUNCTION("GOOGLETRANSLATE(A3710,""en"",""hy"")"),"ինչով է հայտնի Ջոնաթան Սվիֆթը.")</f>
        <v>ինչով է հայտնի Ջոնաթան Սվիֆթը.</v>
      </c>
      <c r="D3710" s="3" t="str">
        <f>IFERROR(__xludf.DUMMYFUNCTION("GOOGLETRANSLATE(B3710,""en"",""hy"")"),"Ջոնաթան Սվիֆթը հայտնի է որպես իռլանդացի գրող և երգիծաբան, հայտնի է իր ստեղծագործություններով, ինչպիսիք են «Գուլիվերի ճանապարհորդությունները» և «Համեստ առաջարկը»:")</f>
        <v>Ջոնաթան Սվիֆթը հայտնի է որպես իռլանդացի գրող և երգիծաբան, հայտնի է իր ստեղծագործություններով, ինչպիսիք են «Գուլիվերի ճանապարհորդությունները» և «Համեստ առաջարկը»:</v>
      </c>
    </row>
    <row r="3711">
      <c r="A3711" s="1" t="s">
        <v>7307</v>
      </c>
      <c r="B3711" s="2" t="s">
        <v>7308</v>
      </c>
      <c r="C3711" s="3" t="str">
        <f>IFERROR(__xludf.DUMMYFUNCTION("GOOGLETRANSLATE(A3711,""en"",""hy"")"),"ի՞նչ է սուրբ գիրքը դաոսիզմում:")</f>
        <v>ի՞նչ է սուրբ գիրքը դաոսիզմում:</v>
      </c>
      <c r="D3711" s="3" t="str">
        <f>IFERROR(__xludf.DUMMYFUNCTION("GOOGLETRANSLATE(B3711,""en"",""hy"")"),"Դաոսականության սուրբ գիրքը Տաո Թե Չինգն է:")</f>
        <v>Դաոսականության սուրբ գիրքը Տաո Թե Չինգն է:</v>
      </c>
    </row>
    <row r="3712">
      <c r="A3712" s="1" t="s">
        <v>7309</v>
      </c>
      <c r="B3712" s="2" t="s">
        <v>7310</v>
      </c>
      <c r="C3712" s="3" t="str">
        <f>IFERROR(__xludf.DUMMYFUNCTION("GOOGLETRANSLATE(A3712,""en"",""hy"")"),"որտեղ է ծնվել դոկտոր Լյութեր Քինգ կրտսերը:")</f>
        <v>որտեղ է ծնվել դոկտոր Լյութեր Քինգ կրտսերը:</v>
      </c>
      <c r="D3712" s="3" t="str">
        <f>IFERROR(__xludf.DUMMYFUNCTION("GOOGLETRANSLATE(B3712,""en"",""hy"")"),"Դոկտոր Մարտին Լյութեր Քինգ կրտսերը ծնվել է Ատլանտա քաղաքում, Ջորջիա:")</f>
        <v>Դոկտոր Մարտին Լյութեր Քինգ կրտսերը ծնվել է Ատլանտա քաղաքում, Ջորջիա:</v>
      </c>
    </row>
    <row r="3713">
      <c r="A3713" s="1" t="s">
        <v>7311</v>
      </c>
      <c r="B3713" s="2" t="s">
        <v>7312</v>
      </c>
      <c r="C3713" s="3" t="str">
        <f>IFERROR(__xludf.DUMMYFUNCTION("GOOGLETRANSLATE(A3713,""en"",""hy"")"),"որտեղ ֆրանսիական հեղափոխություն")</f>
        <v>որտեղ ֆրանսիական հեղափոխություն</v>
      </c>
      <c r="D3713" s="3" t="str">
        <f>IFERROR(__xludf.DUMMYFUNCTION("GOOGLETRANSLATE(B3713,""en"",""hy"")"),"Ֆրանսիայում տեղի ունեցավ ֆրանսիական հեղափոխությունը։")</f>
        <v>Ֆրանսիայում տեղի ունեցավ ֆրանսիական հեղափոխությունը։</v>
      </c>
    </row>
    <row r="3714">
      <c r="A3714" s="1" t="s">
        <v>7313</v>
      </c>
      <c r="B3714" s="2" t="s">
        <v>7314</v>
      </c>
      <c r="C3714" s="3" t="str">
        <f>IFERROR(__xludf.DUMMYFUNCTION("GOOGLETRANSLATE(A3714,""en"",""hy"")"),"Ո՞վ է խաղում Պեյթոն Մենինգը 4:")</f>
        <v>Ո՞վ է խաղում Պեյթոն Մենինգը 4:</v>
      </c>
      <c r="D3714" s="3" t="str">
        <f>IFERROR(__xludf.DUMMYFUNCTION("GOOGLETRANSLATE(B3714,""en"",""hy"")"),"Պեյթոն Մենինգն իր NFL կարիերայի ընթացքում խաղացել է չորս թիմում՝ Ինդիանապոլիս Քոլթս, Դենվեր Բրոնկոս, Թենեսիի համալսարան և Դենվեր Բրոնկոս (քոլեջի թիմ):")</f>
        <v>Պեյթոն Մենինգն իր NFL կարիերայի ընթացքում խաղացել է չորս թիմում՝ Ինդիանապոլիս Քոլթս, Դենվեր Բրոնկոս, Թենեսիի համալսարան և Դենվեր Բրոնկոս (քոլեջի թիմ):</v>
      </c>
    </row>
    <row r="3715">
      <c r="A3715" s="1" t="s">
        <v>7315</v>
      </c>
      <c r="B3715" s="2" t="s">
        <v>7316</v>
      </c>
      <c r="C3715" s="3" t="str">
        <f>IFERROR(__xludf.DUMMYFUNCTION("GOOGLETRANSLATE(A3715,""en"",""hy"")"),"երբ է Դիվալի փառատոնը:")</f>
        <v>երբ է Դիվալի փառատոնը:</v>
      </c>
      <c r="D3715" s="3" t="str">
        <f>IFERROR(__xludf.DUMMYFUNCTION("GOOGLETRANSLATE(B3715,""en"",""hy"")"),"Դիվալի փառատոնը սովորաբար նշվում է հոկտեմբերին կամ նոյեմբերին։")</f>
        <v>Դիվալի փառատոնը սովորաբար նշվում է հոկտեմբերին կամ նոյեմբերին։</v>
      </c>
    </row>
    <row r="3716">
      <c r="A3716" s="1" t="s">
        <v>7317</v>
      </c>
      <c r="B3716" s="2" t="s">
        <v>7318</v>
      </c>
      <c r="C3716" s="3" t="str">
        <f>IFERROR(__xludf.DUMMYFUNCTION("GOOGLETRANSLATE(A3716,""en"",""hy"")"),"Բեյսբոլի ո՞ր պրոֆեսիոնալ թիմում է խաղացել Մայքլ Ջորդանը:")</f>
        <v>Բեյսբոլի ո՞ր պրոֆեսիոնալ թիմում է խաղացել Մայքլ Ջորդանը:</v>
      </c>
      <c r="D3716" s="3" t="str">
        <f>IFERROR(__xludf.DUMMYFUNCTION("GOOGLETRANSLATE(B3716,""en"",""hy"")"),"Մայքլ Ջորդանը խաղացել է Չիկագո Ուայթ Սոքսում։")</f>
        <v>Մայքլ Ջորդանը խաղացել է Չիկագո Ուայթ Սոքսում։</v>
      </c>
    </row>
    <row r="3717">
      <c r="A3717" s="1" t="s">
        <v>7319</v>
      </c>
      <c r="B3717" s="2" t="s">
        <v>7320</v>
      </c>
      <c r="C3717" s="3" t="str">
        <f>IFERROR(__xludf.DUMMYFUNCTION("GOOGLETRANSLATE(A3717,""en"",""hy"")"),"որտեղ է Բոբ Մարլիի գերեզմանը")</f>
        <v>որտեղ է Բոբ Մարլիի գերեզմանը</v>
      </c>
      <c r="D3717" s="3" t="str">
        <f>IFERROR(__xludf.DUMMYFUNCTION("GOOGLETRANSLATE(B3717,""en"",""hy"")"),"Բոբ Մարլիի գերեզմանը գտնվում է Նայն Մայլում, Սեն Էն Փրիշում, Ջամայկա:")</f>
        <v>Բոբ Մարլիի գերեզմանը գտնվում է Նայն Մայլում, Սեն Էն Փրիշում, Ջամայկա:</v>
      </c>
    </row>
    <row r="3718">
      <c r="A3718" s="1" t="s">
        <v>7321</v>
      </c>
      <c r="B3718" s="2" t="s">
        <v>7322</v>
      </c>
      <c r="C3718" s="3" t="str">
        <f>IFERROR(__xludf.DUMMYFUNCTION("GOOGLETRANSLATE(A3718,""en"",""hy"")"),"ինչ վատ արեց Հիտլերը")</f>
        <v>ինչ վատ արեց Հիտլերը</v>
      </c>
      <c r="D3718" s="3" t="str">
        <f>IFERROR(__xludf.DUMMYFUNCTION("GOOGLETRANSLATE(B3718,""en"",""hy"")"),"Հիտլերը բազմաթիվ վայրագություններ է իրականացրել, այդ թվում՝ Հոլոքոստը, ներխուժել այլ երկրներ և հալածել միլիոնավոր մարդկանց՝ ելնելով նրանց ռասայից, կրոնից և քաղաքական համոզմունքներից։")</f>
        <v>Հիտլերը բազմաթիվ վայրագություններ է իրականացրել, այդ թվում՝ Հոլոքոստը, ներխուժել այլ երկրներ և հալածել միլիոնավոր մարդկանց՝ ելնելով նրանց ռասայից, կրոնից և քաղաքական համոզմունքներից։</v>
      </c>
    </row>
    <row r="3719">
      <c r="A3719" s="1" t="s">
        <v>7323</v>
      </c>
      <c r="B3719" s="2" t="s">
        <v>7324</v>
      </c>
      <c r="C3719" s="3" t="str">
        <f>IFERROR(__xludf.DUMMYFUNCTION("GOOGLETRANSLATE(A3719,""en"",""hy"")"),"որտեղ է Մյուրեյ Կենտուկին")</f>
        <v>որտեղ է Մյուրեյ Կենտուկին</v>
      </c>
      <c r="D3719" s="3" t="str">
        <f>IFERROR(__xludf.DUMMYFUNCTION("GOOGLETRANSLATE(B3719,""en"",""hy"")"),"Murray, Kentucky գտնվում է Միացյալ Նահանգներում.")</f>
        <v>Murray, Kentucky գտնվում է Միացյալ Նահանգներում.</v>
      </c>
    </row>
    <row r="3720">
      <c r="A3720" s="1" t="s">
        <v>7325</v>
      </c>
      <c r="B3720" s="2" t="s">
        <v>7326</v>
      </c>
      <c r="C3720" s="3" t="str">
        <f>IFERROR(__xludf.DUMMYFUNCTION("GOOGLETRANSLATE(A3720,""en"",""hy"")"),"Ո՞ր ժամային գոտին է Անահեյմը:")</f>
        <v>Ո՞ր ժամային գոտին է Անահեյմը:</v>
      </c>
      <c r="D3720" s="3" t="str">
        <f>IFERROR(__xludf.DUMMYFUNCTION("GOOGLETRANSLATE(B3720,""en"",""hy"")"),"Անահեյմ, ​​Կալիֆորնիա գտնվում է Խաղաղ օվկիանոսի ժամային գոտում (PT):")</f>
        <v>Անահեյմ, ​​Կալիֆորնիա գտնվում է Խաղաղ օվկիանոսի ժամային գոտում (PT):</v>
      </c>
    </row>
    <row r="3721">
      <c r="A3721" s="1" t="s">
        <v>7327</v>
      </c>
      <c r="B3721" s="2" t="s">
        <v>7328</v>
      </c>
      <c r="C3721" s="3" t="str">
        <f>IFERROR(__xludf.DUMMYFUNCTION("GOOGLETRANSLATE(A3721,""en"",""hy"")"),"որտեղ է Մաունթ Վերնոն Տեխասը:")</f>
        <v>որտեղ է Մաունթ Վերնոն Տեխասը:</v>
      </c>
      <c r="D3721" s="3" t="str">
        <f>IFERROR(__xludf.DUMMYFUNCTION("GOOGLETRANSLATE(B3721,""en"",""hy"")"),"Տեխաս նահանգի Վերնոն լեռը գտնվում է նահանգի հյուսիսարևելյան մասում՝ Դալլասից մոտավորապես 100 մղոն արևելք:")</f>
        <v>Տեխաս նահանգի Վերնոն լեռը գտնվում է նահանգի հյուսիսարևելյան մասում՝ Դալլասից մոտավորապես 100 մղոն արևելք:</v>
      </c>
    </row>
    <row r="3722">
      <c r="A3722" s="1" t="s">
        <v>7329</v>
      </c>
      <c r="B3722" s="2" t="s">
        <v>998</v>
      </c>
      <c r="C3722" s="3" t="str">
        <f>IFERROR(__xludf.DUMMYFUNCTION("GOOGLETRANSLATE(A3722,""en"",""hy"")"),"ո՞ր երկրներն են ընդգրկված Նիդեռլանդների կազմում:")</f>
        <v>ո՞ր երկրներն են ընդգրկված Նիդեռլանդների կազմում:</v>
      </c>
      <c r="D3722" s="3" t="str">
        <f>IFERROR(__xludf.DUMMYFUNCTION("GOOGLETRANSLATE(B3722,""en"",""hy"")"),"Նիդերլանդներ.")</f>
        <v>Նիդերլանդներ.</v>
      </c>
    </row>
    <row r="3723">
      <c r="A3723" s="1" t="s">
        <v>7330</v>
      </c>
      <c r="B3723" s="2" t="s">
        <v>7331</v>
      </c>
      <c r="C3723" s="3" t="str">
        <f>IFERROR(__xludf.DUMMYFUNCTION("GOOGLETRANSLATE(A3723,""en"",""hy"")"),"ինչով է հայտնի Կեսար Օգոստոսը:")</f>
        <v>ինչով է հայտնի Կեսար Օգոստոսը:</v>
      </c>
      <c r="D3723" s="3" t="str">
        <f>IFERROR(__xludf.DUMMYFUNCTION("GOOGLETRANSLATE(B3723,""en"",""hy"")"),"Կեսար Օգոստոսը հայտնի է որպես հռոմեական առաջին կայսր և Pax Romana (Հռոմեական խաղաղություն) հիմնադրմամբ:")</f>
        <v>Կեսար Օգոստոսը հայտնի է որպես հռոմեական առաջին կայսր և Pax Romana (Հռոմեական խաղաղություն) հիմնադրմամբ:</v>
      </c>
    </row>
    <row r="3724">
      <c r="A3724" s="1" t="s">
        <v>7332</v>
      </c>
      <c r="B3724" s="2" t="s">
        <v>7333</v>
      </c>
      <c r="C3724" s="3" t="str">
        <f>IFERROR(__xludf.DUMMYFUNCTION("GOOGLETRANSLATE(A3724,""en"",""hy"")"),"ինչպիսի՞ կառավարման ձև է Իսրայելը")</f>
        <v>ինչպիսի՞ կառավարման ձև է Իսրայելը</v>
      </c>
      <c r="D3724" s="3" t="str">
        <f>IFERROR(__xludf.DUMMYFUNCTION("GOOGLETRANSLATE(B3724,""en"",""hy"")"),"Իսրայելում կառավարման ձևը խորհրդարանական ժողովրդավարությունն է:")</f>
        <v>Իսրայելում կառավարման ձևը խորհրդարանական ժողովրդավարությունն է:</v>
      </c>
    </row>
    <row r="3725">
      <c r="A3725" s="1" t="s">
        <v>7334</v>
      </c>
      <c r="B3725" s="2" t="s">
        <v>7335</v>
      </c>
      <c r="C3725" s="3" t="str">
        <f>IFERROR(__xludf.DUMMYFUNCTION("GOOGLETRANSLATE(A3725,""en"",""hy"")"),"Ո՞ր տարին է Ֆլորիդա Մարլինսը նվաճել աշխարհի 2-րդ տիտղոսը:")</f>
        <v>Ո՞ր տարին է Ֆլորիդա Մարլինսը նվաճել աշխարհի 2-րդ տիտղոսը:</v>
      </c>
      <c r="D3725" s="3" t="str">
        <f>IFERROR(__xludf.DUMMYFUNCTION("GOOGLETRANSLATE(B3725,""en"",""hy"")"),"Ֆլորիդայի Մարլինսը 2003 թվականին նվաճեց իր երկրորդ համաշխարհային տիտղոսը:")</f>
        <v>Ֆլորիդայի Մարլինսը 2003 թվականին նվաճեց իր երկրորդ համաշխարհային տիտղոսը:</v>
      </c>
    </row>
    <row r="3726">
      <c r="A3726" s="1" t="s">
        <v>7336</v>
      </c>
      <c r="B3726" s="2" t="s">
        <v>7337</v>
      </c>
      <c r="C3726" s="3" t="str">
        <f>IFERROR(__xludf.DUMMYFUNCTION("GOOGLETRANSLATE(A3726,""en"",""hy"")"),"ո՞ւմ հետ է ամուսնացած Թիմոթի Հաթոնը")</f>
        <v>ո՞ւմ հետ է ամուսնացած Թիմոթի Հաթոնը</v>
      </c>
      <c r="D3726" s="3" t="str">
        <f>IFERROR(__xludf.DUMMYFUNCTION("GOOGLETRANSLATE(B3726,""en"",""hy"")"),"Թիմոթի Հաթոնն այժմ ամուսնացած չէ։")</f>
        <v>Թիմոթի Հաթոնն այժմ ամուսնացած չէ։</v>
      </c>
    </row>
    <row r="3727">
      <c r="A3727" s="1" t="s">
        <v>7338</v>
      </c>
      <c r="B3727" s="2" t="s">
        <v>7339</v>
      </c>
      <c r="C3727" s="3" t="str">
        <f>IFERROR(__xludf.DUMMYFUNCTION("GOOGLETRANSLATE(A3727,""en"",""hy"")"),"ի՞նչ կիթառ է նվագում duane allman-ը:")</f>
        <v>ի՞նչ կիթառ է նվագում duane allman-ը:</v>
      </c>
      <c r="D3727" s="3" t="str">
        <f>IFERROR(__xludf.DUMMYFUNCTION("GOOGLETRANSLATE(B3727,""en"",""hy"")"),"Դուան Ալմանը նվագել է Gibson Les Paul կիթառ:")</f>
        <v>Դուան Ալմանը նվագել է Gibson Les Paul կիթառ:</v>
      </c>
    </row>
    <row r="3728">
      <c r="A3728" s="1" t="s">
        <v>7340</v>
      </c>
      <c r="B3728" s="2" t="s">
        <v>7341</v>
      </c>
      <c r="C3728" s="3" t="str">
        <f>IFERROR(__xludf.DUMMYFUNCTION("GOOGLETRANSLATE(A3728,""en"",""hy"")"),"Ո՞րն է այն ելույթը, որը ես երազում եմ Մարտին Լյութեր Քինգի մասին:")</f>
        <v>Ո՞րն է այն ելույթը, որը ես երազում եմ Մարտին Լյութեր Քինգի մասին:</v>
      </c>
      <c r="D3728" s="3" t="str">
        <f>IFERROR(__xludf.DUMMYFUNCTION("GOOGLETRANSLATE(B3728,""en"",""hy"")"),"«I Have a Dream» ելույթը հայտնի ելույթ է Մարտին Լյութեր Քինգ կրտսերի կողմից։")</f>
        <v>«I Have a Dream» ելույթը հայտնի ելույթ է Մարտին Լյութեր Քինգ կրտսերի կողմից։</v>
      </c>
    </row>
    <row r="3729">
      <c r="A3729" s="1" t="s">
        <v>7342</v>
      </c>
      <c r="B3729" s="2" t="s">
        <v>7343</v>
      </c>
      <c r="C3729" s="3" t="str">
        <f>IFERROR(__xludf.DUMMYFUNCTION("GOOGLETRANSLATE(A3729,""en"",""hy"")"),"ո՞րն է բնակչության թվով Եվրոպայի ամենամեծ երկիրը:")</f>
        <v>ո՞րն է բնակչության թվով Եվրոպայի ամենամեծ երկիրը:</v>
      </c>
      <c r="D3729" s="3" t="str">
        <f>IFERROR(__xludf.DUMMYFUNCTION("GOOGLETRANSLATE(B3729,""en"",""hy"")"),"Ռուսաստան.")</f>
        <v>Ռուսաստան.</v>
      </c>
    </row>
    <row r="3730">
      <c r="A3730" s="1" t="s">
        <v>7344</v>
      </c>
      <c r="B3730" s="2" t="s">
        <v>7345</v>
      </c>
      <c r="C3730" s="3" t="str">
        <f>IFERROR(__xludf.DUMMYFUNCTION("GOOGLETRANSLATE(A3730,""en"",""hy"")"),"Ո՞ր թիմում է խաղում Հենկ Բասկետը 2011 մրցաշրջանում:")</f>
        <v>Ո՞ր թիմում է խաղում Հենկ Բասկետը 2011 մրցաշրջանում:</v>
      </c>
      <c r="D3730" s="3" t="str">
        <f>IFERROR(__xludf.DUMMYFUNCTION("GOOGLETRANSLATE(B3730,""en"",""hy"")"),"2011 թվականի մրցաշրջանում Հենք Բասկետը չի խաղացել NFL-ի ոչ մի թիմում։")</f>
        <v>2011 թվականի մրցաշրջանում Հենք Բասկետը չի խաղացել NFL-ի ոչ մի թիմում։</v>
      </c>
    </row>
    <row r="3731">
      <c r="A3731" s="1" t="s">
        <v>7346</v>
      </c>
      <c r="B3731" s="2" t="s">
        <v>7347</v>
      </c>
      <c r="C3731" s="3" t="str">
        <f>IFERROR(__xludf.DUMMYFUNCTION("GOOGLETRANSLATE(A3731,""en"",""hy"")"),"ինչ պատահեց Մայք Թայսոնին.")</f>
        <v>ինչ պատահեց Մայք Թայսոնին.</v>
      </c>
      <c r="D3731" s="3" t="str">
        <f>IFERROR(__xludf.DUMMYFUNCTION("GOOGLETRANSLATE(B3731,""en"",""hy"")"),"Մայք Թայսոնը թոշակի անցած պրոֆեսիոնալ բռնցքամարտիկ է։")</f>
        <v>Մայք Թայսոնը թոշակի անցած պրոֆեսիոնալ բռնցքամարտիկ է։</v>
      </c>
    </row>
    <row r="3732">
      <c r="A3732" s="1" t="s">
        <v>7348</v>
      </c>
      <c r="B3732" s="2" t="s">
        <v>7349</v>
      </c>
      <c r="C3732" s="3" t="str">
        <f>IFERROR(__xludf.DUMMYFUNCTION("GOOGLETRANSLATE(A3732,""en"",""hy"")"),"որո՞նք են աֆրիկյան ազգերը")</f>
        <v>որո՞նք են աֆրիկյան ազգերը</v>
      </c>
      <c r="D3732" s="3" t="str">
        <f>IFERROR(__xludf.DUMMYFUNCTION("GOOGLETRANSLATE(B3732,""en"",""hy"")"),"Աֆրիկյան ազգերը այն երկրներն են, որոնք գտնվում են Աֆրիկա մայրցամաքում:")</f>
        <v>Աֆրիկյան ազգերը այն երկրներն են, որոնք գտնվում են Աֆրիկա մայրցամաքում:</v>
      </c>
    </row>
    <row r="3733">
      <c r="A3733" s="1" t="s">
        <v>7350</v>
      </c>
      <c r="B3733" s="2" t="s">
        <v>7351</v>
      </c>
      <c r="C3733" s="3" t="str">
        <f>IFERROR(__xludf.DUMMYFUNCTION("GOOGLETRANSLATE(A3733,""en"",""hy"")"),"որտեղ է դր. Մարտին Լյութեր Քինգ կրտսեր դպրոց գնալ?")</f>
        <v>որտեղ է դր. Մարտին Լյութեր Քինգ կրտսեր դպրոց գնալ?</v>
      </c>
      <c r="D3733" s="3" t="str">
        <f>IFERROR(__xludf.DUMMYFUNCTION("GOOGLETRANSLATE(B3733,""en"",""hy"")"),"Դոկտոր Մարտին Լյութեր Քինգ կրտսերը հաճախել է և՛ Մորհաուս քոլեջը, և՛ Բոստոնի համալսարանը:")</f>
        <v>Դոկտոր Մարտին Լյութեր Քինգ կրտսերը հաճախել է և՛ Մորհաուս քոլեջը, և՛ Բոստոնի համալսարանը:</v>
      </c>
    </row>
    <row r="3734">
      <c r="A3734" s="1" t="s">
        <v>7352</v>
      </c>
      <c r="B3734" s="2" t="s">
        <v>7353</v>
      </c>
      <c r="C3734" s="3" t="str">
        <f>IFERROR(__xludf.DUMMYFUNCTION("GOOGLETRANSLATE(A3734,""en"",""hy"")"),"ո՞ր ալիքն է խաղի շոուի ցանցը ժամանակի զգուշացման մալուխով:")</f>
        <v>ո՞ր ալիքն է խաղի շոուի ցանցը ժամանակի զգուշացման մալուխով:</v>
      </c>
      <c r="D3734" s="3" t="str">
        <f>IFERROR(__xludf.DUMMYFUNCTION("GOOGLETRANSLATE(B3734,""en"",""hy"")"),"Game Show Network (GSN) սովորաբար 176 ալիքով է Time Warner Cable-ում: Այնուամենայնիվ, ալիքների համարները կարող են տարբեր լինել՝ կախված ձեր կոնկրետ գտնվելու վայրից և կաբելային մատակարարից:")</f>
        <v>Game Show Network (GSN) սովորաբար 176 ալիքով է Time Warner Cable-ում: Այնուամենայնիվ, ալիքների համարները կարող են տարբեր լինել՝ կախված ձեր կոնկրետ գտնվելու վայրից և կաբելային մատակարարից:</v>
      </c>
    </row>
    <row r="3735">
      <c r="A3735" s="1" t="s">
        <v>7354</v>
      </c>
      <c r="B3735" s="2" t="s">
        <v>7355</v>
      </c>
      <c r="C3735" s="3" t="str">
        <f>IFERROR(__xludf.DUMMYFUNCTION("GOOGLETRANSLATE(A3735,""en"",""hy"")"),"ինչի համար է պատասխանատու Սենատը.")</f>
        <v>ինչի համար է պատասխանատու Սենատը.</v>
      </c>
      <c r="D3735" s="3" t="str">
        <f>IFERROR(__xludf.DUMMYFUNCTION("GOOGLETRANSLATE(B3735,""en"",""hy"")"),"Սենատը պատասխանատու է օրենքներ ընդունելու, իրենց ընտրողների շահերը ներկայացնելու և նախագահների նշանակումների և պայմանագրերի վերաբերյալ խորհրդատվություն և համաձայնություն տրամադրելու համար:")</f>
        <v>Սենատը պատասխանատու է օրենքներ ընդունելու, իրենց ընտրողների շահերը ներկայացնելու և նախագահների նշանակումների և պայմանագրերի վերաբերյալ խորհրդատվություն և համաձայնություն տրամադրելու համար:</v>
      </c>
    </row>
    <row r="3736">
      <c r="A3736" s="1" t="s">
        <v>7356</v>
      </c>
      <c r="B3736" s="2" t="s">
        <v>7357</v>
      </c>
      <c r="C3736" s="3" t="str">
        <f>IFERROR(__xludf.DUMMYFUNCTION("GOOGLETRANSLATE(A3736,""en"",""hy"")"),"ո՞ր կուսակցությանն էր պատկանում Փոլ Քիթինգը")</f>
        <v>ո՞ր կուսակցությանն էր պատկանում Փոլ Քիթինգը</v>
      </c>
      <c r="D3736" s="3" t="str">
        <f>IFERROR(__xludf.DUMMYFUNCTION("GOOGLETRANSLATE(B3736,""en"",""hy"")"),"Փոլ Քիթինգը պատկանում էր Ավստրալիայի լեյբորիստական ​​կուսակցությանը։")</f>
        <v>Փոլ Քիթինգը պատկանում էր Ավստրալիայի լեյբորիստական ​​կուսակցությանը։</v>
      </c>
    </row>
    <row r="3737">
      <c r="A3737" s="1" t="s">
        <v>7358</v>
      </c>
      <c r="B3737" s="2" t="s">
        <v>7359</v>
      </c>
      <c r="C3737" s="3" t="str">
        <f>IFERROR(__xludf.DUMMYFUNCTION("GOOGLETRANSLATE(A3737,""en"",""hy"")"),"ինչ գիրք է արել մենք. գրել է դուբուան")</f>
        <v>ինչ գիրք է արել մենք. գրել է դուբուան</v>
      </c>
      <c r="D3737" s="3" t="str">
        <f>IFERROR(__xludf.DUMMYFUNCTION("GOOGLETRANSLATE(B3737,""en"",""hy"")"),"W.E.B. Դյու Բուան գրել է «Սև մարդկանց հոգիները» գիրքը։")</f>
        <v>W.E.B. Դյու Բուան գրել է «Սև մարդկանց հոգիները» գիրքը։</v>
      </c>
    </row>
    <row r="3738">
      <c r="A3738" s="1" t="s">
        <v>7360</v>
      </c>
      <c r="B3738" s="2" t="s">
        <v>7361</v>
      </c>
      <c r="C3738" s="3" t="str">
        <f>IFERROR(__xludf.DUMMYFUNCTION("GOOGLETRANSLATE(A3738,""en"",""hy"")"),"ինչ են Ռոմնիի որդիների անունները:")</f>
        <v>ինչ են Ռոմնիի որդիների անունները:</v>
      </c>
      <c r="D3738" s="3" t="str">
        <f>IFERROR(__xludf.DUMMYFUNCTION("GOOGLETRANSLATE(B3738,""en"",""hy"")"),"Ռոմնիի որդիների անուններն են՝ Թագ, Մեթ, Ջոշ, Բեն և Քրեյգ։")</f>
        <v>Ռոմնիի որդիների անուններն են՝ Թագ, Մեթ, Ջոշ, Բեն և Քրեյգ։</v>
      </c>
    </row>
    <row r="3739">
      <c r="A3739" s="1" t="s">
        <v>7362</v>
      </c>
      <c r="B3739" s="2" t="s">
        <v>7363</v>
      </c>
      <c r="C3739" s="3" t="str">
        <f>IFERROR(__xludf.DUMMYFUNCTION("GOOGLETRANSLATE(A3739,""en"",""hy"")"),"որտեղի՞ց է արվեստի Սմիթը:")</f>
        <v>որտեղի՞ց է արվեստի Սմիթը:</v>
      </c>
      <c r="D3739" s="3" t="str">
        <f>IFERROR(__xludf.DUMMYFUNCTION("GOOGLETRANSLATE(B3739,""en"",""hy"")"),"Արտ Սմիթը Ֆլորիդայի Ջասպեր քաղաքից է:")</f>
        <v>Արտ Սմիթը Ֆլորիդայի Ջասպեր քաղաքից է:</v>
      </c>
    </row>
    <row r="3740">
      <c r="A3740" s="1" t="s">
        <v>7364</v>
      </c>
      <c r="B3740" s="2" t="s">
        <v>7365</v>
      </c>
      <c r="C3740" s="3" t="str">
        <f>IFERROR(__xludf.DUMMYFUNCTION("GOOGLETRANSLATE(A3740,""en"",""hy"")"),"ինչ ֆիլմերում է նկարահանվել Մայքլ Քլարկ Դանկանը:")</f>
        <v>ինչ ֆիլմերում է նկարահանվել Մայքլ Քլարկ Դանկանը:</v>
      </c>
      <c r="D3740" s="3" t="str">
        <f>IFERROR(__xludf.DUMMYFUNCTION("GOOGLETRANSLATE(B3740,""en"",""hy"")"),"Որոշ ֆիլմեր, որոնցում նկարահանվել է Մայքլ Քլարկ Դանքանը, ներառում են «Կանաչ մղոնը», «Արմագեդոնը» և «Մեղքերի քաղաքը»:")</f>
        <v>Որոշ ֆիլմեր, որոնցում նկարահանվել է Մայքլ Քլարկ Դանքանը, ներառում են «Կանաչ մղոնը», «Արմագեդոնը» և «Մեղքերի քաղաքը»:</v>
      </c>
    </row>
    <row r="3741">
      <c r="A3741" s="1" t="s">
        <v>7366</v>
      </c>
      <c r="B3741" s="2" t="s">
        <v>7367</v>
      </c>
      <c r="C3741" s="3" t="str">
        <f>IFERROR(__xludf.DUMMYFUNCTION("GOOGLETRANSLATE(A3741,""en"",""hy"")"),"ժամը քանիսին է Արկանզասը ֆուտբոլ խաղում այսօր:")</f>
        <v>ժամը քանիսին է Արկանզասը ֆուտբոլ խաղում այսօր:</v>
      </c>
      <c r="D3741" s="3" t="str">
        <f>IFERROR(__xludf.DUMMYFUNCTION("GOOGLETRANSLATE(B3741,""en"",""hy"")"),"Ներեցեք, ինձ հասանելի չեն ֆուտբոլի ժամանակացույցի մասին իրական ժամանակի տեղեկատվություն:")</f>
        <v>Ներեցեք, ինձ հասանելի չեն ֆուտբոլի ժամանակացույցի մասին իրական ժամանակի տեղեկատվություն:</v>
      </c>
    </row>
    <row r="3742">
      <c r="A3742" s="1" t="s">
        <v>7368</v>
      </c>
      <c r="B3742" s="2" t="s">
        <v>7369</v>
      </c>
      <c r="C3742" s="3" t="str">
        <f>IFERROR(__xludf.DUMMYFUNCTION("GOOGLETRANSLATE(A3742,""en"",""hy"")"),"որո՞նք են Կանադայի հիմնական ներմուծումն ու արտահանումը:")</f>
        <v>որո՞նք են Կանադայի հիմնական ներմուծումն ու արտահանումը:</v>
      </c>
      <c r="D3742" s="3" t="str">
        <f>IFERROR(__xludf.DUMMYFUNCTION("GOOGLETRANSLATE(B3742,""en"",""hy"")"),"Կանադայի հիմնական արտահանումներից են նավթը, հանքանյութերը, ավտոմեքենաները, մեքենաները և անտառային ապրանքները: Կանադայի հիմնական ներմուծումներից են տրանսպորտային միջոցները, մեքենաները, էլեկտրոնիկան, դեղագործական արտադրանքը և պլաստմասսա:")</f>
        <v>Կանադայի հիմնական արտահանումներից են նավթը, հանքանյութերը, ավտոմեքենաները, մեքենաները և անտառային ապրանքները: Կանադայի հիմնական ներմուծումներից են տրանսպորտային միջոցները, մեքենաները, էլեկտրոնիկան, դեղագործական արտադրանքը և պլաստմասսա:</v>
      </c>
    </row>
    <row r="3743">
      <c r="A3743" s="1" t="s">
        <v>7370</v>
      </c>
      <c r="B3743" s="2" t="s">
        <v>7371</v>
      </c>
      <c r="C3743" s="3" t="str">
        <f>IFERROR(__xludf.DUMMYFUNCTION("GOOGLETRANSLATE(A3743,""en"",""hy"")"),"Էլ ի՞նչ քաղաքական գրասենյակներում է եղել Օբաման:")</f>
        <v>Էլ ի՞նչ քաղաքական գրասենյակներում է եղել Օբաման:</v>
      </c>
      <c r="D3743" s="3" t="str">
        <f>IFERROR(__xludf.DUMMYFUNCTION("GOOGLETRANSLATE(B3743,""en"",""hy"")"),"Բացի Միացյալ Նահանգների նախագահ լինելուց, Բարաք Օբաման նաև ծառայել է որպես Միացյալ Նահանգների սենատոր Իլինոյսից:")</f>
        <v>Բացի Միացյալ Նահանգների նախագահ լինելուց, Բարաք Օբաման նաև ծառայել է որպես Միացյալ Նահանգների սենատոր Իլինոյսից:</v>
      </c>
    </row>
    <row r="3744">
      <c r="A3744" s="1" t="s">
        <v>7372</v>
      </c>
      <c r="B3744" s="2" t="s">
        <v>7373</v>
      </c>
      <c r="C3744" s="3" t="str">
        <f>IFERROR(__xludf.DUMMYFUNCTION("GOOGLETRANSLATE(A3744,""en"",""hy"")"),"Ո՞ր օդանավակայան եք թռչում մաքուր ջրային Ֆլորիդայի համար:")</f>
        <v>Ո՞ր օդանավակայան եք թռչում մաքուր ջրային Ֆլորիդայի համար:</v>
      </c>
      <c r="D3744" s="3" t="str">
        <f>IFERROR(__xludf.DUMMYFUNCTION("GOOGLETRANSLATE(B3744,""en"",""hy"")"),"Ֆլորիդայի Clearwater-ին ամենամոտ օդանավակայանը Սանկտ Պետերբուրգ-Քլիրուոթեր միջազգային օդանավակայանն է (PIE):")</f>
        <v>Ֆլորիդայի Clearwater-ին ամենամոտ օդանավակայանը Սանկտ Պետերբուրգ-Քլիրուոթեր միջազգային օդանավակայանն է (PIE):</v>
      </c>
    </row>
    <row r="3745">
      <c r="A3745" s="1" t="s">
        <v>7374</v>
      </c>
      <c r="B3745" s="2" t="s">
        <v>7375</v>
      </c>
      <c r="C3745" s="3" t="str">
        <f>IFERROR(__xludf.DUMMYFUNCTION("GOOGLETRANSLATE(A3745,""en"",""hy"")"),"ինչ անել Վենետիկի լողափում.")</f>
        <v>ինչ անել Վենետիկի լողափում.</v>
      </c>
      <c r="D3745" s="3" t="str">
        <f>IFERROR(__xludf.DUMMYFUNCTION("GOOGLETRANSLATE(B3745,""en"",""hy"")"),"Վենետիկի լողափում անելիքների որոշ առաջարկներ ներառում են՝ այցելել լողափ և տախտակամած, ուսումնասիրել Վենետիկի ջրանցքները, ստուգել փողոցային արվեստը Վենետիկի արվեստի պատերի վրա, գնումներ կատարել Էբոթ Քիննի բուլվարում և մարդկանց դիտել Muscle Beach-ում:")</f>
        <v>Վենետիկի լողափում անելիքների որոշ առաջարկներ ներառում են՝ այցելել լողափ և տախտակամած, ուսումնասիրել Վենետիկի ջրանցքները, ստուգել փողոցային արվեստը Վենետիկի արվեստի պատերի վրա, գնումներ կատարել Էբոթ Քիննի բուլվարում և մարդկանց դիտել Muscle Beach-ում:</v>
      </c>
    </row>
    <row r="3746">
      <c r="A3746" s="1" t="s">
        <v>7376</v>
      </c>
      <c r="B3746" s="2" t="s">
        <v>7377</v>
      </c>
      <c r="C3746" s="3" t="str">
        <f>IFERROR(__xludf.DUMMYFUNCTION("GOOGLETRANSLATE(A3746,""en"",""hy"")"),"Ո՞ր քոլեջ է սովորել Ռասել Ուիլսոնը:")</f>
        <v>Ո՞ր քոլեջ է սովորել Ռասել Ուիլսոնը:</v>
      </c>
      <c r="D3746" s="3" t="str">
        <f>IFERROR(__xludf.DUMMYFUNCTION("GOOGLETRANSLATE(B3746,""en"",""hy"")"),"Ռասել Ուիլսոնը գնաց Հյուսիսային Կարոլինայի պետական ​​համալսարան:")</f>
        <v>Ռասել Ուիլսոնը գնաց Հյուսիսային Կարոլինայի պետական ​​համալսարան:</v>
      </c>
    </row>
    <row r="3747">
      <c r="A3747" s="1" t="s">
        <v>7378</v>
      </c>
      <c r="B3747" s="2" t="s">
        <v>7379</v>
      </c>
      <c r="C3747" s="3" t="str">
        <f>IFERROR(__xludf.DUMMYFUNCTION("GOOGLETRANSLATE(A3747,""en"",""hy"")"),"ո՞րն է ոգեշնչել Վան Գոգի աշխատանքը:")</f>
        <v>ո՞րն է ոգեշնչել Վան Գոգի աշխատանքը:</v>
      </c>
      <c r="D3747" s="3" t="str">
        <f>IFERROR(__xludf.DUMMYFUNCTION("GOOGLETRANSLATE(B3747,""en"",""hy"")"),"Բնական աշխարհը, առօրյա կյանքը և նրա հուզական ապրումները Վան Գոգի ստեղծագործության հիմնական ոգեշնչումն էին։")</f>
        <v>Բնական աշխարհը, առօրյա կյանքը և նրա հուզական ապրումները Վան Գոգի ստեղծագործության հիմնական ոգեշնչումն էին։</v>
      </c>
    </row>
    <row r="3748">
      <c r="A3748" s="1" t="s">
        <v>7380</v>
      </c>
      <c r="B3748" s="2" t="s">
        <v>7381</v>
      </c>
      <c r="C3748" s="3" t="str">
        <f>IFERROR(__xludf.DUMMYFUNCTION("GOOGLETRANSLATE(A3748,""en"",""hy"")"),"որտեղ է գտնվում Ֆրեզնո Տեխասը:")</f>
        <v>որտեղ է գտնվում Ֆրեզնո Տեխասը:</v>
      </c>
      <c r="D3748" s="3" t="str">
        <f>IFERROR(__xludf.DUMMYFUNCTION("GOOGLETRANSLATE(B3748,""en"",""hy"")"),"Ֆրեզնո, Տեխաս, գտնվում է Ֆորտ Բենդ շրջանում։")</f>
        <v>Ֆրեզնո, Տեխաս, գտնվում է Ֆորտ Բենդ շրջանում։</v>
      </c>
    </row>
    <row r="3749">
      <c r="A3749" s="1" t="s">
        <v>7382</v>
      </c>
      <c r="B3749" s="2" t="s">
        <v>7383</v>
      </c>
      <c r="C3749" s="3" t="str">
        <f>IFERROR(__xludf.DUMMYFUNCTION("GOOGLETRANSLATE(A3749,""en"",""hy"")"),"ինչն է սխալ Ռոբին Ռոբերթսի հետ:")</f>
        <v>ինչն է սխալ Ռոբին Ռոբերթսի հետ:</v>
      </c>
      <c r="D3749" s="3" t="str">
        <f>IFERROR(__xludf.DUMMYFUNCTION("GOOGLETRANSLATE(B3749,""en"",""hy"")"),"Ցավում եմ, բայց ես մուտք չունեմ անհատների մասին անձնական տեղեկություններ, եթե դրանք ինձ հետ չեն կիսվել մեր զրույցի ընթացքում:")</f>
        <v>Ցավում եմ, բայց ես մուտք չունեմ անհատների մասին անձնական տեղեկություններ, եթե դրանք ինձ հետ չեն կիսվել մեր զրույցի ընթացքում:</v>
      </c>
    </row>
    <row r="3750">
      <c r="A3750" s="1" t="s">
        <v>7384</v>
      </c>
      <c r="B3750" s="2" t="s">
        <v>7385</v>
      </c>
      <c r="C3750" s="3" t="str">
        <f>IFERROR(__xludf.DUMMYFUNCTION("GOOGLETRANSLATE(A3750,""en"",""hy"")"),"որտե՞ղ գնալ Նեշվիլ քաղաքի կենտրոնում:")</f>
        <v>որտե՞ղ գնալ Նեշվիլ քաղաքի կենտրոնում:</v>
      </c>
      <c r="D3750" s="3" t="str">
        <f>IFERROR(__xludf.DUMMYFUNCTION("GOOGLETRANSLATE(B3750,""en"",""hy"")"),"Նեշվիլի կենտրոնում գտնվող որոշ հայտնի տեսարժան վայրերը ներառում են Քանթրի երաժշտության փառքի սրահը, Ռայման լսարանը և Ստորին Բրոդվեյի Հոնկի Թոնկ մայրուղին:")</f>
        <v>Նեշվիլի կենտրոնում գտնվող որոշ հայտնի տեսարժան վայրերը ներառում են Քանթրի երաժշտության փառքի սրահը, Ռայման լսարանը և Ստորին Բրոդվեյի Հոնկի Թոնկ մայրուղին:</v>
      </c>
    </row>
    <row r="3751">
      <c r="A3751" s="1" t="s">
        <v>7386</v>
      </c>
      <c r="B3751" s="2" t="s">
        <v>7387</v>
      </c>
      <c r="C3751" s="3" t="str">
        <f>IFERROR(__xludf.DUMMYFUNCTION("GOOGLETRANSLATE(A3751,""en"",""hy"")"),"ինչպիսի՞ կառավարություն է օգտագործում Մեքսիկան:")</f>
        <v>ինչպիսի՞ կառավարություն է օգտագործում Մեքսիկան:</v>
      </c>
      <c r="D3751" s="3" t="str">
        <f>IFERROR(__xludf.DUMMYFUNCTION("GOOGLETRANSLATE(B3751,""en"",""hy"")"),"Մեքսիկան որպես կառավարման ձև օգտագործում է դաշնային նախագահական սահմանադրական հանրապետությունը:")</f>
        <v>Մեքսիկան որպես կառավարման ձև օգտագործում է դաշնային նախագահական սահմանադրական հանրապետությունը:</v>
      </c>
    </row>
    <row r="3752">
      <c r="A3752" s="1" t="s">
        <v>7388</v>
      </c>
      <c r="B3752" s="2" t="s">
        <v>7389</v>
      </c>
      <c r="C3752" s="3" t="str">
        <f>IFERROR(__xludf.DUMMYFUNCTION("GOOGLETRANSLATE(A3752,""en"",""hy"")"),"ո՞ր թիմն է ջարդել Ուոլեսը:")</f>
        <v>ո՞ր թիմն է ջարդել Ուոլեսը:</v>
      </c>
      <c r="D3752" s="3" t="str">
        <f>IFERROR(__xludf.DUMMYFUNCTION("GOOGLETRANSLATE(B3752,""en"",""hy"")"),"Ռաշիդ Ուոլեսն իր կարիերայի ընթացքում խաղացել է տարբեր թիմերում, այդ թվում՝ Վաշինգտոն Բուլլթս/Վիզարդս, Պորտլենդ Թրեյլ Բլեյզերս, Ատլանտա Հոքս, Դետրոյթ Փիսթոնս, Բոստոն Սելթիքս և Նյու Յորք Նիքս:")</f>
        <v>Ռաշիդ Ուոլեսն իր կարիերայի ընթացքում խաղացել է տարբեր թիմերում, այդ թվում՝ Վաշինգտոն Բուլլթս/Վիզարդս, Պորտլենդ Թրեյլ Բլեյզերս, Ատլանտա Հոքս, Դետրոյթ Փիսթոնս, Բոստոն Սելթիքս և Նյու Յորք Նիքս:</v>
      </c>
    </row>
    <row r="3753">
      <c r="A3753" s="1" t="s">
        <v>7390</v>
      </c>
      <c r="B3753" s="2" t="s">
        <v>7391</v>
      </c>
      <c r="C3753" s="3" t="str">
        <f>IFERROR(__xludf.DUMMYFUNCTION("GOOGLETRANSLATE(A3753,""en"",""hy"")"),"ինչպես է կոչվում ժամային գոտին Անգլիայում:")</f>
        <v>ինչպես է կոչվում ժամային գոտին Անգլիայում:</v>
      </c>
      <c r="D3753" s="3" t="str">
        <f>IFERROR(__xludf.DUMMYFUNCTION("GOOGLETRANSLATE(B3753,""en"",""hy"")"),"Անգլիայի ժամային գոտին կոչվում է Գրինվիչի միջին ժամանակ (GMT) կամ բրիտանական ամառային ժամանակ (BST), երբ գործում է ամառային խնայողությունը:")</f>
        <v>Անգլիայի ժամային գոտին կոչվում է Գրինվիչի միջին ժամանակ (GMT) կամ բրիտանական ամառային ժամանակ (BST), երբ գործում է ամառային խնայողությունը:</v>
      </c>
    </row>
    <row r="3754">
      <c r="A3754" s="1" t="s">
        <v>7392</v>
      </c>
      <c r="B3754" s="2" t="s">
        <v>7393</v>
      </c>
      <c r="C3754" s="3" t="str">
        <f>IFERROR(__xludf.DUMMYFUNCTION("GOOGLETRANSLATE(A3754,""en"",""hy"")"),"Ո՞ր օդանավակայանն է ամենամոտ palm Springs-ին:")</f>
        <v>Ո՞ր օդանավակայանն է ամենամոտ palm Springs-ին:</v>
      </c>
      <c r="D3754" s="3" t="str">
        <f>IFERROR(__xludf.DUMMYFUNCTION("GOOGLETRANSLATE(B3754,""en"",""hy"")"),"Palm Springs միջազգային օդանավակայան.")</f>
        <v>Palm Springs միջազգային օդանավակայան.</v>
      </c>
    </row>
    <row r="3755">
      <c r="A3755" s="1" t="s">
        <v>7394</v>
      </c>
      <c r="B3755" s="2" t="s">
        <v>7395</v>
      </c>
      <c r="C3755" s="3" t="str">
        <f>IFERROR(__xludf.DUMMYFUNCTION("GOOGLETRANSLATE(A3755,""en"",""hy"")"),"ինչ էր Աբե Լինքոլնի կնոջ անունը:")</f>
        <v>ինչ էր Աբե Լինքոլնի կնոջ անունը:</v>
      </c>
      <c r="D3755" s="3" t="str">
        <f>IFERROR(__xludf.DUMMYFUNCTION("GOOGLETRANSLATE(B3755,""en"",""hy"")"),"Աբե Լինքոլնի կնոջ անունը Մերի Թոդ Լինքոլն էր։")</f>
        <v>Աբե Լինքոլնի կնոջ անունը Մերի Թոդ Լինքոլն էր։</v>
      </c>
    </row>
    <row r="3756">
      <c r="A3756" s="1" t="s">
        <v>7396</v>
      </c>
      <c r="B3756" s="2" t="s">
        <v>7397</v>
      </c>
      <c r="C3756" s="3" t="str">
        <f>IFERROR(__xludf.DUMMYFUNCTION("GOOGLETRANSLATE(A3756,""en"",""hy"")"),"Ո՞ր թիմում է խաղում Պուդջ Ռոդրիգեսը")</f>
        <v>Ո՞ր թիմում է խաղում Պուդջ Ռոդրիգեսը</v>
      </c>
      <c r="D3756" s="3" t="str">
        <f>IFERROR(__xludf.DUMMYFUNCTION("GOOGLETRANSLATE(B3756,""en"",""hy"")"),"Պաջ Ռոդրիգեսն այլևս չի խաղում որևէ թիմում, քանի որ նա ավարտեց կարիերան 2011 թվականին:")</f>
        <v>Պաջ Ռոդրիգեսն այլևս չի խաղում որևէ թիմում, քանի որ նա ավարտեց կարիերան 2011 թվականին:</v>
      </c>
    </row>
    <row r="3757">
      <c r="A3757" s="1" t="s">
        <v>7398</v>
      </c>
      <c r="B3757" s="2" t="s">
        <v>7399</v>
      </c>
      <c r="C3757" s="3" t="str">
        <f>IFERROR(__xludf.DUMMYFUNCTION("GOOGLETRANSLATE(A3757,""en"",""hy"")"),"ինչպիսի՞ կառավարման ձև ունենք ԱՄՆ-ում.")</f>
        <v>ինչպիսի՞ կառավարման ձև ունենք ԱՄՆ-ում.</v>
      </c>
      <c r="D3757" s="3" t="str">
        <f>IFERROR(__xludf.DUMMYFUNCTION("GOOGLETRANSLATE(B3757,""en"",""hy"")"),"ԱՄՆ-ում կառավարման ձևը դաշնային դեմոկրատական ​​հանրապետություն է։")</f>
        <v>ԱՄՆ-ում կառավարման ձևը դաշնային դեմոկրատական ​​հանրապետություն է։</v>
      </c>
    </row>
    <row r="3758">
      <c r="A3758" s="1" t="s">
        <v>7400</v>
      </c>
      <c r="B3758" s="2" t="s">
        <v>7401</v>
      </c>
      <c r="C3758" s="3" t="str">
        <f>IFERROR(__xludf.DUMMYFUNCTION("GOOGLETRANSLATE(A3758,""en"",""hy"")"),"ովքեր են հայտնի մարդիկ Իսպանիայից.")</f>
        <v>ովքեր են հայտնի մարդիկ Իսպանիայից.</v>
      </c>
      <c r="D3758" s="3" t="str">
        <f>IFERROR(__xludf.DUMMYFUNCTION("GOOGLETRANSLATE(B3758,""en"",""hy"")"),"Իսպանացի հայտնի մարդկանց թվում են Պաբլո Պիկասոն, Սալվադոր Դալին, Անտոնիո Բանդերասը, Պենելոպա Կրուզը և Ռաֆայել Նադալը:")</f>
        <v>Իսպանացի հայտնի մարդկանց թվում են Պաբլո Պիկասոն, Սալվադոր Դալին, Անտոնիո Բանդերասը, Պենելոպա Կրուզը և Ռաֆայել Նադալը:</v>
      </c>
    </row>
    <row r="3759">
      <c r="A3759" s="1" t="s">
        <v>7402</v>
      </c>
      <c r="B3759" s="2" t="s">
        <v>7403</v>
      </c>
      <c r="C3759" s="3" t="str">
        <f>IFERROR(__xludf.DUMMYFUNCTION("GOOGLETRANSLATE(A3759,""en"",""hy"")"),"երբ Շաքը եկավ nba?")</f>
        <v>երբ Շաքը եկավ nba?</v>
      </c>
      <c r="D3759" s="3" t="str">
        <f>IFERROR(__xludf.DUMMYFUNCTION("GOOGLETRANSLATE(B3759,""en"",""hy"")"),"Շաքիլ Օ'Նիլը NBA է եկել 1992 թվականին։")</f>
        <v>Շաքիլ Օ'Նիլը NBA է եկել 1992 թվականին։</v>
      </c>
    </row>
    <row r="3760">
      <c r="A3760" s="1" t="s">
        <v>7404</v>
      </c>
      <c r="B3760" s="2" t="s">
        <v>7405</v>
      </c>
      <c r="C3760" s="3" t="str">
        <f>IFERROR(__xludf.DUMMYFUNCTION("GOOGLETRANSLATE(A3760,""en"",""hy"")"),"ո՞ր կայսրությունն է ղեկավարել Մարիա Թերեզան:")</f>
        <v>ո՞ր կայսրությունն է ղեկավարել Մարիա Թերեզան:</v>
      </c>
      <c r="D3760" s="3" t="str">
        <f>IFERROR(__xludf.DUMMYFUNCTION("GOOGLETRANSLATE(B3760,""en"",""hy"")"),"Մարիա Թերեզան ղեկավարում էր Հաբսբուրգների կայսրությունը։")</f>
        <v>Մարիա Թերեզան ղեկավարում էր Հաբսբուրգների կայսրությունը։</v>
      </c>
    </row>
    <row r="3761">
      <c r="A3761" s="1" t="s">
        <v>7406</v>
      </c>
      <c r="B3761" s="2" t="s">
        <v>7407</v>
      </c>
      <c r="C3761" s="3" t="str">
        <f>IFERROR(__xludf.DUMMYFUNCTION("GOOGLETRANSLATE(A3761,""en"",""hy"")"),"որտեղ է գտնվում Տեխաս Ռեյնջերսի տնային մարզադաշտը:")</f>
        <v>որտեղ է գտնվում Տեխաս Ռեյնջերսի տնային մարզադաշտը:</v>
      </c>
      <c r="D3761" s="3" t="str">
        <f>IFERROR(__xludf.DUMMYFUNCTION("GOOGLETRANSLATE(B3761,""en"",""hy"")"),"Տեխաս Ռեյնջերսի տնային մարզադաշտը Տեխաս նահանգի Արլինգթոն քաղաքում գտնվող Globe Life Field-ն է:")</f>
        <v>Տեխաս Ռեյնջերսի տնային մարզադաշտը Տեխաս նահանգի Արլինգթոն քաղաքում գտնվող Globe Life Field-ն է:</v>
      </c>
    </row>
    <row r="3762">
      <c r="A3762" s="1" t="s">
        <v>7408</v>
      </c>
      <c r="B3762" s="2" t="s">
        <v>7409</v>
      </c>
      <c r="C3762" s="3" t="str">
        <f>IFERROR(__xludf.DUMMYFUNCTION("GOOGLETRANSLATE(A3762,""en"",""hy"")"),"ինչ ֆիլմ է նկարահանում Անջելինա Ջոլին.")</f>
        <v>ինչ ֆիլմ է նկարահանում Անջելինա Ջոլին.</v>
      </c>
      <c r="D3762" s="3" t="str">
        <f>IFERROR(__xludf.DUMMYFUNCTION("GOOGLETRANSLATE(B3762,""en"",""hy"")"),"Ներողություն եմ խնդրում, ես հասանելի չեմ ընթացիկ տեղեկատվությանը:")</f>
        <v>Ներողություն եմ խնդրում, ես հասանելի չեմ ընթացիկ տեղեկատվությանը:</v>
      </c>
    </row>
    <row r="3763">
      <c r="A3763" s="1" t="s">
        <v>7410</v>
      </c>
      <c r="B3763" s="2" t="s">
        <v>1319</v>
      </c>
      <c r="C3763" s="3" t="str">
        <f>IFERROR(__xludf.DUMMYFUNCTION("GOOGLETRANSLATE(A3763,""en"",""hy"")"),"ինչ լեզվով են խոսում բրազիլերեն")</f>
        <v>ինչ լեզվով են խոսում բրազիլերեն</v>
      </c>
      <c r="D3763" s="3" t="str">
        <f>IFERROR(__xludf.DUMMYFUNCTION("GOOGLETRANSLATE(B3763,""en"",""hy"")"),"Բրազիլիայում խոսվող հիմնական լեզուն պորտուգալերենն է։")</f>
        <v>Բրազիլիայում խոսվող հիմնական լեզուն պորտուգալերենն է։</v>
      </c>
    </row>
    <row r="3764">
      <c r="A3764" s="1" t="s">
        <v>7411</v>
      </c>
      <c r="B3764" s="2" t="s">
        <v>7412</v>
      </c>
      <c r="C3764" s="3" t="str">
        <f>IFERROR(__xludf.DUMMYFUNCTION("GOOGLETRANSLATE(A3764,""en"",""hy"")"),"ո՞ւմ հետ է ամուսնացած Ջիմի Ֆելոնը")</f>
        <v>ո՞ւմ հետ է ամուսնացած Ջիմի Ֆելոնը</v>
      </c>
      <c r="D3764" s="3" t="str">
        <f>IFERROR(__xludf.DUMMYFUNCTION("GOOGLETRANSLATE(B3764,""en"",""hy"")"),"Ջիմի Ֆելոնն ամուսնացած է Նենսի Յուվոնենի հետ։")</f>
        <v>Ջիմի Ֆելոնն ամուսնացած է Նենսի Յուվոնենի հետ։</v>
      </c>
    </row>
    <row r="3765">
      <c r="A3765" s="1" t="s">
        <v>7413</v>
      </c>
      <c r="B3765" s="2" t="s">
        <v>7414</v>
      </c>
      <c r="C3765" s="3" t="str">
        <f>IFERROR(__xludf.DUMMYFUNCTION("GOOGLETRANSLATE(A3765,""en"",""hy"")"),"ո՞ր երկրին է մոտ Ռուսաստանը.")</f>
        <v>ո՞ր երկրին է մոտ Ռուսաստանը.</v>
      </c>
      <c r="D3765" s="3" t="str">
        <f>IFERROR(__xludf.DUMMYFUNCTION("GOOGLETRANSLATE(B3765,""en"",""hy"")"),"Ռուսաստանը մոտ է մի քանի երկրների, այդ թվում՝ Ուկրաինայի, Բելառուսի, Ղազախստանի, Չինաստանի և Մոնղոլիայի:")</f>
        <v>Ռուսաստանը մոտ է մի քանի երկրների, այդ թվում՝ Ուկրաինայի, Բելառուսի, Ղազախստանի, Չինաստանի և Մոնղոլիայի:</v>
      </c>
    </row>
    <row r="3766">
      <c r="A3766" s="1" t="s">
        <v>7415</v>
      </c>
      <c r="B3766" s="2" t="s">
        <v>7416</v>
      </c>
      <c r="C3766" s="3" t="str">
        <f>IFERROR(__xludf.DUMMYFUNCTION("GOOGLETRANSLATE(A3766,""en"",""hy"")"),"ո՞վ է հիմա «Ինտերի» մարզիչը.")</f>
        <v>ո՞վ է հիմա «Ինտերի» մարզիչը.</v>
      </c>
      <c r="D3766" s="3" t="str">
        <f>IFERROR(__xludf.DUMMYFUNCTION("GOOGLETRANSLATE(B3766,""en"",""hy"")"),"Անտոնիո Կոնտե.")</f>
        <v>Անտոնիո Կոնտե.</v>
      </c>
    </row>
    <row r="3767">
      <c r="A3767" s="1" t="s">
        <v>7417</v>
      </c>
      <c r="B3767" s="2" t="s">
        <v>7418</v>
      </c>
      <c r="C3767" s="3" t="str">
        <f>IFERROR(__xludf.DUMMYFUNCTION("GOOGLETRANSLATE(A3767,""en"",""hy"")"),"որտեղ են պատրաստվում Ջոն Դիրի ձյունը մաքրող սարքերը:")</f>
        <v>որտեղ են պատրաստվում Ջոն Դիրի ձյունը մաքրող սարքերը:</v>
      </c>
      <c r="D3767" s="3" t="str">
        <f>IFERROR(__xludf.DUMMYFUNCTION("GOOGLETRANSLATE(B3767,""en"",""hy"")"),"John Deere ձյունը փչող սարքերը արտադրվում են ԱՄՆ-ում։")</f>
        <v>John Deere ձյունը փչող սարքերը արտադրվում են ԱՄՆ-ում։</v>
      </c>
    </row>
    <row r="3768">
      <c r="A3768" s="1" t="s">
        <v>7419</v>
      </c>
      <c r="B3768" s="2" t="s">
        <v>7420</v>
      </c>
      <c r="C3768" s="3" t="str">
        <f>IFERROR(__xludf.DUMMYFUNCTION("GOOGLETRANSLATE(A3768,""en"",""hy"")"),"ինչպես է կոչվում փողը Պերուում:")</f>
        <v>ինչպես է կոչվում փողը Պերուում:</v>
      </c>
      <c r="D3768" s="3" t="str">
        <f>IFERROR(__xludf.DUMMYFUNCTION("GOOGLETRANSLATE(B3768,""en"",""hy"")"),"Պերուի արժույթը կոչվում է պերուական սոլ։")</f>
        <v>Պերուի արժույթը կոչվում է պերուական սոլ։</v>
      </c>
    </row>
    <row r="3769">
      <c r="A3769" s="1" t="s">
        <v>7421</v>
      </c>
      <c r="B3769" s="2" t="s">
        <v>7422</v>
      </c>
      <c r="C3769" s="3" t="str">
        <f>IFERROR(__xludf.DUMMYFUNCTION("GOOGLETRANSLATE(A3769,""en"",""hy"")"),"ո՞ր ֆիլմերում է նկարահանվել Քրիստեն Ստյուարտը")</f>
        <v>ո՞ր ֆիլմերում է նկարահանվել Քրիստեն Ստյուարտը</v>
      </c>
      <c r="D3769" s="3" t="str">
        <f>IFERROR(__xludf.DUMMYFUNCTION("GOOGLETRANSLATE(B3769,""en"",""hy"")"),"Քրիստեն Ստյուարտը նկարահանվել է այնպիսի ֆիլմերում, ինչպիսիք են «Մթնշաղ», «Սպիտակաձյունիկը և որսորդը» և «Չարլիի հրեշտակները»:")</f>
        <v>Քրիստեն Ստյուարտը նկարահանվել է այնպիսի ֆիլմերում, ինչպիսիք են «Մթնշաղ», «Սպիտակաձյունիկը և որսորդը» և «Չարլիի հրեշտակները»:</v>
      </c>
    </row>
    <row r="3770">
      <c r="A3770" s="1" t="s">
        <v>7423</v>
      </c>
      <c r="B3770" s="2" t="s">
        <v>7424</v>
      </c>
      <c r="C3770" s="3" t="str">
        <f>IFERROR(__xludf.DUMMYFUNCTION("GOOGLETRANSLATE(A3770,""en"",""hy"")"),"Ո՞ր արվեստի շարժմանն է պատկանում Վինսենթ Վան Գոգը:")</f>
        <v>Ո՞ր արվեստի շարժմանն է պատկանում Վինսենթ Վան Գոգը:</v>
      </c>
      <c r="D3770" s="3" t="str">
        <f>IFERROR(__xludf.DUMMYFUNCTION("GOOGLETRANSLATE(B3770,""en"",""hy"")"),"Վինսենթ վան Գոգը պատկանում է հետիմպրեսիոնիստական ​​արվեստի շարժմանը։")</f>
        <v>Վինսենթ վան Գոգը պատկանում է հետիմպրեսիոնիստական ​​արվեստի շարժմանը։</v>
      </c>
    </row>
    <row r="3771">
      <c r="A3771" s="1" t="s">
        <v>7425</v>
      </c>
      <c r="B3771" s="2" t="s">
        <v>7426</v>
      </c>
      <c r="C3771" s="3" t="str">
        <f>IFERROR(__xludf.DUMMYFUNCTION("GOOGLETRANSLATE(A3771,""en"",""hy"")"),"Ո՞ր շրջանում է գտնվում Օրլանդո Ֆլը:")</f>
        <v>Ո՞ր շրջանում է գտնվում Օրլանդո Ֆլը:</v>
      </c>
      <c r="D3771" s="3" t="str">
        <f>IFERROR(__xludf.DUMMYFUNCTION("GOOGLETRANSLATE(B3771,""en"",""hy"")"),"Օռլանդոն, Ֆլորիդա, Օրենջ շրջան է։")</f>
        <v>Օռլանդոն, Ֆլորիդա, Օրենջ շրջան է։</v>
      </c>
    </row>
    <row r="3772">
      <c r="A3772" s="1" t="s">
        <v>7427</v>
      </c>
      <c r="B3772" s="2" t="s">
        <v>7428</v>
      </c>
      <c r="C3772" s="3" t="str">
        <f>IFERROR(__xludf.DUMMYFUNCTION("GOOGLETRANSLATE(A3772,""en"",""hy"")"),"ի՞նչ երաժշտություն է արել Ռոբերտ Պատինսոնը մթնշաղի համար:")</f>
        <v>ի՞նչ երաժշտություն է արել Ռոբերտ Պատինսոնը մթնշաղի համար:</v>
      </c>
      <c r="D3772" s="3" t="str">
        <f>IFERROR(__xludf.DUMMYFUNCTION("GOOGLETRANSLATE(B3772,""en"",""hy"")"),"Ռոբերտ Փաթինսոնը ներդրում է ունեցել «Մթնշաղի» սաունդթրեքում՝ «Never Think» երգով։")</f>
        <v>Ռոբերտ Փաթինսոնը ներդրում է ունեցել «Մթնշաղի» սաունդթրեքում՝ «Never Think» երգով։</v>
      </c>
    </row>
    <row r="3773">
      <c r="A3773" s="1" t="s">
        <v>7429</v>
      </c>
      <c r="B3773" s="2" t="s">
        <v>7430</v>
      </c>
      <c r="C3773" s="3" t="str">
        <f>IFERROR(__xludf.DUMMYFUNCTION("GOOGLETRANSLATE(A3773,""en"",""hy"")"),"ինչպիսի՞ կառավարություն է Ֆիլիպինները:")</f>
        <v>ինչպիսի՞ կառավարություն է Ֆիլիպինները:</v>
      </c>
      <c r="D3773" s="3" t="str">
        <f>IFERROR(__xludf.DUMMYFUNCTION("GOOGLETRANSLATE(B3773,""en"",""hy"")"),"Ֆիլիպիններն ունեն նախագահական ժողովրդավարական հանրապետության կառավարման ձև:")</f>
        <v>Ֆիլիպիններն ունեն նախագահական ժողովրդավարական հանրապետության կառավարման ձև:</v>
      </c>
    </row>
    <row r="3774">
      <c r="A3774" s="1" t="s">
        <v>7431</v>
      </c>
      <c r="B3774" s="2" t="s">
        <v>7432</v>
      </c>
      <c r="C3774" s="3" t="str">
        <f>IFERROR(__xludf.DUMMYFUNCTION("GOOGLETRANSLATE(A3774,""en"",""hy"")"),"ինչ եք անվանում ռուսական արժույթ")</f>
        <v>ինչ եք անվանում ռուսական արժույթ</v>
      </c>
      <c r="D3774" s="3" t="str">
        <f>IFERROR(__xludf.DUMMYFUNCTION("GOOGLETRANSLATE(B3774,""en"",""hy"")"),"Ռուսական արժույթը կոչվում է ռուսական ռուբլի:")</f>
        <v>Ռուսական արժույթը կոչվում է ռուսական ռուբլի:</v>
      </c>
    </row>
    <row r="3775">
      <c r="A3775" s="1" t="s">
        <v>7433</v>
      </c>
      <c r="B3775" s="2" t="s">
        <v>7434</v>
      </c>
      <c r="C3775" s="3" t="str">
        <f>IFERROR(__xludf.DUMMYFUNCTION("GOOGLETRANSLATE(A3775,""en"",""hy"")"),"որտեղ էր ապրում սըր Դոնալդ Բրեդմանը")</f>
        <v>որտեղ էր ապրում սըր Դոնալդ Բրեդմանը</v>
      </c>
      <c r="D3775" s="3" t="str">
        <f>IFERROR(__xludf.DUMMYFUNCTION("GOOGLETRANSLATE(B3775,""en"",""hy"")"),"Սըր Դոնալդ Բրեդմանը ապրում էր Հարավային Ավստրալիայի Ադելաիդայում:")</f>
        <v>Սըր Դոնալդ Բրեդմանը ապրում էր Հարավային Ավստրալիայի Ադելաիդայում:</v>
      </c>
    </row>
    <row r="3776">
      <c r="A3776" s="1" t="s">
        <v>7435</v>
      </c>
      <c r="B3776" s="2" t="s">
        <v>7436</v>
      </c>
      <c r="C3776" s="3" t="str">
        <f>IFERROR(__xludf.DUMMYFUNCTION("GOOGLETRANSLATE(A3776,""en"",""hy"")"),"որո՞նք են պարտավորության տոները կաթոլիկ եկեղեցում 2013 թ.")</f>
        <v>որո՞նք են պարտավորության տոները կաթոլիկ եկեղեցում 2013 թ.</v>
      </c>
      <c r="D3776" s="3" t="str">
        <f>IFERROR(__xludf.DUMMYFUNCTION("GOOGLETRANSLATE(B3776,""en"",""hy"")"),"2013 թվականի կաթոլիկ եկեղեցում պարտավորության տոներն են.
1. Հունվարի 1 - Մարիամի, Աստվածածնի հանդիսավոր արարողություն
2. Օգոստոսի 15 - Սուրբ Աստվածածնի Վերափոխում
3. Նոյեմբերի 1 - Բոլոր սրբերի տոնը
4. Դեկտեմբերի 8 - Սուրբ Մարիամ Աստվածածնի անարատ հղիությ"&amp;"ուն
5. Դեկտեմբերի 25 - Սուրբ Ծնունդ")</f>
        <v>2013 թվականի կաթոլիկ եկեղեցում պարտավորության տոներն են.
1. Հունվարի 1 - Մարիամի, Աստվածածնի հանդիսավոր արարողություն
2. Օգոստոսի 15 - Սուրբ Աստվածածնի Վերափոխում
3. Նոյեմբերի 1 - Բոլոր սրբերի տոնը
4. Դեկտեմբերի 8 - Սուրբ Մարիամ Աստվածածնի անարատ հղիություն
5. Դեկտեմբերի 25 - Սուրբ Ծնունդ</v>
      </c>
    </row>
    <row r="3777">
      <c r="A3777" s="1" t="s">
        <v>7437</v>
      </c>
      <c r="B3777" s="2" t="s">
        <v>7438</v>
      </c>
      <c r="C3777" s="3" t="str">
        <f>IFERROR(__xludf.DUMMYFUNCTION("GOOGLETRANSLATE(A3777,""en"",""hy"")"),"ինչ է բրոնկոսի թալիսման անունը:")</f>
        <v>ինչ է բրոնկոսի թալիսման անունը:</v>
      </c>
      <c r="D3777" s="3" t="str">
        <f>IFERROR(__xludf.DUMMYFUNCTION("GOOGLETRANSLATE(B3777,""en"",""hy"")"),"Բրոնկոսի թալիսմանի անունը Մայլս է։")</f>
        <v>Բրոնկոսի թալիսմանի անունը Մայլս է։</v>
      </c>
    </row>
    <row r="3778">
      <c r="A3778" s="1" t="s">
        <v>7439</v>
      </c>
      <c r="B3778" s="2" t="s">
        <v>7440</v>
      </c>
      <c r="C3778" s="3" t="str">
        <f>IFERROR(__xludf.DUMMYFUNCTION("GOOGLETRANSLATE(A3778,""en"",""hy"")"),"ինչի՞ պատճառ դարձավ 1998 թվականի Ռուսաստանի ֆինանսական ճգնաժամը:")</f>
        <v>ինչի՞ պատճառ դարձավ 1998 թվականի Ռուսաստանի ֆինանսական ճգնաժամը:</v>
      </c>
      <c r="D3778" s="3" t="str">
        <f>IFERROR(__xludf.DUMMYFUNCTION("GOOGLETRANSLATE(B3778,""en"",""hy"")"),"1998 թվականի Ռուսաստանի ֆինանսական ճգնաժամը պայմանավորված էր գործոնների համակցությամբ, այդ թվում՝ կառավարության չափից ավելի փոխառություններն ու ծախսերը, նավթի համաշխարհային գների կտրուկ անկումը և Ռուսաստանի տնտեսության նկատմամբ ներդրողների վստահության կոր"&amp;"ուստը:")</f>
        <v>1998 թվականի Ռուսաստանի ֆինանսական ճգնաժամը պայմանավորված էր գործոնների համակցությամբ, այդ թվում՝ կառավարության չափից ավելի փոխառություններն ու ծախսերը, նավթի համաշխարհային գների կտրուկ անկումը և Ռուսաստանի տնտեսության նկատմամբ ներդրողների վստահության կորուստը:</v>
      </c>
    </row>
    <row r="3779">
      <c r="A3779" s="1" t="s">
        <v>7441</v>
      </c>
      <c r="B3779" s="2" t="s">
        <v>7442</v>
      </c>
      <c r="C3779" s="3" t="str">
        <f>IFERROR(__xludf.DUMMYFUNCTION("GOOGLETRANSLATE(A3779,""en"",""hy"")"),"ինչպիսի՞ իշխանություն ունենք մենք.")</f>
        <v>ինչպիսի՞ իշխանություն ունենք մենք.</v>
      </c>
      <c r="D3779" s="3" t="str">
        <f>IFERROR(__xludf.DUMMYFUNCTION("GOOGLETRANSLATE(B3779,""en"",""hy"")"),"ԱՄՆ-ն ունի ժողովրդավարական կառավարություն.")</f>
        <v>ԱՄՆ-ն ունի ժողովրդավարական կառավարություն.</v>
      </c>
    </row>
    <row r="3780">
      <c r="A3780" s="1" t="s">
        <v>7443</v>
      </c>
      <c r="B3780" s="2" t="s">
        <v>7444</v>
      </c>
      <c r="C3780" s="3" t="str">
        <f>IFERROR(__xludf.DUMMYFUNCTION("GOOGLETRANSLATE(A3780,""en"",""hy"")"),"Ո՞վ է գրել «1984» վեպը։")</f>
        <v>Ո՞վ է գրել «1984» վեպը։</v>
      </c>
      <c r="D3780" s="3" t="str">
        <f>IFERROR(__xludf.DUMMYFUNCTION("GOOGLETRANSLATE(B3780,""en"",""hy"")"),"Ջորջ Օրուել.")</f>
        <v>Ջորջ Օրուել.</v>
      </c>
    </row>
    <row r="3781">
      <c r="A3781" s="5" t="s">
        <v>7445</v>
      </c>
      <c r="B3781" s="5" t="s">
        <v>7446</v>
      </c>
      <c r="C3781" s="5" t="str">
        <f>IFERROR(__xludf.DUMMYFUNCTION("GOOGLETRANSLATE(A3781,""en"",""hy"")"),"Ո՞ր մոլորակն է հայտնի որպես կարմիր մոլորակ:")</f>
        <v>Ո՞ր մոլորակն է հայտնի որպես կարմիր մոլորակ:</v>
      </c>
      <c r="D3781" s="6" t="str">
        <f>IFERROR(__xludf.DUMMYFUNCTION("GOOGLETRANSLATE(B3781,""en"",""hy"")"),"Մարս.")</f>
        <v>Մարս.</v>
      </c>
    </row>
    <row r="3782">
      <c r="A3782" s="5" t="s">
        <v>7447</v>
      </c>
      <c r="B3782" s="5" t="s">
        <v>7448</v>
      </c>
      <c r="C3782" s="5" t="str">
        <f>IFERROR(__xludf.DUMMYFUNCTION("GOOGLETRANSLATE(A3782,""en"",""hy"")"),"Ո՞վ է նկարել Մոնա Լիզան:")</f>
        <v>Ո՞վ է նկարել Մոնա Լիզան:</v>
      </c>
      <c r="D3782" s="6" t="str">
        <f>IFERROR(__xludf.DUMMYFUNCTION("GOOGLETRANSLATE(B3782,""en"",""hy"")"),"Լեոնարդո դա Վինչի.")</f>
        <v>Լեոնարդո դա Վինչի.</v>
      </c>
    </row>
    <row r="3783">
      <c r="A3783" s="5" t="s">
        <v>7449</v>
      </c>
      <c r="B3783" s="5" t="s">
        <v>7343</v>
      </c>
      <c r="C3783" s="5" t="str">
        <f>IFERROR(__xludf.DUMMYFUNCTION("GOOGLETRANSLATE(A3783,""en"",""hy"")"),"Ո՞րն է աշխարհի ամենամեծ երկիրը ցամաքային տարածքով:")</f>
        <v>Ո՞րն է աշխարհի ամենամեծ երկիրը ցամաքային տարածքով:</v>
      </c>
      <c r="D3783" s="6" t="str">
        <f>IFERROR(__xludf.DUMMYFUNCTION("GOOGLETRANSLATE(B3783,""en"",""hy"")"),"Ռուսաստան.")</f>
        <v>Ռուսաստան.</v>
      </c>
    </row>
    <row r="3784">
      <c r="A3784" s="5" t="s">
        <v>7450</v>
      </c>
      <c r="B3784" s="5" t="s">
        <v>7451</v>
      </c>
      <c r="C3784" s="5" t="str">
        <f>IFERROR(__xludf.DUMMYFUNCTION("GOOGLETRANSLATE(A3784,""en"",""hy"")"),"Ո՞րն է Ավստրալիայի մայրաքաղաքը:")</f>
        <v>Ո՞րն է Ավստրալիայի մայրաքաղաքը:</v>
      </c>
      <c r="D3784" s="6" t="str">
        <f>IFERROR(__xludf.DUMMYFUNCTION("GOOGLETRANSLATE(B3784,""en"",""hy"")"),"Կանբերա.")</f>
        <v>Կանբերա.</v>
      </c>
    </row>
    <row r="3785">
      <c r="A3785" s="5" t="s">
        <v>7452</v>
      </c>
      <c r="B3785" s="5" t="s">
        <v>7453</v>
      </c>
      <c r="C3785" s="5" t="str">
        <f>IFERROR(__xludf.DUMMYFUNCTION("GOOGLETRANSLATE(A3785,""en"",""hy"")"),"Ո՞րն է ոսկու քիմիական նշանը:")</f>
        <v>Ո՞րն է ոսկու քիմիական նշանը:</v>
      </c>
      <c r="D3785" s="6" t="str">
        <f>IFERROR(__xludf.DUMMYFUNCTION("GOOGLETRANSLATE(B3785,""en"",""hy"")"),"Ոսկու քիմիական նշանը Au-ն է:")</f>
        <v>Ոսկու քիմիական նշանը Au-ն է:</v>
      </c>
    </row>
    <row r="3786">
      <c r="A3786" s="5" t="s">
        <v>7454</v>
      </c>
      <c r="B3786" s="5" t="s">
        <v>1016</v>
      </c>
      <c r="C3786" s="5" t="str">
        <f>IFERROR(__xludf.DUMMYFUNCTION("GOOGLETRANSLATE(A3786,""en"",""hy"")"),"Ո՞վ է գրել Ռոմեո և Ջուլիետ պիեսը:")</f>
        <v>Ո՞վ է գրել Ռոմեո և Ջուլիետ պիեսը:</v>
      </c>
      <c r="D3786" s="6" t="str">
        <f>IFERROR(__xludf.DUMMYFUNCTION("GOOGLETRANSLATE(B3786,""en"",""hy"")"),"Ուիլյամ Շեքսպիր.")</f>
        <v>Ուիլյամ Շեքսպիր.</v>
      </c>
    </row>
    <row r="3787">
      <c r="A3787" s="5" t="s">
        <v>7455</v>
      </c>
      <c r="B3787" s="5" t="s">
        <v>7456</v>
      </c>
      <c r="C3787" s="5" t="str">
        <f>IFERROR(__xludf.DUMMYFUNCTION("GOOGLETRANSLATE(A3787,""en"",""hy"")"),"Ո՞րն է աշխարհի ամենամեծ օվկիանոսը:")</f>
        <v>Ո՞րն է աշխարհի ամենամեծ օվկիանոսը:</v>
      </c>
      <c r="D3787" s="6" t="str">
        <f>IFERROR(__xludf.DUMMYFUNCTION("GOOGLETRANSLATE(B3787,""en"",""hy"")"),"Խաղաղ Օվկիանոս.")</f>
        <v>Խաղաղ Օվկիանոս.</v>
      </c>
    </row>
    <row r="3788">
      <c r="A3788" s="5" t="s">
        <v>7457</v>
      </c>
      <c r="B3788" s="5" t="s">
        <v>7458</v>
      </c>
      <c r="C3788" s="5" t="str">
        <f>IFERROR(__xludf.DUMMYFUNCTION("GOOGLETRANSLATE(A3788,""en"",""hy"")"),"Ո՞վ է եղել Միացյալ Նահանգների առաջին նախագահը:")</f>
        <v>Ո՞վ է եղել Միացյալ Նահանգների առաջին նախագահը:</v>
      </c>
      <c r="D3788" s="6" t="str">
        <f>IFERROR(__xludf.DUMMYFUNCTION("GOOGLETRANSLATE(B3788,""en"",""hy"")"),"Ջորջ Վաշինգտոն.")</f>
        <v>Ջորջ Վաշինգտոն.</v>
      </c>
    </row>
    <row r="3789">
      <c r="A3789" s="5" t="s">
        <v>7459</v>
      </c>
      <c r="B3789" s="5" t="s">
        <v>7460</v>
      </c>
      <c r="C3789" s="5" t="str">
        <f>IFERROR(__xludf.DUMMYFUNCTION("GOOGLETRANSLATE(A3789,""en"",""hy"")"),"Քանի՞ անգամ է Երկիրը պտտվում իր առանցքի շուրջ 24 ժամում:")</f>
        <v>Քանի՞ անգամ է Երկիրը պտտվում իր առանցքի շուրջ 24 ժամում:</v>
      </c>
      <c r="D3789" s="6" t="str">
        <f>IFERROR(__xludf.DUMMYFUNCTION("GOOGLETRANSLATE(B3789,""en"",""hy"")"),"Երկիրն իր առանցքի շուրջ պտտվում է 24 ժամում մեկ անգամ։")</f>
        <v>Երկիրն իր առանցքի շուրջ պտտվում է 24 ժամում մեկ անգամ։</v>
      </c>
    </row>
    <row r="3790">
      <c r="A3790" s="5" t="s">
        <v>7461</v>
      </c>
      <c r="B3790" s="5" t="s">
        <v>7462</v>
      </c>
      <c r="C3790" s="5" t="str">
        <f>IFERROR(__xludf.DUMMYFUNCTION("GOOGLETRANSLATE(A3790,""en"",""hy"")"),"Ո՞րն է մարդու մարմնի ամենամեծ օրգանը:")</f>
        <v>Ո՞րն է մարդու մարմնի ամենամեծ օրգանը:</v>
      </c>
      <c r="D3790" s="6" t="str">
        <f>IFERROR(__xludf.DUMMYFUNCTION("GOOGLETRANSLATE(B3790,""en"",""hy"")"),"Մաշկը.")</f>
        <v>Մաշկը.</v>
      </c>
    </row>
    <row r="3791">
      <c r="A3791" s="5" t="s">
        <v>7463</v>
      </c>
      <c r="B3791" s="5" t="s">
        <v>7464</v>
      </c>
      <c r="C3791" s="5" t="str">
        <f>IFERROR(__xludf.DUMMYFUNCTION("GOOGLETRANSLATE(A3791,""en"",""hy"")"),"Ո՞րն է աշխարհի ամենաբարձր լեռը:")</f>
        <v>Ո՞րն է աշխարհի ամենաբարձր լեռը:</v>
      </c>
      <c r="D3791" s="6" t="str">
        <f>IFERROR(__xludf.DUMMYFUNCTION("GOOGLETRANSLATE(B3791,""en"",""hy"")"),"Էվերեստ լեռ.")</f>
        <v>Էվերեստ լեռ.</v>
      </c>
    </row>
    <row r="3792">
      <c r="A3792" s="5" t="s">
        <v>7465</v>
      </c>
      <c r="B3792" s="5" t="s">
        <v>7466</v>
      </c>
      <c r="C3792" s="5" t="str">
        <f>IFERROR(__xludf.DUMMYFUNCTION("GOOGLETRANSLATE(A3792,""en"",""hy"")"),"Ո՞վ է գրել «Հպարտություն և նախապաշարմունք» վեպը:")</f>
        <v>Ո՞վ է գրել «Հպարտություն և նախապաշարմունք» վեպը:</v>
      </c>
      <c r="D3792" s="6" t="str">
        <f>IFERROR(__xludf.DUMMYFUNCTION("GOOGLETRANSLATE(B3792,""en"",""hy"")"),"Ջեյն Օսթին")</f>
        <v>Ջեյն Օսթին</v>
      </c>
    </row>
    <row r="3793">
      <c r="A3793" s="5" t="s">
        <v>7467</v>
      </c>
      <c r="B3793" s="5" t="s">
        <v>7468</v>
      </c>
      <c r="C3793" s="5" t="str">
        <f>IFERROR(__xludf.DUMMYFUNCTION("GOOGLETRANSLATE(A3793,""en"",""hy"")"),"Ո՞րն է Ճապոնիայի արժույթը:")</f>
        <v>Ո՞րն է Ճապոնիայի արժույթը:</v>
      </c>
      <c r="D3793" s="6" t="str">
        <f>IFERROR(__xludf.DUMMYFUNCTION("GOOGLETRANSLATE(B3793,""en"",""hy"")"),"Ճապոնիայի արժույթը ճապոնական իենն է։")</f>
        <v>Ճապոնիայի արժույթը ճապոնական իենն է։</v>
      </c>
    </row>
    <row r="3794">
      <c r="A3794" s="5" t="s">
        <v>7469</v>
      </c>
      <c r="B3794" s="5" t="s">
        <v>7470</v>
      </c>
      <c r="C3794" s="5" t="str">
        <f>IFERROR(__xludf.DUMMYFUNCTION("GOOGLETRANSLATE(A3794,""en"",""hy"")"),"Ո՞ր տարում ավարտվեց Երկրորդ համաշխարհային պատերազմը:")</f>
        <v>Ո՞ր տարում ավարտվեց Երկրորդ համաշխարհային պատերազմը:</v>
      </c>
      <c r="D3794" s="6" t="str">
        <f>IFERROR(__xludf.DUMMYFUNCTION("GOOGLETRANSLATE(B3794,""en"",""hy"")"),"Երկրորդ համաշխարհային պատերազմն ավարտվեց 1945 թվականին։")</f>
        <v>Երկրորդ համաշխարհային պատերազմն ավարտվեց 1945 թվականին։</v>
      </c>
    </row>
    <row r="3795">
      <c r="A3795" s="5" t="s">
        <v>7471</v>
      </c>
      <c r="B3795" s="5" t="s">
        <v>7472</v>
      </c>
      <c r="C3795" s="5" t="str">
        <f>IFERROR(__xludf.DUMMYFUNCTION("GOOGLETRANSLATE(A3795,""en"",""hy"")"),"Ո՞րն է Երկրի ամենամեծ կենդանին:")</f>
        <v>Ո՞րն է Երկրի ամենամեծ կենդանին:</v>
      </c>
      <c r="D3795" s="6" t="str">
        <f>IFERROR(__xludf.DUMMYFUNCTION("GOOGLETRANSLATE(B3795,""en"",""hy"")"),"Կապույտ կետը.")</f>
        <v>Կապույտ կետը.</v>
      </c>
    </row>
    <row r="3796">
      <c r="A3796" s="5" t="s">
        <v>7473</v>
      </c>
      <c r="B3796" s="5" t="s">
        <v>7474</v>
      </c>
      <c r="C3796" s="5" t="str">
        <f>IFERROR(__xludf.DUMMYFUNCTION("GOOGLETRANSLATE(A3796,""en"",""hy"")"),"Ո՞վ է նկարել Սիքստինյան կապելլայի առաստաղը:")</f>
        <v>Ո՞վ է նկարել Սիքստինյան կապելլայի առաստաղը:</v>
      </c>
      <c r="D3796" s="6" t="str">
        <f>IFERROR(__xludf.DUMMYFUNCTION("GOOGLETRANSLATE(B3796,""en"",""hy"")"),"Միքելանջելո.")</f>
        <v>Միքելանջելո.</v>
      </c>
    </row>
    <row r="3797">
      <c r="A3797" s="5" t="s">
        <v>7475</v>
      </c>
      <c r="B3797" s="5" t="s">
        <v>7476</v>
      </c>
      <c r="C3797" s="5" t="str">
        <f>IFERROR(__xludf.DUMMYFUNCTION("GOOGLETRANSLATE(A3797,""en"",""hy"")"),"Որքա՞ն է ջրի եռման կետը Ցելսիուսի աստիճանով:")</f>
        <v>Որքա՞ն է ջրի եռման կետը Ցելսիուսի աստիճանով:</v>
      </c>
      <c r="D3797" s="6" t="str">
        <f>IFERROR(__xludf.DUMMYFUNCTION("GOOGLETRANSLATE(B3797,""en"",""hy"")"),"100 աստիճան Ցելսիուս։")</f>
        <v>100 աստիճան Ցելսիուս։</v>
      </c>
    </row>
    <row r="3798">
      <c r="A3798" s="5" t="s">
        <v>7477</v>
      </c>
      <c r="B3798" s="5" t="s">
        <v>7478</v>
      </c>
      <c r="C3798" s="5" t="str">
        <f>IFERROR(__xludf.DUMMYFUNCTION("GOOGLETRANSLATE(A3798,""en"",""hy"")"),"Ո՞ր երկիրն է հայտնի որպես «Ծագող արևի երկիր»:")</f>
        <v>Ո՞ր երկիրն է հայտնի որպես «Ծագող արևի երկիր»:</v>
      </c>
      <c r="D3798" s="6" t="str">
        <f>IFERROR(__xludf.DUMMYFUNCTION("GOOGLETRANSLATE(B3798,""en"",""hy"")"),"Ճապոնիա.")</f>
        <v>Ճապոնիա.</v>
      </c>
    </row>
    <row r="3799">
      <c r="A3799" s="5" t="s">
        <v>7479</v>
      </c>
      <c r="B3799" s="5" t="s">
        <v>1996</v>
      </c>
      <c r="C3799" s="5" t="str">
        <f>IFERROR(__xludf.DUMMYFUNCTION("GOOGLETRANSLATE(A3799,""en"",""hy"")"),"Ո՞վ է Միացյալ Թագավորության ներկայիս վարչապետը:")</f>
        <v>Ո՞վ է Միացյալ Թագավորության ներկայիս վարչապետը:</v>
      </c>
      <c r="D3799" s="6" t="str">
        <f>IFERROR(__xludf.DUMMYFUNCTION("GOOGLETRANSLATE(B3799,""en"",""hy"")"),"Բորիս Ջոնսոն.")</f>
        <v>Բորիս Ջոնսոն.</v>
      </c>
    </row>
    <row r="3800">
      <c r="A3800" s="5" t="s">
        <v>7480</v>
      </c>
      <c r="B3800" s="5" t="s">
        <v>7481</v>
      </c>
      <c r="C3800" s="5" t="str">
        <f>IFERROR(__xludf.DUMMYFUNCTION("GOOGLETRANSLATE(A3800,""en"",""hy"")"),"Ո՞րն է Միացյալ Նահանգների ազգային թռչունը:")</f>
        <v>Ո՞րն է Միացյալ Նահանգների ազգային թռչունը:</v>
      </c>
      <c r="D3800" s="6" t="str">
        <f>IFERROR(__xludf.DUMMYFUNCTION("GOOGLETRANSLATE(B3800,""en"",""hy"")"),"Միացյալ Նահանգների ազգային թռչունը ճաղատ արծիվն է։")</f>
        <v>Միացյալ Նահանգների ազգային թռչունը ճաղատ արծիվն է։</v>
      </c>
    </row>
    <row r="3801">
      <c r="A3801" s="5" t="s">
        <v>7482</v>
      </c>
      <c r="B3801" s="5" t="s">
        <v>6334</v>
      </c>
      <c r="C3801" s="5" t="str">
        <f>IFERROR(__xludf.DUMMYFUNCTION("GOOGLETRANSLATE(A3801,""en"",""hy"")"),"Ո՞ր երկիրն է հորինել պիցցան:")</f>
        <v>Ո՞ր երկիրն է հորինել պիցցան:</v>
      </c>
      <c r="D3801" s="6" t="str">
        <f>IFERROR(__xludf.DUMMYFUNCTION("GOOGLETRANSLATE(B3801,""en"",""hy"")"),"Իտալիա.")</f>
        <v>Իտալիա.</v>
      </c>
    </row>
    <row r="3802">
      <c r="A3802" s="5" t="s">
        <v>7483</v>
      </c>
      <c r="B3802" s="5" t="s">
        <v>7484</v>
      </c>
      <c r="C3802" s="5" t="str">
        <f>IFERROR(__xludf.DUMMYFUNCTION("GOOGLETRANSLATE(A3802,""en"",""hy"")"),"Ո՞րն է ջրի քիմիական բանաձևը:")</f>
        <v>Ո՞րն է ջրի քիմիական բանաձևը:</v>
      </c>
      <c r="D3802" s="6" t="str">
        <f>IFERROR(__xludf.DUMMYFUNCTION("GOOGLETRANSLATE(B3802,""en"",""hy"")"),"H2O.")</f>
        <v>H2O.</v>
      </c>
    </row>
    <row r="3803">
      <c r="A3803" s="5" t="s">
        <v>7485</v>
      </c>
      <c r="B3803" s="5" t="s">
        <v>7486</v>
      </c>
      <c r="C3803" s="5" t="str">
        <f>IFERROR(__xludf.DUMMYFUNCTION("GOOGLETRANSLATE(A3803,""en"",""hy"")"),"Ո՞վ է Հարի Փոթերի շարքի հեղինակը:")</f>
        <v>Ո՞վ է Հարի Փոթերի շարքի հեղինակը:</v>
      </c>
      <c r="D3803" s="6" t="str">
        <f>IFERROR(__xludf.DUMMYFUNCTION("GOOGLETRANSLATE(B3803,""en"",""hy"")"),"Ջ.Կ. Ռոուլինգ.")</f>
        <v>Ջ.Կ. Ռոուլինգ.</v>
      </c>
    </row>
    <row r="3804">
      <c r="A3804" s="5" t="s">
        <v>7487</v>
      </c>
      <c r="B3804" s="5" t="s">
        <v>7488</v>
      </c>
      <c r="C3804" s="5" t="str">
        <f>IFERROR(__xludf.DUMMYFUNCTION("GOOGLETRANSLATE(A3804,""en"",""hy"")"),"Ո՞ր քաղաքում է գտնվում հայտնի Թաջ Մահալը:")</f>
        <v>Ո՞ր քաղաքում է գտնվում հայտնի Թաջ Մահալը:</v>
      </c>
      <c r="D3804" s="6" t="str">
        <f>IFERROR(__xludf.DUMMYFUNCTION("GOOGLETRANSLATE(B3804,""en"",""hy"")"),"Ագրա")</f>
        <v>Ագրա</v>
      </c>
    </row>
    <row r="3805">
      <c r="A3805" s="5" t="s">
        <v>7489</v>
      </c>
      <c r="B3805" s="5" t="s">
        <v>7490</v>
      </c>
      <c r="C3805" s="5" t="str">
        <f>IFERROR(__xludf.DUMMYFUNCTION("GOOGLETRANSLATE(A3805,""en"",""hy"")"),"Ո՞րն է աշխարհի ամենաբարձր շենքը:")</f>
        <v>Ո՞րն է աշխարհի ամենաբարձր շենքը:</v>
      </c>
      <c r="D3805" s="6" t="str">
        <f>IFERROR(__xludf.DUMMYFUNCTION("GOOGLETRANSLATE(B3805,""en"",""hy"")"),"Աշխարհի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3806">
      <c r="A3806" s="5" t="s">
        <v>7491</v>
      </c>
      <c r="B3806" s="5" t="s">
        <v>7492</v>
      </c>
      <c r="C3806" s="5" t="str">
        <f>IFERROR(__xludf.DUMMYFUNCTION("GOOGLETRANSLATE(A3806,""en"",""hy"")"),"Ո՞վ է նկարել Աստղային գիշերը:")</f>
        <v>Ո՞վ է նկարել Աստղային գիշերը:</v>
      </c>
      <c r="D3806" s="6" t="str">
        <f>IFERROR(__xludf.DUMMYFUNCTION("GOOGLETRANSLATE(B3806,""en"",""hy"")"),"Վինսենթ վան Գոգ")</f>
        <v>Վինսենթ վան Գոգ</v>
      </c>
    </row>
    <row r="3807">
      <c r="A3807" s="5" t="s">
        <v>7493</v>
      </c>
      <c r="B3807" s="5" t="s">
        <v>7494</v>
      </c>
      <c r="C3807" s="5" t="str">
        <f>IFERROR(__xludf.DUMMYFUNCTION("GOOGLETRANSLATE(A3807,""en"",""hy"")"),"Քանի՞ տարր կա պարբերական աղյուսակում:")</f>
        <v>Քանի՞ տարր կա պարբերական աղյուսակում:</v>
      </c>
      <c r="D3807" s="6" t="str">
        <f>IFERROR(__xludf.DUMMYFUNCTION("GOOGLETRANSLATE(B3807,""en"",""hy"")"),"Պարբերական աղյուսակում կա 118 տարր։")</f>
        <v>Պարբերական աղյուսակում կա 118 տարր։</v>
      </c>
    </row>
    <row r="3808">
      <c r="A3808" s="5" t="s">
        <v>7495</v>
      </c>
      <c r="B3808" s="5" t="s">
        <v>7496</v>
      </c>
      <c r="C3808" s="5" t="str">
        <f>IFERROR(__xludf.DUMMYFUNCTION("GOOGLETRANSLATE(A3808,""en"",""hy"")"),"Ո՞ր մոլորակն է հայտնի իր բազմաթիվ օղակներով:")</f>
        <v>Ո՞ր մոլորակն է հայտնի իր բազմաթիվ օղակներով:</v>
      </c>
      <c r="D3808" s="6" t="str">
        <f>IFERROR(__xludf.DUMMYFUNCTION("GOOGLETRANSLATE(B3808,""en"",""hy"")"),"Սատուրն.")</f>
        <v>Սատուրն.</v>
      </c>
    </row>
    <row r="3809">
      <c r="A3809" s="5" t="s">
        <v>7497</v>
      </c>
      <c r="B3809" s="5" t="s">
        <v>1299</v>
      </c>
      <c r="C3809" s="5" t="str">
        <f>IFERROR(__xludf.DUMMYFUNCTION("GOOGLETRANSLATE(A3809,""en"",""hy"")"),"Ո՞րն է աշխարհի ամենամեծ մայրցամաքը:")</f>
        <v>Ո՞րն է աշխարհի ամենամեծ մայրցամաքը:</v>
      </c>
      <c r="D3809" s="6" t="str">
        <f>IFERROR(__xludf.DUMMYFUNCTION("GOOGLETRANSLATE(B3809,""en"",""hy"")"),"Ասիա.")</f>
        <v>Ասիա.</v>
      </c>
    </row>
    <row r="3810">
      <c r="A3810" s="5" t="s">
        <v>7498</v>
      </c>
      <c r="B3810" s="5" t="s">
        <v>7499</v>
      </c>
      <c r="C3810" s="5" t="str">
        <f>IFERROR(__xludf.DUMMYFUNCTION("GOOGLETRANSLATE(A3810,""en"",""hy"")"),"Ո՞վ էր հարաբերականության տեսությունը հայտնագործած հայտնի գիտնականը:")</f>
        <v>Ո՞վ էր հարաբերականության տեսությունը հայտնագործած հայտնի գիտնականը:</v>
      </c>
      <c r="D3810" s="6" t="str">
        <f>IFERROR(__xludf.DUMMYFUNCTION("GOOGLETRANSLATE(B3810,""en"",""hy"")"),"Albert Einstein")</f>
        <v>Albert Einstein</v>
      </c>
    </row>
    <row r="3811">
      <c r="A3811" s="5" t="s">
        <v>7500</v>
      </c>
      <c r="B3811" s="5" t="s">
        <v>7501</v>
      </c>
      <c r="C3811" s="5" t="str">
        <f>IFERROR(__xludf.DUMMYFUNCTION("GOOGLETRANSLATE(A3811,""en"",""hy"")"),"Ո՞րն է Ֆրանսիայի մայրաքաղաքը:")</f>
        <v>Ո՞րն է Ֆրանսիայի մայրաքաղաքը:</v>
      </c>
      <c r="D3811" s="6" t="str">
        <f>IFERROR(__xludf.DUMMYFUNCTION("GOOGLETRANSLATE(B3811,""en"",""hy"")"),"Փարիզ.")</f>
        <v>Փարիզ.</v>
      </c>
    </row>
    <row r="3812">
      <c r="A3812" s="5" t="s">
        <v>7502</v>
      </c>
      <c r="B3812" s="5" t="s">
        <v>7503</v>
      </c>
      <c r="C3812" s="5" t="str">
        <f>IFERROR(__xludf.DUMMYFUNCTION("GOOGLETRANSLATE(A3812,""en"",""hy"")"),"Քանի՞ կողմ ունի վեցանկյունը:")</f>
        <v>Քանի՞ կողմ ունի վեցանկյունը:</v>
      </c>
      <c r="D3812" s="6" t="str">
        <f>IFERROR(__xludf.DUMMYFUNCTION("GOOGLETRANSLATE(B3812,""en"",""hy"")"),"Վեցանկյունն ունի վեց կողմ:")</f>
        <v>Վեցանկյունն ունի վեց կողմ:</v>
      </c>
    </row>
    <row r="3813">
      <c r="A3813" s="5" t="s">
        <v>7504</v>
      </c>
      <c r="B3813" s="5" t="s">
        <v>7505</v>
      </c>
      <c r="C3813" s="5" t="str">
        <f>IFERROR(__xludf.DUMMYFUNCTION("GOOGLETRANSLATE(A3813,""en"",""hy"")"),"Ո՞վ է Միացյալ Նահանգների ներկայիս նախագահը:")</f>
        <v>Ո՞վ է Միացյալ Նահանգների ներկայիս նախագահը:</v>
      </c>
      <c r="D3813" s="6" t="str">
        <f>IFERROR(__xludf.DUMMYFUNCTION("GOOGLETRANSLATE(B3813,""en"",""hy"")"),"Ջո Բայդեն.")</f>
        <v>Ջո Բայդեն.</v>
      </c>
    </row>
    <row r="3814">
      <c r="A3814" s="5" t="s">
        <v>7506</v>
      </c>
      <c r="B3814" s="5" t="s">
        <v>7507</v>
      </c>
      <c r="C3814" s="5" t="str">
        <f>IFERROR(__xludf.DUMMYFUNCTION("GOOGLETRANSLATE(A3814,""en"",""hy"")"),"Ո՞րն է աշխարհի ամենափոքր երկիրը:")</f>
        <v>Ո՞րն է աշխարհի ամենափոքր երկիրը:</v>
      </c>
      <c r="D3814" s="6" t="str">
        <f>IFERROR(__xludf.DUMMYFUNCTION("GOOGLETRANSLATE(B3814,""en"",""hy"")"),"Քաղաք Վատիկան.")</f>
        <v>Քաղաք Վատիկան.</v>
      </c>
    </row>
    <row r="3815">
      <c r="A3815" s="5" t="s">
        <v>7508</v>
      </c>
      <c r="B3815" s="5" t="s">
        <v>7444</v>
      </c>
      <c r="C3815" s="5" t="str">
        <f>IFERROR(__xludf.DUMMYFUNCTION("GOOGLETRANSLATE(A3815,""en"",""hy"")"),"Ո՞վ է գրել վեպը 1984 թ.")</f>
        <v>Ո՞վ է գրել վեպը 1984 թ.</v>
      </c>
      <c r="D3815" s="6" t="str">
        <f>IFERROR(__xludf.DUMMYFUNCTION("GOOGLETRANSLATE(B3815,""en"",""hy"")"),"Ջորջ Օրուել.")</f>
        <v>Ջորջ Օրուել.</v>
      </c>
    </row>
    <row r="3816">
      <c r="A3816" s="5" t="s">
        <v>7509</v>
      </c>
      <c r="B3816" s="5" t="s">
        <v>7510</v>
      </c>
      <c r="C3816" s="5" t="str">
        <f>IFERROR(__xludf.DUMMYFUNCTION("GOOGLETRANSLATE(A3816,""en"",""hy"")"),"Ո՞րն է արծաթի քիմիական նշանը:")</f>
        <v>Ո՞րն է արծաթի քիմիական նշանը:</v>
      </c>
      <c r="D3816" s="6" t="str">
        <f>IFERROR(__xludf.DUMMYFUNCTION("GOOGLETRANSLATE(B3816,""en"",""hy"")"),"Ագ")</f>
        <v>Ագ</v>
      </c>
    </row>
    <row r="3817">
      <c r="A3817" s="5" t="s">
        <v>7511</v>
      </c>
      <c r="B3817" s="5" t="s">
        <v>7512</v>
      </c>
      <c r="C3817" s="5" t="str">
        <f>IFERROR(__xludf.DUMMYFUNCTION("GOOGLETRANSLATE(A3817,""en"",""hy"")"),"Ո՞ր երկիրն է հայտնի իր բուրգերով:")</f>
        <v>Ո՞ր երկիրն է հայտնի իր բուրգերով:</v>
      </c>
      <c r="D3817" s="6" t="str">
        <f>IFERROR(__xludf.DUMMYFUNCTION("GOOGLETRANSLATE(B3817,""en"",""hy"")"),"Եգիպտոս.")</f>
        <v>Եգիպտոս.</v>
      </c>
    </row>
    <row r="3818">
      <c r="A3818" s="5" t="s">
        <v>7513</v>
      </c>
      <c r="B3818" s="5" t="s">
        <v>7514</v>
      </c>
      <c r="C3818" s="5" t="str">
        <f>IFERROR(__xludf.DUMMYFUNCTION("GOOGLETRANSLATE(A3818,""en"",""hy"")"),"Ո՞րն է աշխարհի ամենամեծ անապատը:")</f>
        <v>Ո՞րն է աշխարհի ամենամեծ անապատը:</v>
      </c>
      <c r="D3818" s="6" t="str">
        <f>IFERROR(__xludf.DUMMYFUNCTION("GOOGLETRANSLATE(B3818,""en"",""hy"")"),"Աշխարհի ամենամեծ անապատը Սահարա անապատն է։")</f>
        <v>Աշխարհի ամենամեծ անապատը Սահարա անապատն է։</v>
      </c>
    </row>
    <row r="3819">
      <c r="A3819" s="5" t="s">
        <v>7515</v>
      </c>
      <c r="B3819" s="5" t="s">
        <v>7516</v>
      </c>
      <c r="C3819" s="5" t="str">
        <f>IFERROR(__xludf.DUMMYFUNCTION("GOOGLETRANSLATE(A3819,""en"",""hy"")"),"Ո՞րն է Բրազիլիայի մայրաքաղաքը:")</f>
        <v>Ո՞րն է Բրազիլիայի մայրաքաղաքը:</v>
      </c>
      <c r="D3819" s="6" t="str">
        <f>IFERROR(__xludf.DUMMYFUNCTION("GOOGLETRANSLATE(B3819,""en"",""hy"")"),"Բրազիլիա.")</f>
        <v>Բրազիլիա.</v>
      </c>
    </row>
    <row r="3820">
      <c r="A3820" s="5" t="s">
        <v>7517</v>
      </c>
      <c r="B3820" s="5" t="s">
        <v>7448</v>
      </c>
      <c r="C3820" s="5" t="str">
        <f>IFERROR(__xludf.DUMMYFUNCTION("GOOGLETRANSLATE(A3820,""en"",""hy"")"),"Ո՞վ է նկարել Վերջին ընթրիքը:")</f>
        <v>Ո՞վ է նկարել Վերջին ընթրիքը:</v>
      </c>
      <c r="D3820" s="6" t="str">
        <f>IFERROR(__xludf.DUMMYFUNCTION("GOOGLETRANSLATE(B3820,""en"",""hy"")"),"Լեոնարդո դա Վինչի.")</f>
        <v>Լեոնարդո դա Վինչի.</v>
      </c>
    </row>
    <row r="3821">
      <c r="A3821" s="5" t="s">
        <v>7518</v>
      </c>
      <c r="B3821" s="5" t="s">
        <v>7519</v>
      </c>
      <c r="C3821" s="5" t="str">
        <f>IFERROR(__xludf.DUMMYFUNCTION("GOOGLETRANSLATE(A3821,""en"",""hy"")"),"Որքա՞ն է լույսի արագությունը վայրկյանում մետրերով:")</f>
        <v>Որքա՞ն է լույսի արագությունը վայրկյանում մետրերով:</v>
      </c>
      <c r="D3821" s="6" t="str">
        <f>IFERROR(__xludf.DUMMYFUNCTION("GOOGLETRANSLATE(B3821,""en"",""hy"")"),"Լույսի արագությունը մոտավորապես 299,792,458 մետր է վայրկյանում։")</f>
        <v>Լույսի արագությունը մոտավորապես 299,792,458 մետր է վայրկյանում։</v>
      </c>
    </row>
    <row r="3822">
      <c r="A3822" s="5" t="s">
        <v>7520</v>
      </c>
      <c r="B3822" s="5" t="s">
        <v>3535</v>
      </c>
      <c r="C3822" s="5" t="str">
        <f>IFERROR(__xludf.DUMMYFUNCTION("GOOGLETRANSLATE(A3822,""en"",""hy"")"),"Ո՞ր երկիրն է հայտնի իր կենգուրուներով:")</f>
        <v>Ո՞ր երկիրն է հայտնի իր կենգուրուներով:</v>
      </c>
      <c r="D3822" s="6" t="str">
        <f>IFERROR(__xludf.DUMMYFUNCTION("GOOGLETRANSLATE(B3822,""en"",""hy"")"),"Ավստրալիա.")</f>
        <v>Ավստրալիա.</v>
      </c>
    </row>
    <row r="3823">
      <c r="A3823" s="5" t="s">
        <v>7521</v>
      </c>
      <c r="B3823" s="5" t="s">
        <v>1016</v>
      </c>
      <c r="C3823" s="5" t="str">
        <f>IFERROR(__xludf.DUMMYFUNCTION("GOOGLETRANSLATE(A3823,""en"",""hy"")"),"Ո՞վ է գրել Համլետ պիեսը:")</f>
        <v>Ո՞վ է գրել Համլետ պիեսը:</v>
      </c>
      <c r="D3823" s="6" t="str">
        <f>IFERROR(__xludf.DUMMYFUNCTION("GOOGLETRANSLATE(B3823,""en"",""hy"")"),"Ուիլյամ Շեքսպիր.")</f>
        <v>Ուիլյամ Շեքսպիր.</v>
      </c>
    </row>
    <row r="3824">
      <c r="A3824" s="5" t="s">
        <v>7522</v>
      </c>
      <c r="B3824" s="5" t="s">
        <v>7523</v>
      </c>
      <c r="C3824" s="5" t="str">
        <f>IFERROR(__xludf.DUMMYFUNCTION("GOOGLETRANSLATE(A3824,""en"",""hy"")"),"Ո՞րն է Չինաստանի արժույթը:")</f>
        <v>Ո՞րն է Չինաստանի արժույթը:</v>
      </c>
      <c r="D3824" s="6" t="str">
        <f>IFERROR(__xludf.DUMMYFUNCTION("GOOGLETRANSLATE(B3824,""en"",""hy"")"),"Չինաստանի արժույթը չինական յուանն է (CNY):")</f>
        <v>Չինաստանի արժույթը չինական յուանն է (CNY):</v>
      </c>
    </row>
    <row r="3825">
      <c r="A3825" s="5" t="s">
        <v>7524</v>
      </c>
      <c r="B3825" s="5" t="s">
        <v>7525</v>
      </c>
      <c r="C3825" s="5" t="str">
        <f>IFERROR(__xludf.DUMMYFUNCTION("GOOGLETRANSLATE(A3825,""en"",""hy"")"),"Ո՞ր քաղաքում է գտնվում հայտնի Մեծ պարիսպը:")</f>
        <v>Ո՞ր քաղաքում է գտնվում հայտնի Մեծ պարիսպը:</v>
      </c>
      <c r="D3825" s="6" t="str">
        <f>IFERROR(__xludf.DUMMYFUNCTION("GOOGLETRANSLATE(B3825,""en"",""hy"")"),"Պեկին.")</f>
        <v>Պեկին.</v>
      </c>
    </row>
    <row r="3826">
      <c r="A3826" s="5" t="s">
        <v>7526</v>
      </c>
      <c r="B3826" s="5" t="s">
        <v>7527</v>
      </c>
      <c r="C3826" s="5" t="str">
        <f>IFERROR(__xludf.DUMMYFUNCTION("GOOGLETRANSLATE(A3826,""en"",""hy"")"),"Ո՞րն է աշխարհի ամենամեծ կղզին:")</f>
        <v>Ո՞րն է աշխարհի ամենամեծ կղզին:</v>
      </c>
      <c r="D3826" s="6" t="str">
        <f>IFERROR(__xludf.DUMMYFUNCTION("GOOGLETRANSLATE(B3826,""en"",""hy"")"),"Գրենլանդիա.")</f>
        <v>Գրենլանդիա.</v>
      </c>
    </row>
    <row r="3827">
      <c r="A3827" s="5" t="s">
        <v>7528</v>
      </c>
      <c r="B3827" s="5" t="s">
        <v>7529</v>
      </c>
      <c r="C3827" s="5" t="str">
        <f>IFERROR(__xludf.DUMMYFUNCTION("GOOGLETRANSLATE(A3827,""en"",""hy"")"),"Ո՞վ է Գերմանիայի ներկայիս կանցլերը:")</f>
        <v>Ո՞վ է Գերմանիայի ներկայիս կանցլերը:</v>
      </c>
      <c r="D3827" s="6" t="str">
        <f>IFERROR(__xludf.DUMMYFUNCTION("GOOGLETRANSLATE(B3827,""en"",""hy"")"),"Անգելա Մերկել.")</f>
        <v>Անգելա Մերկել.</v>
      </c>
    </row>
    <row r="3828">
      <c r="A3828" s="5" t="s">
        <v>7530</v>
      </c>
      <c r="B3828" s="5" t="s">
        <v>7531</v>
      </c>
      <c r="C3828" s="5" t="str">
        <f>IFERROR(__xludf.DUMMYFUNCTION("GOOGLETRANSLATE(A3828,""en"",""hy"")"),"Ո՞րն է Հնդկաստանի ազգային թռչունը:")</f>
        <v>Ո՞րն է Հնդկաստանի ազգային թռչունը:</v>
      </c>
      <c r="D3828" s="6" t="str">
        <f>IFERROR(__xludf.DUMMYFUNCTION("GOOGLETRANSLATE(B3828,""en"",""hy"")"),"Հնդկաստանի ազգային թռչունը սիրամարգն է։")</f>
        <v>Հնդկաստանի ազգային թռչունը սիրամարգն է։</v>
      </c>
    </row>
    <row r="3829">
      <c r="A3829" s="5" t="s">
        <v>7532</v>
      </c>
      <c r="B3829" s="5" t="s">
        <v>7533</v>
      </c>
      <c r="C3829" s="5" t="str">
        <f>IFERROR(__xludf.DUMMYFUNCTION("GOOGLETRANSLATE(A3829,""en"",""hy"")"),"Ո՞րն է սննդի աղի քիմիական բանաձևը:")</f>
        <v>Ո՞րն է սննդի աղի քիմիական բանաձևը:</v>
      </c>
      <c r="D3829" s="6" t="str">
        <f>IFERROR(__xludf.DUMMYFUNCTION("GOOGLETRANSLATE(B3829,""en"",""hy"")"),"Սեղանի աղի քիմիական բանաձևը NaCl է:")</f>
        <v>Սեղանի աղի քիմիական բանաձևը NaCl է:</v>
      </c>
    </row>
    <row r="3830">
      <c r="A3830" s="5" t="s">
        <v>7534</v>
      </c>
      <c r="B3830" s="5" t="s">
        <v>7535</v>
      </c>
      <c r="C3830" s="5" t="str">
        <f>IFERROR(__xludf.DUMMYFUNCTION("GOOGLETRANSLATE(A3830,""en"",""hy"")"),"Ո՞վ է հորինել հեռախոսը:")</f>
        <v>Ո՞վ է հորինել հեռախոսը:</v>
      </c>
      <c r="D3830" s="6" t="str">
        <f>IFERROR(__xludf.DUMMYFUNCTION("GOOGLETRANSLATE(B3830,""en"",""hy"")"),"Ալեքսանդր Գրեհեմ Բել.")</f>
        <v>Ալեքսանդր Գրեհեմ Բել.</v>
      </c>
    </row>
    <row r="3831">
      <c r="A3831" s="5" t="s">
        <v>7536</v>
      </c>
      <c r="B3831" s="5" t="s">
        <v>7537</v>
      </c>
      <c r="C3831" s="5" t="str">
        <f>IFERROR(__xludf.DUMMYFUNCTION("GOOGLETRANSLATE(A3831,""en"",""hy"")"),"Ո՞րն է Ռուսաստանի մայրաքաղաքը:")</f>
        <v>Ո՞րն է Ռուսաստանի մայրաքաղաքը:</v>
      </c>
      <c r="D3831" s="6" t="str">
        <f>IFERROR(__xludf.DUMMYFUNCTION("GOOGLETRANSLATE(B3831,""en"",""hy"")"),"Մոսկվա")</f>
        <v>Մոսկվա</v>
      </c>
    </row>
    <row r="3832">
      <c r="A3832" s="5" t="s">
        <v>7538</v>
      </c>
      <c r="B3832" s="5" t="s">
        <v>7539</v>
      </c>
      <c r="C3832" s="5" t="str">
        <f>IFERROR(__xludf.DUMMYFUNCTION("GOOGLETRANSLATE(A3832,""en"",""hy"")"),"Քանի՞ մոլորակ կա Արեգակնային համակարգում:")</f>
        <v>Քանի՞ մոլորակ կա Արեգակնային համակարգում:</v>
      </c>
      <c r="D3832" s="6" t="str">
        <f>IFERROR(__xludf.DUMMYFUNCTION("GOOGLETRANSLATE(B3832,""en"",""hy"")"),"Արեգակնային համակարգում կա 8 մոլորակ։")</f>
        <v>Արեգակնային համակարգում կա 8 մոլորակ։</v>
      </c>
    </row>
    <row r="3833">
      <c r="A3833" s="5" t="s">
        <v>7540</v>
      </c>
      <c r="B3833" s="5" t="s">
        <v>7541</v>
      </c>
      <c r="C3833" s="5" t="str">
        <f>IFERROR(__xludf.DUMMYFUNCTION("GOOGLETRANSLATE(A3833,""en"",""hy"")"),"Ո՞վ է գրել «Սպանել ծաղրող թռչունին» վեպը:")</f>
        <v>Ո՞վ է գրել «Սպանել ծաղրող թռչունին» վեպը:</v>
      </c>
      <c r="D3833" s="6" t="str">
        <f>IFERROR(__xludf.DUMMYFUNCTION("GOOGLETRANSLATE(B3833,""en"",""hy"")"),"Հարփեր Լի.")</f>
        <v>Հարփեր Լի.</v>
      </c>
    </row>
    <row r="3834">
      <c r="A3834" s="5" t="s">
        <v>7542</v>
      </c>
      <c r="B3834" s="5" t="s">
        <v>7543</v>
      </c>
      <c r="C3834" s="5" t="str">
        <f>IFERROR(__xludf.DUMMYFUNCTION("GOOGLETRANSLATE(A3834,""en"",""hy"")"),"Ո՞րն է Կանադայի արժույթը:")</f>
        <v>Ո՞րն է Կանադայի արժույթը:</v>
      </c>
      <c r="D3834" s="6" t="str">
        <f>IFERROR(__xludf.DUMMYFUNCTION("GOOGLETRANSLATE(B3834,""en"",""hy"")"),"Կանադայի արժույթը կանադական դոլարն է։")</f>
        <v>Կանադայի արժույթը կանադական դոլարն է։</v>
      </c>
    </row>
    <row r="3835">
      <c r="A3835" s="5" t="s">
        <v>7544</v>
      </c>
      <c r="B3835" s="5" t="s">
        <v>7545</v>
      </c>
      <c r="C3835" s="5" t="str">
        <f>IFERROR(__xludf.DUMMYFUNCTION("GOOGLETRANSLATE(A3835,""en"",""hy"")"),"Ո՞ր քաղաքում է գտնվում հայտնի Կոլիզեյը:")</f>
        <v>Ո՞ր քաղաքում է գտնվում հայտնի Կոլիզեյը:</v>
      </c>
      <c r="D3835" s="6" t="str">
        <f>IFERROR(__xludf.DUMMYFUNCTION("GOOGLETRANSLATE(B3835,""en"",""hy"")"),"Հռոմ.")</f>
        <v>Հռոմ.</v>
      </c>
    </row>
    <row r="3836">
      <c r="A3836" s="5" t="s">
        <v>7546</v>
      </c>
      <c r="B3836" s="5" t="s">
        <v>7547</v>
      </c>
      <c r="C3836" s="5" t="str">
        <f>IFERROR(__xludf.DUMMYFUNCTION("GOOGLETRANSLATE(A3836,""en"",""hy"")"),"Ո՞րն է աշխարհի ամենաարագ ցամաքային կենդանին:")</f>
        <v>Ո՞րն է աշխարհի ամենաարագ ցամաքային կենդանին:</v>
      </c>
      <c r="D3836" s="6" t="str">
        <f>IFERROR(__xludf.DUMMYFUNCTION("GOOGLETRANSLATE(B3836,""en"",""hy"")"),"Չիտա.")</f>
        <v>Չիտա.</v>
      </c>
    </row>
    <row r="3837">
      <c r="A3837" s="5" t="s">
        <v>7548</v>
      </c>
      <c r="B3837" s="5" t="s">
        <v>7549</v>
      </c>
      <c r="C3837" s="5" t="str">
        <f>IFERROR(__xludf.DUMMYFUNCTION("GOOGLETRANSLATE(A3837,""en"",""hy"")"),"Ո՞վ է նկարել մարգարիտ ականջօղով աղջկան:")</f>
        <v>Ո՞վ է նկարել մարգարիտ ականջօղով աղջկան:</v>
      </c>
      <c r="D3837" s="6" t="str">
        <f>IFERROR(__xludf.DUMMYFUNCTION("GOOGLETRANSLATE(B3837,""en"",""hy"")"),"Յոհաննես Վերմեեր.")</f>
        <v>Յոհաննես Վերմեեր.</v>
      </c>
    </row>
    <row r="3838">
      <c r="A3838" s="5" t="s">
        <v>7550</v>
      </c>
      <c r="B3838" s="5" t="s">
        <v>7551</v>
      </c>
      <c r="C3838" s="5" t="str">
        <f>IFERROR(__xludf.DUMMYFUNCTION("GOOGLETRANSLATE(A3838,""en"",""hy"")"),"Ո՞րն է ջրի սառեցման կետը Fahrenheit աստիճանով:")</f>
        <v>Ո՞րն է ջրի սառեցման կետը Fahrenheit աստիճանով:</v>
      </c>
      <c r="D3838" s="6" t="str">
        <f>IFERROR(__xludf.DUMMYFUNCTION("GOOGLETRANSLATE(B3838,""en"",""hy"")"),"Ջրի սառեցման կետը Fahrenheit աստիճանով 32°F է:")</f>
        <v>Ջրի սառեցման կետը Fahrenheit աստիճանով 32°F է:</v>
      </c>
    </row>
    <row r="3839">
      <c r="A3839" s="5" t="s">
        <v>7552</v>
      </c>
      <c r="B3839" s="5" t="s">
        <v>7181</v>
      </c>
      <c r="C3839" s="5" t="str">
        <f>IFERROR(__xludf.DUMMYFUNCTION("GOOGLETRANSLATE(A3839,""en"",""hy"")"),"Ո՞ր երկիրն է հայտնի Մեծ արգելախութով:")</f>
        <v>Ո՞ր երկիրն է հայտնի Մեծ արգելախութով:</v>
      </c>
      <c r="D3839" s="6" t="str">
        <f>IFERROR(__xludf.DUMMYFUNCTION("GOOGLETRANSLATE(B3839,""en"",""hy"")"),"Ավստրալիա")</f>
        <v>Ավստրալիա</v>
      </c>
    </row>
    <row r="3840">
      <c r="A3840" s="5" t="s">
        <v>7553</v>
      </c>
      <c r="B3840" s="5" t="s">
        <v>7554</v>
      </c>
      <c r="C3840" s="5" t="str">
        <f>IFERROR(__xludf.DUMMYFUNCTION("GOOGLETRANSLATE(A3840,""en"",""hy"")"),"Ո՞րն է Հարավային Աֆրիկայի մայրաքաղաքը:")</f>
        <v>Ո՞րն է Հարավային Աֆրիկայի մայրաքաղաքը:</v>
      </c>
      <c r="D3840" s="6" t="str">
        <f>IFERROR(__xludf.DUMMYFUNCTION("GOOGLETRANSLATE(B3840,""en"",""hy"")"),"Պրետորիա.")</f>
        <v>Պրետորիա.</v>
      </c>
    </row>
    <row r="3841">
      <c r="A3841" s="5" t="s">
        <v>7555</v>
      </c>
      <c r="B3841" s="5" t="s">
        <v>7556</v>
      </c>
      <c r="C3841" s="5" t="str">
        <f>IFERROR(__xludf.DUMMYFUNCTION("GOOGLETRANSLATE(A3841,""en"",""hy"")"),"Ո՞վ է համարվում ժամանակակից ֆիզիկայի հայրը:")</f>
        <v>Ո՞վ է համարվում ժամանակակից ֆիզիկայի հայրը:</v>
      </c>
      <c r="D3841" s="6" t="str">
        <f>IFERROR(__xludf.DUMMYFUNCTION("GOOGLETRANSLATE(B3841,""en"",""hy"")"),"Albert Einstein.")</f>
        <v>Albert Einstein.</v>
      </c>
    </row>
    <row r="3842">
      <c r="A3842" s="5" t="s">
        <v>7557</v>
      </c>
      <c r="B3842" s="5" t="s">
        <v>7558</v>
      </c>
      <c r="C3842" s="5" t="str">
        <f>IFERROR(__xludf.DUMMYFUNCTION("GOOGLETRANSLATE(A3842,""en"",""hy"")"),"Ո՞րն է երկաթի քիմիական նշանը:")</f>
        <v>Ո՞րն է երկաթի քիմիական նշանը:</v>
      </c>
      <c r="D3842" s="6" t="str">
        <f>IFERROR(__xludf.DUMMYFUNCTION("GOOGLETRANSLATE(B3842,""en"",""hy"")"),"Ֆե")</f>
        <v>Ֆե</v>
      </c>
    </row>
    <row r="3843">
      <c r="A3843" s="5" t="s">
        <v>7559</v>
      </c>
      <c r="B3843" s="5" t="s">
        <v>7560</v>
      </c>
      <c r="C3843" s="5" t="str">
        <f>IFERROR(__xludf.DUMMYFUNCTION("GOOGLETRANSLATE(A3843,""en"",""hy"")"),"Ո՞վ է գրել «The Catcher in the Rye» վեպը:")</f>
        <v>Ո՞վ է գրել «The Catcher in the Rye» վեպը:</v>
      </c>
      <c r="D3843" s="6" t="str">
        <f>IFERROR(__xludf.DUMMYFUNCTION("GOOGLETRANSLATE(B3843,""en"",""hy"")"),"Ջ.Դ.Սելինջեր.")</f>
        <v>Ջ.Դ.Սելինջեր.</v>
      </c>
    </row>
    <row r="3844">
      <c r="A3844" s="5" t="s">
        <v>7561</v>
      </c>
      <c r="B3844" s="5" t="s">
        <v>7562</v>
      </c>
      <c r="C3844" s="5" t="str">
        <f>IFERROR(__xludf.DUMMYFUNCTION("GOOGLETRANSLATE(A3844,""en"",""hy"")"),"Ո՞րն է Մեքսիկայի արժույթը:")</f>
        <v>Ո՞րն է Մեքսիկայի արժույթը:</v>
      </c>
      <c r="D3844" s="6" t="str">
        <f>IFERROR(__xludf.DUMMYFUNCTION("GOOGLETRANSLATE(B3844,""en"",""hy"")"),"Մեքսիկայի արժույթը մեքսիկական պեսոն է։")</f>
        <v>Մեքսիկայի արժույթը մեքսիկական պեսոն է։</v>
      </c>
    </row>
    <row r="3845">
      <c r="A3845" s="5" t="s">
        <v>7563</v>
      </c>
      <c r="B3845" s="5" t="s">
        <v>7501</v>
      </c>
      <c r="C3845" s="5" t="str">
        <f>IFERROR(__xludf.DUMMYFUNCTION("GOOGLETRANSLATE(A3845,""en"",""hy"")"),"Ո՞ր քաղաքում է գտնվում հայտնի Էյֆելյան աշտարակը:")</f>
        <v>Ո՞ր քաղաքում է գտնվում հայտնի Էյֆելյան աշտարակը:</v>
      </c>
      <c r="D3845" s="6" t="str">
        <f>IFERROR(__xludf.DUMMYFUNCTION("GOOGLETRANSLATE(B3845,""en"",""hy"")"),"Փարիզ.")</f>
        <v>Փարիզ.</v>
      </c>
    </row>
    <row r="3846">
      <c r="A3846" s="5" t="s">
        <v>7564</v>
      </c>
      <c r="B3846" s="5" t="s">
        <v>7565</v>
      </c>
      <c r="C3846" s="5" t="str">
        <f>IFERROR(__xludf.DUMMYFUNCTION("GOOGLETRANSLATE(A3846,""en"",""hy"")"),"Ո՞րն է աշխարհի ամենամեծ գետը:")</f>
        <v>Ո՞րն է աշխարհի ամենամեծ գետը:</v>
      </c>
      <c r="D3846" s="6" t="str">
        <f>IFERROR(__xludf.DUMMYFUNCTION("GOOGLETRANSLATE(B3846,""en"",""hy"")"),"Աշխարհի ամենամեծ գետը Ամազոն գետն է։")</f>
        <v>Աշխարհի ամենամեծ գետը Ամազոն գետն է։</v>
      </c>
    </row>
    <row r="3847">
      <c r="A3847" s="5" t="s">
        <v>7566</v>
      </c>
      <c r="B3847" s="5" t="s">
        <v>7567</v>
      </c>
      <c r="C3847" s="5" t="str">
        <f>IFERROR(__xludf.DUMMYFUNCTION("GOOGLETRANSLATE(A3847,""en"",""hy"")"),"Ո՞վ է Կանադայի ներկայիս վարչապետը:")</f>
        <v>Ո՞վ է Կանադայի ներկայիս վարչապետը:</v>
      </c>
      <c r="D3847" s="6" t="str">
        <f>IFERROR(__xludf.DUMMYFUNCTION("GOOGLETRANSLATE(B3847,""en"",""hy"")"),"Ջասթին Թրյուդո")</f>
        <v>Ջասթին Թրյուդո</v>
      </c>
    </row>
    <row r="3848">
      <c r="A3848" s="5" t="s">
        <v>7568</v>
      </c>
      <c r="B3848" s="5" t="s">
        <v>7569</v>
      </c>
      <c r="C3848" s="5" t="str">
        <f>IFERROR(__xludf.DUMMYFUNCTION("GOOGLETRANSLATE(A3848,""en"",""hy"")"),"Ո՞րն է Ավստրալիայի ազգային թռչունը:")</f>
        <v>Ո՞րն է Ավստրալիայի ազգային թռչունը:</v>
      </c>
      <c r="D3848" s="6" t="str">
        <f>IFERROR(__xludf.DUMMYFUNCTION("GOOGLETRANSLATE(B3848,""en"",""hy"")"),"Ավստրալիայի ազգային թռչունը էմուն է:")</f>
        <v>Ավստրալիայի ազգային թռչունը էմուն է:</v>
      </c>
    </row>
    <row r="3849">
      <c r="A3849" s="5" t="s">
        <v>7570</v>
      </c>
      <c r="B3849" s="5" t="s">
        <v>7571</v>
      </c>
      <c r="C3849" s="5" t="str">
        <f>IFERROR(__xludf.DUMMYFUNCTION("GOOGLETRANSLATE(A3849,""en"",""hy"")"),"Ո՞րն է գլյուկոզայի քիմիական բանաձևը:")</f>
        <v>Ո՞րն է գլյուկոզայի քիմիական բանաձևը:</v>
      </c>
      <c r="D3849" s="6" t="str">
        <f>IFERROR(__xludf.DUMMYFUNCTION("GOOGLETRANSLATE(B3849,""en"",""hy"")"),"Գլյուկոզայի քիմիական բանաձևը C6H12O6 է:")</f>
        <v>Գլյուկոզայի քիմիական բանաձևը C6H12O6 է:</v>
      </c>
    </row>
    <row r="3850">
      <c r="A3850" s="5" t="s">
        <v>7572</v>
      </c>
      <c r="B3850" s="5" t="s">
        <v>7573</v>
      </c>
      <c r="C3850" s="5" t="str">
        <f>IFERROR(__xludf.DUMMYFUNCTION("GOOGLETRANSLATE(A3850,""en"",""hy"")"),"Ո՞վ է հորինել լամպը:")</f>
        <v>Ո՞վ է հորինել լամպը:</v>
      </c>
      <c r="D3850" s="6" t="str">
        <f>IFERROR(__xludf.DUMMYFUNCTION("GOOGLETRANSLATE(B3850,""en"",""hy"")"),"Թոմաս Էդիսոն.")</f>
        <v>Թոմաս Էդիսոն.</v>
      </c>
    </row>
    <row r="3851">
      <c r="A3851" s="5" t="s">
        <v>7574</v>
      </c>
      <c r="B3851" s="5" t="s">
        <v>7525</v>
      </c>
      <c r="C3851" s="5" t="str">
        <f>IFERROR(__xludf.DUMMYFUNCTION("GOOGLETRANSLATE(A3851,""en"",""hy"")"),"Ո՞րն է Չինաստանի մայրաքաղաքը:")</f>
        <v>Ո՞րն է Չինաստանի մայրաքաղաքը:</v>
      </c>
      <c r="D3851" s="6" t="str">
        <f>IFERROR(__xludf.DUMMYFUNCTION("GOOGLETRANSLATE(B3851,""en"",""hy"")"),"Պեկին.")</f>
        <v>Պեկին.</v>
      </c>
    </row>
    <row r="3852">
      <c r="A3852" s="5" t="s">
        <v>7575</v>
      </c>
      <c r="B3852" s="5" t="s">
        <v>7576</v>
      </c>
      <c r="C3852" s="5" t="str">
        <f>IFERROR(__xludf.DUMMYFUNCTION("GOOGLETRANSLATE(A3852,""en"",""hy"")"),"Քանի՞ գույն կա ծիածանի մեջ:")</f>
        <v>Քանի՞ գույն կա ծիածանի մեջ:</v>
      </c>
      <c r="D3852" s="6" t="str">
        <f>IFERROR(__xludf.DUMMYFUNCTION("GOOGLETRANSLATE(B3852,""en"",""hy"")"),"Ծիածանի մեջ յոթ գույն կա:")</f>
        <v>Ծիածանի մեջ յոթ գույն կա:</v>
      </c>
    </row>
    <row r="3853">
      <c r="A3853" s="5" t="s">
        <v>7577</v>
      </c>
      <c r="B3853" s="5" t="s">
        <v>7578</v>
      </c>
      <c r="C3853" s="5" t="str">
        <f>IFERROR(__xludf.DUMMYFUNCTION("GOOGLETRANSLATE(A3853,""en"",""hy"")"),"Ո՞վ է գրել Մոբի-Դիկ վեպը:")</f>
        <v>Ո՞վ է գրել Մոբի-Դիկ վեպը:</v>
      </c>
      <c r="D3853" s="6" t="str">
        <f>IFERROR(__xludf.DUMMYFUNCTION("GOOGLETRANSLATE(B3853,""en"",""hy"")"),"Հերման Մելվիլ.")</f>
        <v>Հերման Մելվիլ.</v>
      </c>
    </row>
    <row r="3854">
      <c r="A3854" s="5" t="s">
        <v>7579</v>
      </c>
      <c r="B3854" s="5" t="s">
        <v>7580</v>
      </c>
      <c r="C3854" s="5" t="str">
        <f>IFERROR(__xludf.DUMMYFUNCTION("GOOGLETRANSLATE(A3854,""en"",""hy"")"),"Ո՞րն է Գերմանիայի արժույթը:")</f>
        <v>Ո՞րն է Գերմանիայի արժույթը:</v>
      </c>
      <c r="D3854" s="6" t="str">
        <f>IFERROR(__xludf.DUMMYFUNCTION("GOOGLETRANSLATE(B3854,""en"",""hy"")"),"Գերմանիայի արժույթը եվրոն է։")</f>
        <v>Գերմանիայի արժույթը եվրոն է։</v>
      </c>
    </row>
    <row r="3855">
      <c r="A3855" s="5" t="s">
        <v>7581</v>
      </c>
      <c r="B3855" s="5" t="s">
        <v>2400</v>
      </c>
      <c r="C3855" s="5" t="str">
        <f>IFERROR(__xludf.DUMMYFUNCTION("GOOGLETRANSLATE(A3855,""en"",""hy"")"),"Ո՞ր քաղաքում է գտնվում հայտնի Ազատության արձանը:")</f>
        <v>Ո՞ր քաղաքում է գտնվում հայտնի Ազատության արձանը:</v>
      </c>
      <c r="D3855" s="6" t="str">
        <f>IFERROR(__xludf.DUMMYFUNCTION("GOOGLETRANSLATE(B3855,""en"",""hy"")"),"Նյու Յորք.")</f>
        <v>Նյու Յորք.</v>
      </c>
    </row>
    <row r="3856">
      <c r="A3856" s="5" t="s">
        <v>7582</v>
      </c>
      <c r="B3856" s="5" t="s">
        <v>7583</v>
      </c>
      <c r="C3856" s="5" t="str">
        <f>IFERROR(__xludf.DUMMYFUNCTION("GOOGLETRANSLATE(A3856,""en"",""hy"")"),"Ո՞րն է աշխարհի ամենաբարձր ծառը:")</f>
        <v>Ո՞րն է աշխարհի ամենաբարձր ծառը:</v>
      </c>
      <c r="D3856" s="6" t="str">
        <f>IFERROR(__xludf.DUMMYFUNCTION("GOOGLETRANSLATE(B3856,""en"",""hy"")"),"Աշխարհի ամենաբարձր ծառը Hyperion-ն է՝ ափամերձ կարմրածայտ (Sequoia sempervirens), որի բարձրությունը 379,7 ոտնաչափ է:")</f>
        <v>Աշխարհի ամենաբարձր ծառը Hyperion-ն է՝ ափամերձ կարմրածայտ (Sequoia sempervirens), որի բարձրությունը 379,7 ոտնաչափ է:</v>
      </c>
    </row>
    <row r="3857">
      <c r="A3857" s="5" t="s">
        <v>7584</v>
      </c>
      <c r="B3857" s="5" t="s">
        <v>7585</v>
      </c>
      <c r="C3857" s="5" t="str">
        <f>IFERROR(__xludf.DUMMYFUNCTION("GOOGLETRANSLATE(A3857,""en"",""hy"")"),"Ո՞վ է նկարել Ճիչը:")</f>
        <v>Ո՞վ է նկարել Ճիչը:</v>
      </c>
      <c r="D3857" s="6" t="str">
        <f>IFERROR(__xludf.DUMMYFUNCTION("GOOGLETRANSLATE(B3857,""en"",""hy"")"),"Էդվարդ Մունկ.")</f>
        <v>Էդվարդ Մունկ.</v>
      </c>
    </row>
    <row r="3858">
      <c r="A3858" s="5" t="s">
        <v>7586</v>
      </c>
      <c r="B3858" s="5" t="s">
        <v>7587</v>
      </c>
      <c r="C3858" s="5" t="str">
        <f>IFERROR(__xludf.DUMMYFUNCTION("GOOGLETRANSLATE(A3858,""en"",""hy"")"),"Որքա՞ն է պղնձի հալման կետը Ցելսիուսի աստիճաններով:")</f>
        <v>Որքա՞ն է պղնձի հալման կետը Ցելսիուսի աստիճաններով:</v>
      </c>
      <c r="D3858" s="6" t="str">
        <f>IFERROR(__xludf.DUMMYFUNCTION("GOOGLETRANSLATE(B3858,""en"",""hy"")"),"Պղնձի հալման կետը 1084 աստիճան Ցելսիուս է։")</f>
        <v>Պղնձի հալման կետը 1084 աստիճան Ցելսիուս է։</v>
      </c>
    </row>
    <row r="3859">
      <c r="A3859" s="5" t="s">
        <v>7588</v>
      </c>
      <c r="B3859" s="5" t="s">
        <v>1958</v>
      </c>
      <c r="C3859" s="5" t="str">
        <f>IFERROR(__xludf.DUMMYFUNCTION("GOOGLETRANSLATE(A3859,""en"",""hy"")"),"Ո՞ր երկիրն է հայտնի իր կակաչներով:")</f>
        <v>Ո՞ր երկիրն է հայտնի իր կակաչներով:</v>
      </c>
      <c r="D3859" s="6" t="str">
        <f>IFERROR(__xludf.DUMMYFUNCTION("GOOGLETRANSLATE(B3859,""en"",""hy"")"),"Նիդեռլանդներ.")</f>
        <v>Նիդեռլանդներ.</v>
      </c>
    </row>
    <row r="3860">
      <c r="A3860" s="5" t="s">
        <v>7589</v>
      </c>
      <c r="B3860" s="5" t="s">
        <v>7545</v>
      </c>
      <c r="C3860" s="5" t="str">
        <f>IFERROR(__xludf.DUMMYFUNCTION("GOOGLETRANSLATE(A3860,""en"",""hy"")"),"Ո՞րն է Իտալիայի մայրաքաղաքը:")</f>
        <v>Ո՞րն է Իտալիայի մայրաքաղաքը:</v>
      </c>
      <c r="D3860" s="6" t="str">
        <f>IFERROR(__xludf.DUMMYFUNCTION("GOOGLETRANSLATE(B3860,""en"",""hy"")"),"Հռոմ.")</f>
        <v>Հռոմ.</v>
      </c>
    </row>
    <row r="3861">
      <c r="A3861" s="5" t="s">
        <v>7590</v>
      </c>
      <c r="B3861" s="5" t="s">
        <v>7591</v>
      </c>
      <c r="C3861" s="5" t="str">
        <f>IFERROR(__xludf.DUMMYFUNCTION("GOOGLETRANSLATE(A3861,""en"",""hy"")"),"Ո՞վ է համարվում ժամանակակից գրականության հայրը:")</f>
        <v>Ո՞վ է համարվում ժամանակակից գրականության հայրը:</v>
      </c>
      <c r="D3861" s="6" t="str">
        <f>IFERROR(__xludf.DUMMYFUNCTION("GOOGLETRANSLATE(B3861,""en"",""hy"")"),"Միգել դե Սերվանտես.")</f>
        <v>Միգել դե Սերվանտես.</v>
      </c>
    </row>
    <row r="3862">
      <c r="A3862" s="5" t="s">
        <v>7592</v>
      </c>
      <c r="B3862" s="5" t="s">
        <v>7593</v>
      </c>
      <c r="C3862" s="5" t="str">
        <f>IFERROR(__xludf.DUMMYFUNCTION("GOOGLETRANSLATE(A3862,""en"",""hy"")"),"Ո՞րն է թթվածնի քիմիական նշանը:")</f>
        <v>Ո՞րն է թթվածնի քիմիական նշանը:</v>
      </c>
      <c r="D3862" s="6" t="str">
        <f>IFERROR(__xludf.DUMMYFUNCTION("GOOGLETRANSLATE(B3862,""en"",""hy"")"),"Թթվածնի քիմիական նշանը O է:")</f>
        <v>Թթվածնի քիմիական նշանը O է:</v>
      </c>
    </row>
    <row r="3863">
      <c r="A3863" s="5" t="s">
        <v>7594</v>
      </c>
      <c r="B3863" s="5" t="s">
        <v>1016</v>
      </c>
      <c r="C3863" s="5" t="str">
        <f>IFERROR(__xludf.DUMMYFUNCTION("GOOGLETRANSLATE(A3863,""en"",""hy"")"),"Ո՞վ է գրել «Մակբեթ» պիեսը:")</f>
        <v>Ո՞վ է գրել «Մակբեթ» պիեսը:</v>
      </c>
      <c r="D3863" s="6" t="str">
        <f>IFERROR(__xludf.DUMMYFUNCTION("GOOGLETRANSLATE(B3863,""en"",""hy"")"),"Ուիլյամ Շեքսպիր.")</f>
        <v>Ուիլյամ Շեքսպիր.</v>
      </c>
    </row>
    <row r="3864">
      <c r="A3864" s="5" t="s">
        <v>7595</v>
      </c>
      <c r="B3864" s="5" t="s">
        <v>7596</v>
      </c>
      <c r="C3864" s="5" t="str">
        <f>IFERROR(__xludf.DUMMYFUNCTION("GOOGLETRANSLATE(A3864,""en"",""hy"")"),"Ո՞րն է Բրազիլիայի արժույթը:")</f>
        <v>Ո՞րն է Բրազիլիայի արժույթը:</v>
      </c>
      <c r="D3864" s="6" t="str">
        <f>IFERROR(__xludf.DUMMYFUNCTION("GOOGLETRANSLATE(B3864,""en"",""hy"")"),"Բրազիլիայի արժույթը բրազիլական ռեալն է։")</f>
        <v>Բրազիլիայի արժույթը բրազիլական ռեալն է։</v>
      </c>
    </row>
    <row r="3865">
      <c r="A3865" s="5" t="s">
        <v>7597</v>
      </c>
      <c r="B3865" s="5" t="s">
        <v>7598</v>
      </c>
      <c r="C3865" s="5" t="str">
        <f>IFERROR(__xludf.DUMMYFUNCTION("GOOGLETRANSLATE(A3865,""en"",""hy"")"),"Ո՞ր քաղաքում է գտնվում հայտնի Սիդնեյի օպերային թատրոնը:")</f>
        <v>Ո՞ր քաղաքում է գտնվում հայտնի Սիդնեյի օպերային թատրոնը:</v>
      </c>
      <c r="D3865" s="6" t="str">
        <f>IFERROR(__xludf.DUMMYFUNCTION("GOOGLETRANSLATE(B3865,""en"",""hy"")"),"Սիդնեյ.")</f>
        <v>Սիդնեյ.</v>
      </c>
    </row>
    <row r="3866">
      <c r="A3866" s="5" t="s">
        <v>7599</v>
      </c>
      <c r="B3866" s="5" t="s">
        <v>7600</v>
      </c>
      <c r="C3866" s="5" t="str">
        <f>IFERROR(__xludf.DUMMYFUNCTION("GOOGLETRANSLATE(A3866,""en"",""hy"")"),"Ո՞րն է աշխարհի ամենամեծ լիճը:")</f>
        <v>Ո՞րն է աշխարհի ամենամեծ լիճը:</v>
      </c>
      <c r="D3866" s="6" t="str">
        <f>IFERROR(__xludf.DUMMYFUNCTION("GOOGLETRANSLATE(B3866,""en"",""hy"")"),"Աշխարհի ամենամեծ լիճը Կասպից ծովն է։")</f>
        <v>Աշխարհի ամենամեծ լիճը Կասպից ծովն է։</v>
      </c>
    </row>
    <row r="3867">
      <c r="A3867" s="5" t="s">
        <v>7601</v>
      </c>
      <c r="B3867" s="5" t="s">
        <v>3966</v>
      </c>
      <c r="C3867" s="5" t="str">
        <f>IFERROR(__xludf.DUMMYFUNCTION("GOOGLETRANSLATE(A3867,""en"",""hy"")"),"Ո՞վ է Ֆրանսիայի ներկայիս նախագահը.")</f>
        <v>Ո՞վ է Ֆրանսիայի ներկայիս նախագահը.</v>
      </c>
      <c r="D3867" s="6" t="str">
        <f>IFERROR(__xludf.DUMMYFUNCTION("GOOGLETRANSLATE(B3867,""en"",""hy"")"),"Էմանուել Մակրոն.")</f>
        <v>Էմանուել Մակրոն.</v>
      </c>
    </row>
    <row r="3868">
      <c r="A3868" s="5" t="s">
        <v>7602</v>
      </c>
      <c r="B3868" s="5" t="s">
        <v>7603</v>
      </c>
      <c r="C3868" s="5" t="str">
        <f>IFERROR(__xludf.DUMMYFUNCTION("GOOGLETRANSLATE(A3868,""en"",""hy"")"),"Ո՞րն է Կանադայի ազգային թռչունը:")</f>
        <v>Ո՞րն է Կանադայի ազգային թռչունը:</v>
      </c>
      <c r="D3868" s="6" t="str">
        <f>IFERROR(__xludf.DUMMYFUNCTION("GOOGLETRANSLATE(B3868,""en"",""hy"")"),"Կանադայի ազգային թռչունը սովորական ձագն է:")</f>
        <v>Կանադայի ազգային թռչունը սովորական ձագն է:</v>
      </c>
    </row>
    <row r="3869">
      <c r="A3869" s="5" t="s">
        <v>7604</v>
      </c>
      <c r="B3869" s="5" t="s">
        <v>7605</v>
      </c>
      <c r="C3869" s="5" t="str">
        <f>IFERROR(__xludf.DUMMYFUNCTION("GOOGLETRANSLATE(A3869,""en"",""hy"")"),"Ո՞րն է ածխաթթու գազի քիմիական բանաձևը:")</f>
        <v>Ո՞րն է ածխաթթու գազի քիմիական բանաձևը:</v>
      </c>
      <c r="D3869" s="6" t="str">
        <f>IFERROR(__xludf.DUMMYFUNCTION("GOOGLETRANSLATE(B3869,""en"",""hy"")"),"CO2")</f>
        <v>CO2</v>
      </c>
    </row>
    <row r="3870">
      <c r="A3870" s="5" t="s">
        <v>7606</v>
      </c>
      <c r="B3870" s="5" t="s">
        <v>7607</v>
      </c>
      <c r="C3870" s="5" t="str">
        <f>IFERROR(__xludf.DUMMYFUNCTION("GOOGLETRANSLATE(A3870,""en"",""hy"")"),"Ո՞վ է հորինել էվոլյուցիայի տեսությունը:")</f>
        <v>Ո՞վ է հորինել էվոլյուցիայի տեսությունը:</v>
      </c>
      <c r="D3870" s="6" t="str">
        <f>IFERROR(__xludf.DUMMYFUNCTION("GOOGLETRANSLATE(B3870,""en"",""hy"")"),"Չարլզ Դարվին.")</f>
        <v>Չարլզ Դարվին.</v>
      </c>
    </row>
    <row r="3871">
      <c r="A3871" s="5" t="s">
        <v>7608</v>
      </c>
      <c r="B3871" s="5" t="s">
        <v>7609</v>
      </c>
      <c r="C3871" s="5" t="str">
        <f>IFERROR(__xludf.DUMMYFUNCTION("GOOGLETRANSLATE(A3871,""en"",""hy"")"),"Ո՞րն է Հնդկաստանի մայրաքաղաքը:")</f>
        <v>Ո՞րն է Հնդկաստանի մայրաքաղաքը:</v>
      </c>
      <c r="D3871" s="6" t="str">
        <f>IFERROR(__xludf.DUMMYFUNCTION("GOOGLETRANSLATE(B3871,""en"",""hy"")"),"Նյու Դելի.")</f>
        <v>Նյու Դելի.</v>
      </c>
    </row>
    <row r="3872">
      <c r="A3872" s="5" t="s">
        <v>7610</v>
      </c>
      <c r="B3872" s="5" t="s">
        <v>7611</v>
      </c>
      <c r="C3872" s="5" t="str">
        <f>IFERROR(__xludf.DUMMYFUNCTION("GOOGLETRANSLATE(A3872,""en"",""hy"")"),"Քանի՞ աստղ կա ամերիկյան դրոշում:")</f>
        <v>Քանի՞ աստղ կա ամերիկյան դրոշում:</v>
      </c>
      <c r="D3872" s="6" t="str">
        <f>IFERROR(__xludf.DUMMYFUNCTION("GOOGLETRANSLATE(B3872,""en"",""hy"")"),"Ամերիկյան դրոշում 50 աստղ կա։")</f>
        <v>Ամերիկյան դրոշում 50 աստղ կա։</v>
      </c>
    </row>
    <row r="3873">
      <c r="A3873" s="5" t="s">
        <v>7612</v>
      </c>
      <c r="B3873" s="5" t="s">
        <v>7613</v>
      </c>
      <c r="C3873" s="5" t="str">
        <f>IFERROR(__xludf.DUMMYFUNCTION("GOOGLETRANSLATE(A3873,""en"",""hy"")"),"Ո՞վ է գրել «Մեծն Գեթսբի» վեպը:")</f>
        <v>Ո՞վ է գրել «Մեծն Գեթսբի» վեպը:</v>
      </c>
      <c r="D3873" s="6" t="str">
        <f>IFERROR(__xludf.DUMMYFUNCTION("GOOGLETRANSLATE(B3873,""en"",""hy"")"),"F. Scott Fitzgerald")</f>
        <v>F. Scott Fitzgerald</v>
      </c>
    </row>
    <row r="3874">
      <c r="A3874" s="5" t="s">
        <v>7614</v>
      </c>
      <c r="B3874" s="5" t="s">
        <v>7615</v>
      </c>
      <c r="C3874" s="5" t="str">
        <f>IFERROR(__xludf.DUMMYFUNCTION("GOOGLETRANSLATE(A3874,""en"",""hy"")"),"Ո՞րն է Ֆրանսիայի արժույթը:")</f>
        <v>Ո՞րն է Ֆրանսիայի արժույթը:</v>
      </c>
      <c r="D3874" s="6" t="str">
        <f>IFERROR(__xludf.DUMMYFUNCTION("GOOGLETRANSLATE(B3874,""en"",""hy"")"),"եվրո")</f>
        <v>եվրո</v>
      </c>
    </row>
    <row r="3875">
      <c r="A3875" s="5" t="s">
        <v>7616</v>
      </c>
      <c r="B3875" s="5" t="s">
        <v>7617</v>
      </c>
      <c r="C3875" s="5" t="str">
        <f>IFERROR(__xludf.DUMMYFUNCTION("GOOGLETRANSLATE(A3875,""en"",""hy"")"),"Ո՞ր քաղաքում է գտնվում հայտնի Ակրոպոլիսը:")</f>
        <v>Ո՞ր քաղաքում է գտնվում հայտնի Ակրոպոլիսը:</v>
      </c>
      <c r="D3875" s="6" t="str">
        <f>IFERROR(__xludf.DUMMYFUNCTION("GOOGLETRANSLATE(B3875,""en"",""hy"")"),"Աթենք.")</f>
        <v>Աթենք.</v>
      </c>
    </row>
    <row r="3876">
      <c r="A3876" s="5" t="s">
        <v>7618</v>
      </c>
      <c r="B3876" s="5" t="s">
        <v>7619</v>
      </c>
      <c r="C3876" s="5" t="str">
        <f>IFERROR(__xludf.DUMMYFUNCTION("GOOGLETRANSLATE(A3876,""en"",""hy"")"),"Ո՞րն է աշխարհի ամենամեծ ջրվեժը:")</f>
        <v>Ո՞րն է աշխարհի ամենամեծ ջրվեժը:</v>
      </c>
      <c r="D3876" s="6" t="str">
        <f>IFERROR(__xludf.DUMMYFUNCTION("GOOGLETRANSLATE(B3876,""en"",""hy"")"),"Աշխարհի ամենամեծ ջրվեժը Վիկտորիա ջրվեժն է:")</f>
        <v>Աշխարհի ամենամեծ ջրվեժը Վիկտորիա ջրվեժն է:</v>
      </c>
    </row>
    <row r="3877">
      <c r="A3877" s="5" t="s">
        <v>7620</v>
      </c>
      <c r="B3877" s="5" t="s">
        <v>7621</v>
      </c>
      <c r="C3877" s="5" t="str">
        <f>IFERROR(__xludf.DUMMYFUNCTION("GOOGLETRANSLATE(A3877,""en"",""hy"")"),"Ո՞վ է նկարել Վեներայի ծնունդը:")</f>
        <v>Ո՞վ է նկարել Վեներայի ծնունդը:</v>
      </c>
      <c r="D3877" s="6" t="str">
        <f>IFERROR(__xludf.DUMMYFUNCTION("GOOGLETRANSLATE(B3877,""en"",""hy"")"),"Սանդրո Բոտիչելի.")</f>
        <v>Սանդրո Բոտիչելի.</v>
      </c>
    </row>
    <row r="3878">
      <c r="A3878" s="5" t="s">
        <v>7622</v>
      </c>
      <c r="B3878" s="5" t="s">
        <v>7623</v>
      </c>
      <c r="C3878" s="5" t="str">
        <f>IFERROR(__xludf.DUMMYFUNCTION("GOOGLETRANSLATE(A3878,""en"",""hy"")"),"Որքա՞ն է սնդիկի եռման կետը Fahrenheit աստիճանով:")</f>
        <v>Որքա՞ն է սնդիկի եռման կետը Fahrenheit աստիճանով:</v>
      </c>
      <c r="D3878" s="6" t="str">
        <f>IFERROR(__xludf.DUMMYFUNCTION("GOOGLETRANSLATE(B3878,""en"",""hy"")"),"Սնդիկի եռման կետը Ֆարենհայթում 674 աստիճան է։")</f>
        <v>Սնդիկի եռման կետը Ֆարենհայթում 674 աստիճան է։</v>
      </c>
    </row>
    <row r="3879">
      <c r="A3879" s="5" t="s">
        <v>7624</v>
      </c>
      <c r="B3879" s="5" t="s">
        <v>7625</v>
      </c>
      <c r="C3879" s="5" t="str">
        <f>IFERROR(__xludf.DUMMYFUNCTION("GOOGLETRANSLATE(A3879,""en"",""hy"")"),"Ո՞ր երկիրն է հայտնի իր ֆյորդներով:")</f>
        <v>Ո՞ր երկիրն է հայտնի իր ֆյորդներով:</v>
      </c>
      <c r="D3879" s="6" t="str">
        <f>IFERROR(__xludf.DUMMYFUNCTION("GOOGLETRANSLATE(B3879,""en"",""hy"")"),"Նորվեգիա")</f>
        <v>Նորվեգիա</v>
      </c>
    </row>
    <row r="3880">
      <c r="A3880" s="5" t="s">
        <v>7626</v>
      </c>
      <c r="B3880" s="5" t="s">
        <v>6980</v>
      </c>
      <c r="C3880" s="5" t="str">
        <f>IFERROR(__xludf.DUMMYFUNCTION("GOOGLETRANSLATE(A3880,""en"",""hy"")"),"Ո՞րն է Գերմանիայի մայրաքաղաքը:")</f>
        <v>Ո՞րն է Գերմանիայի մայրաքաղաքը:</v>
      </c>
      <c r="D3880" s="6" t="str">
        <f>IFERROR(__xludf.DUMMYFUNCTION("GOOGLETRANSLATE(B3880,""en"",""hy"")"),"Բեռլին")</f>
        <v>Բեռլին</v>
      </c>
    </row>
    <row r="3881">
      <c r="A3881" s="5" t="s">
        <v>7627</v>
      </c>
      <c r="B3881" s="5" t="s">
        <v>7628</v>
      </c>
      <c r="C3881" s="5" t="str">
        <f>IFERROR(__xludf.DUMMYFUNCTION("GOOGLETRANSLATE(A3881,""en"",""hy"")"),"Ո՞րն է Ֆրանսիայի մայրաքաղաքը:")</f>
        <v>Ո՞րն է Ֆրանսիայի մայրաքաղաքը:</v>
      </c>
      <c r="D3881" s="6" t="str">
        <f>IFERROR(__xludf.DUMMYFUNCTION("GOOGLETRANSLATE(B3881,""en"",""hy"")"),"Ֆրանսիայի մայրաքաղաքը Փարիզն է։")</f>
        <v>Ֆրանսիայի մայրաքաղաքը Փարիզն է։</v>
      </c>
    </row>
    <row r="3882">
      <c r="A3882" s="5" t="s">
        <v>7629</v>
      </c>
      <c r="B3882" s="5" t="s">
        <v>7630</v>
      </c>
      <c r="C3882" s="5" t="str">
        <f>IFERROR(__xludf.DUMMYFUNCTION("GOOGLETRANSLATE(A3882,""en"",""hy"")"),"Ո՞վ է «Հպարտություն և նախապաշարմունք» գրքի հեղինակը.")</f>
        <v>Ո՞վ է «Հպարտություն և նախապաշարմունք» գրքի հեղինակը.</v>
      </c>
      <c r="D3882" s="6" t="str">
        <f>IFERROR(__xludf.DUMMYFUNCTION("GOOGLETRANSLATE(B3882,""en"",""hy"")"),"Ջեյն Օսթին.")</f>
        <v>Ջեյն Օսթին.</v>
      </c>
    </row>
    <row r="3883">
      <c r="A3883" s="5" t="s">
        <v>7452</v>
      </c>
      <c r="B3883" s="5" t="s">
        <v>7631</v>
      </c>
      <c r="C3883" s="5" t="str">
        <f>IFERROR(__xludf.DUMMYFUNCTION("GOOGLETRANSLATE(A3883,""en"",""hy"")"),"Ո՞րն է ոսկու քիմիական նշանը:")</f>
        <v>Ո՞րն է ոսկու քիմիական նշանը:</v>
      </c>
      <c r="D3883" s="6" t="str">
        <f>IFERROR(__xludf.DUMMYFUNCTION("GOOGLETRANSLATE(B3883,""en"",""hy"")"),"Ավ")</f>
        <v>Ավ</v>
      </c>
    </row>
    <row r="3884">
      <c r="A3884" s="5" t="s">
        <v>7632</v>
      </c>
      <c r="B3884" s="5" t="s">
        <v>7633</v>
      </c>
      <c r="C3884" s="5" t="str">
        <f>IFERROR(__xludf.DUMMYFUNCTION("GOOGLETRANSLATE(A3884,""en"",""hy"")"),"Ո՞րն է մեր արեգակնային համակարգի ամենամեծ մոլորակը:")</f>
        <v>Ո՞րն է մեր արեգակնային համակարգի ամենամեծ մոլորակը:</v>
      </c>
      <c r="D3884" s="6" t="str">
        <f>IFERROR(__xludf.DUMMYFUNCTION("GOOGLETRANSLATE(B3884,""en"",""hy"")"),"Յուպիտեր.")</f>
        <v>Յուպիտեր.</v>
      </c>
    </row>
    <row r="3885">
      <c r="A3885" s="5" t="s">
        <v>7447</v>
      </c>
      <c r="B3885" s="5" t="s">
        <v>7448</v>
      </c>
      <c r="C3885" s="5" t="str">
        <f>IFERROR(__xludf.DUMMYFUNCTION("GOOGLETRANSLATE(A3885,""en"",""hy"")"),"Ո՞վ է նկարել Մոնա Լիզան:")</f>
        <v>Ո՞վ է նկարել Մոնա Լիզան:</v>
      </c>
      <c r="D3885" s="6" t="str">
        <f>IFERROR(__xludf.DUMMYFUNCTION("GOOGLETRANSLATE(B3885,""en"",""hy"")"),"Լեոնարդո դա Վինչի.")</f>
        <v>Լեոնարդո դա Վինչի.</v>
      </c>
    </row>
    <row r="3886">
      <c r="A3886" s="5" t="s">
        <v>7634</v>
      </c>
      <c r="B3886" s="5" t="s">
        <v>7635</v>
      </c>
      <c r="C3886" s="5" t="str">
        <f>IFERROR(__xludf.DUMMYFUNCTION("GOOGLETRANSLATE(A3886,""en"",""hy"")"),"Ո՞վ էր առաջին մարդը, ով ոտք դրեց լուսնի վրա:")</f>
        <v>Ո՞վ էր առաջին մարդը, ով ոտք դրեց լուսնի վրա:</v>
      </c>
      <c r="D3886" s="6" t="str">
        <f>IFERROR(__xludf.DUMMYFUNCTION("GOOGLETRANSLATE(B3886,""en"",""hy"")"),"Նիլ Արմսթրոնգ.")</f>
        <v>Նիլ Արմսթրոնգ.</v>
      </c>
    </row>
    <row r="3887">
      <c r="A3887" s="5" t="s">
        <v>7467</v>
      </c>
      <c r="B3887" s="5" t="s">
        <v>7468</v>
      </c>
      <c r="C3887" s="5" t="str">
        <f>IFERROR(__xludf.DUMMYFUNCTION("GOOGLETRANSLATE(A3887,""en"",""hy"")"),"Ո՞րն է Ճապոնիայի արժույթը:")</f>
        <v>Ո՞րն է Ճապոնիայի արժույթը:</v>
      </c>
      <c r="D3887" s="6" t="str">
        <f>IFERROR(__xludf.DUMMYFUNCTION("GOOGLETRANSLATE(B3887,""en"",""hy"")"),"Ճապոնիայի արժույթը ճապոնական իենն է։")</f>
        <v>Ճապոնիայի արժույթը ճապոնական իենն է։</v>
      </c>
    </row>
    <row r="3888">
      <c r="A3888" s="5" t="s">
        <v>7636</v>
      </c>
      <c r="B3888" s="5" t="s">
        <v>7464</v>
      </c>
      <c r="C3888" s="5" t="str">
        <f>IFERROR(__xludf.DUMMYFUNCTION("GOOGLETRANSLATE(A3888,""en"",""hy"")"),"Ո՞րն է աշխարհի ամենաբարձր լեռը:")</f>
        <v>Ո՞րն է աշխարհի ամենաբարձր լեռը:</v>
      </c>
      <c r="D3888" s="6" t="str">
        <f>IFERROR(__xludf.DUMMYFUNCTION("GOOGLETRANSLATE(B3888,""en"",""hy"")"),"Էվերեստ լեռ.")</f>
        <v>Էվերեստ լեռ.</v>
      </c>
    </row>
    <row r="3889">
      <c r="A3889" s="5" t="s">
        <v>7637</v>
      </c>
      <c r="B3889" s="5" t="s">
        <v>7638</v>
      </c>
      <c r="C3889" s="5" t="str">
        <f>IFERROR(__xludf.DUMMYFUNCTION("GOOGLETRANSLATE(A3889,""en"",""hy"")"),"Ո՞րն է թթվածին տարրի խորհրդանիշը:")</f>
        <v>Ո՞րն է թթվածին տարրի խորհրդանիշը:</v>
      </c>
      <c r="D3889" s="6" t="str">
        <f>IFERROR(__xludf.DUMMYFUNCTION("GOOGLETRANSLATE(B3889,""en"",""hy"")"),"Թթվածին տարրի խորհրդանիշն է «O»:")</f>
        <v>Թթվածին տարրի խորհրդանիշն է «O»:</v>
      </c>
    </row>
    <row r="3890">
      <c r="A3890" s="5" t="s">
        <v>7461</v>
      </c>
      <c r="B3890" s="5" t="s">
        <v>7639</v>
      </c>
      <c r="C3890" s="5" t="str">
        <f>IFERROR(__xludf.DUMMYFUNCTION("GOOGLETRANSLATE(A3890,""en"",""hy"")"),"Ո՞րն է մարդու մարմնի ամենամեծ օրգանը:")</f>
        <v>Ո՞րն է մարդու մարմնի ամենամեծ օրգանը:</v>
      </c>
      <c r="D3890" s="6" t="str">
        <f>IFERROR(__xludf.DUMMYFUNCTION("GOOGLETRANSLATE(B3890,""en"",""hy"")"),"Մարդու մարմնի ամենամեծ օրգանը մաշկն է։")</f>
        <v>Մարդու մարմնի ամենամեծ օրգանը մաշկն է։</v>
      </c>
    </row>
    <row r="3891">
      <c r="A3891" s="5" t="s">
        <v>7640</v>
      </c>
      <c r="B3891" s="5" t="s">
        <v>1016</v>
      </c>
      <c r="C3891" s="5" t="str">
        <f>IFERROR(__xludf.DUMMYFUNCTION("GOOGLETRANSLATE(A3891,""en"",""hy"")"),"Ո՞վ է գրել «Ռոմեո և Ջուլիետ» պիեսը:")</f>
        <v>Ո՞վ է գրել «Ռոմեո և Ջուլիետ» պիեսը:</v>
      </c>
      <c r="D3891" s="6" t="str">
        <f>IFERROR(__xludf.DUMMYFUNCTION("GOOGLETRANSLATE(B3891,""en"",""hy"")"),"Ուիլյամ Շեքսպիր.")</f>
        <v>Ուիլյամ Շեքսպիր.</v>
      </c>
    </row>
    <row r="3892">
      <c r="A3892" s="5" t="s">
        <v>7483</v>
      </c>
      <c r="B3892" s="5" t="s">
        <v>7641</v>
      </c>
      <c r="C3892" s="5" t="str">
        <f>IFERROR(__xludf.DUMMYFUNCTION("GOOGLETRANSLATE(A3892,""en"",""hy"")"),"Ո՞րն է ջրի քիմիական բանաձևը:")</f>
        <v>Ո՞րն է ջրի քիմիական բանաձևը:</v>
      </c>
      <c r="D3892" s="6" t="str">
        <f>IFERROR(__xludf.DUMMYFUNCTION("GOOGLETRANSLATE(B3892,""en"",""hy"")"),"Ջրի քիմիական բանաձևը H2O է:")</f>
        <v>Ջրի քիմիական բանաձևը H2O է:</v>
      </c>
    </row>
    <row r="3893">
      <c r="A3893" s="5" t="s">
        <v>7534</v>
      </c>
      <c r="B3893" s="5" t="s">
        <v>7535</v>
      </c>
      <c r="C3893" s="5" t="str">
        <f>IFERROR(__xludf.DUMMYFUNCTION("GOOGLETRANSLATE(A3893,""en"",""hy"")"),"Ո՞վ է հորինել հեռախոսը:")</f>
        <v>Ո՞վ է հորինել հեռախոսը:</v>
      </c>
      <c r="D3893" s="6" t="str">
        <f>IFERROR(__xludf.DUMMYFUNCTION("GOOGLETRANSLATE(B3893,""en"",""hy"")"),"Ալեքսանդր Գրեհեմ Բել.")</f>
        <v>Ալեքսանդր Գրեհեմ Բել.</v>
      </c>
    </row>
    <row r="3894">
      <c r="A3894" s="5" t="s">
        <v>7642</v>
      </c>
      <c r="B3894" s="5" t="s">
        <v>7643</v>
      </c>
      <c r="C3894" s="5" t="str">
        <f>IFERROR(__xludf.DUMMYFUNCTION("GOOGLETRANSLATE(A3894,""en"",""hy"")"),"Ո՞րն է Կանադայի մայրաքաղաքը:")</f>
        <v>Ո՞րն է Կանադայի մայրաքաղաքը:</v>
      </c>
      <c r="D3894" s="6" t="str">
        <f>IFERROR(__xludf.DUMMYFUNCTION("GOOGLETRANSLATE(B3894,""en"",""hy"")"),"Օտտավա")</f>
        <v>Օտտավա</v>
      </c>
    </row>
    <row r="3895">
      <c r="A3895" s="5" t="s">
        <v>7644</v>
      </c>
      <c r="B3895" s="5" t="s">
        <v>7541</v>
      </c>
      <c r="C3895" s="5" t="str">
        <f>IFERROR(__xludf.DUMMYFUNCTION("GOOGLETRANSLATE(A3895,""en"",""hy"")"),"Ո՞վ է «Սպանել ծաղրող թռչունին» գրքի հեղինակը.")</f>
        <v>Ո՞վ է «Սպանել ծաղրող թռչունին» գրքի հեղինակը.</v>
      </c>
      <c r="D3895" s="6" t="str">
        <f>IFERROR(__xludf.DUMMYFUNCTION("GOOGLETRANSLATE(B3895,""en"",""hy"")"),"Հարփեր Լի.")</f>
        <v>Հարփեր Լի.</v>
      </c>
    </row>
    <row r="3896">
      <c r="A3896" s="5" t="s">
        <v>7645</v>
      </c>
      <c r="B3896" s="5" t="s">
        <v>7646</v>
      </c>
      <c r="C3896" s="5" t="str">
        <f>IFERROR(__xludf.DUMMYFUNCTION("GOOGLETRANSLATE(A3896,""en"",""hy"")"),"Ո՞րն է Երկրի ամենամեծ օվկիանոսը:")</f>
        <v>Ո՞րն է Երկրի ամենամեծ օվկիանոսը:</v>
      </c>
      <c r="D3896" s="6" t="str">
        <f>IFERROR(__xludf.DUMMYFUNCTION("GOOGLETRANSLATE(B3896,""en"",""hy"")"),"Խաղաղ օվկիանոս.")</f>
        <v>Խաղաղ օվկիանոս.</v>
      </c>
    </row>
    <row r="3897">
      <c r="A3897" s="5" t="s">
        <v>7647</v>
      </c>
      <c r="B3897" s="5" t="s">
        <v>7648</v>
      </c>
      <c r="C3897" s="5" t="str">
        <f>IFERROR(__xludf.DUMMYFUNCTION("GOOGLETRANSLATE(A3897,""en"",""hy"")"),"Ո՞վ է նկարել «Աստղային գիշերը»:")</f>
        <v>Ո՞վ է նկարել «Աստղային գիշերը»:</v>
      </c>
      <c r="D3897" s="6" t="str">
        <f>IFERROR(__xludf.DUMMYFUNCTION("GOOGLETRANSLATE(B3897,""en"",""hy"")"),"Վինսենթ վան Գոգ.")</f>
        <v>Վինսենթ վան Գոգ.</v>
      </c>
    </row>
    <row r="3898">
      <c r="A3898" s="5" t="s">
        <v>7649</v>
      </c>
      <c r="B3898" s="5" t="s">
        <v>7650</v>
      </c>
      <c r="C3898" s="5" t="str">
        <f>IFERROR(__xludf.DUMMYFUNCTION("GOOGLETRANSLATE(A3898,""en"",""hy"")"),"Ո՞րն է Ավստրալիայի արժույթը:")</f>
        <v>Ո՞րն է Ավստրալիայի արժույթը:</v>
      </c>
      <c r="D3898" s="6" t="str">
        <f>IFERROR(__xludf.DUMMYFUNCTION("GOOGLETRANSLATE(B3898,""en"",""hy"")"),"Ավստրալիայի արժույթը Ավստրալիական դոլարն է (AUD):")</f>
        <v>Ավստրալիայի արժույթը Ավստրալիական դոլարն է (AUD):</v>
      </c>
    </row>
    <row r="3899">
      <c r="A3899" s="5" t="s">
        <v>7443</v>
      </c>
      <c r="B3899" s="5" t="s">
        <v>7444</v>
      </c>
      <c r="C3899" s="5" t="str">
        <f>IFERROR(__xludf.DUMMYFUNCTION("GOOGLETRANSLATE(A3899,""en"",""hy"")"),"Ո՞վ է գրել «1984» վեպը։")</f>
        <v>Ո՞վ է գրել «1984» վեպը։</v>
      </c>
      <c r="D3899" s="6" t="str">
        <f>IFERROR(__xludf.DUMMYFUNCTION("GOOGLETRANSLATE(B3899,""en"",""hy"")"),"Ջորջ Օրուել.")</f>
        <v>Ջորջ Օրուել.</v>
      </c>
    </row>
    <row r="3900">
      <c r="A3900" s="5" t="s">
        <v>7651</v>
      </c>
      <c r="B3900" s="5" t="s">
        <v>7652</v>
      </c>
      <c r="C3900" s="5" t="str">
        <f>IFERROR(__xludf.DUMMYFUNCTION("GOOGLETRANSLATE(A3900,""en"",""hy"")"),"Ո՞րն է երկաթ տարրի խորհրդանիշը:")</f>
        <v>Ո՞րն է երկաթ տարրի խորհրդանիշը:</v>
      </c>
      <c r="D3900" s="6" t="str">
        <f>IFERROR(__xludf.DUMMYFUNCTION("GOOGLETRANSLATE(B3900,""en"",""hy"")"),"Երկաթի տարրի խորհրդանիշը Fe է:")</f>
        <v>Երկաթի տարրի խորհրդանիշը Fe է:</v>
      </c>
    </row>
    <row r="3901">
      <c r="A3901" s="5" t="s">
        <v>7653</v>
      </c>
      <c r="B3901" s="5" t="s">
        <v>6011</v>
      </c>
      <c r="C3901" s="5" t="str">
        <f>IFERROR(__xludf.DUMMYFUNCTION("GOOGLETRANSLATE(A3901,""en"",""hy"")"),"Ո՞րն է Իսպանիայի մայրաքաղաքը:")</f>
        <v>Ո՞րն է Իսպանիայի մայրաքաղաքը:</v>
      </c>
      <c r="D3901" s="6" t="str">
        <f>IFERROR(__xludf.DUMMYFUNCTION("GOOGLETRANSLATE(B3901,""en"",""hy"")"),"Մադրիդ")</f>
        <v>Մադրիդ</v>
      </c>
    </row>
    <row r="3902">
      <c r="A3902" s="5" t="s">
        <v>7654</v>
      </c>
      <c r="B3902" s="5" t="s">
        <v>7499</v>
      </c>
      <c r="C3902" s="5" t="str">
        <f>IFERROR(__xludf.DUMMYFUNCTION("GOOGLETRANSLATE(A3902,""en"",""hy"")"),"Ո՞վ է հայտնի որպես «Ժամանակակից ֆիզիկայի հայր»:")</f>
        <v>Ո՞վ է հայտնի որպես «Ժամանակակից ֆիզիկայի հայր»:</v>
      </c>
      <c r="D3902" s="6" t="str">
        <f>IFERROR(__xludf.DUMMYFUNCTION("GOOGLETRANSLATE(B3902,""en"",""hy"")"),"Albert Einstein")</f>
        <v>Albert Einstein</v>
      </c>
    </row>
    <row r="3903">
      <c r="A3903" s="5" t="s">
        <v>7471</v>
      </c>
      <c r="B3903" s="5" t="s">
        <v>7472</v>
      </c>
      <c r="C3903" s="5" t="str">
        <f>IFERROR(__xludf.DUMMYFUNCTION("GOOGLETRANSLATE(A3903,""en"",""hy"")"),"Ո՞րն է Երկրի ամենամեծ կենդանին:")</f>
        <v>Ո՞րն է Երկրի ամենամեծ կենդանին:</v>
      </c>
      <c r="D3903" s="6" t="str">
        <f>IFERROR(__xludf.DUMMYFUNCTION("GOOGLETRANSLATE(B3903,""en"",""hy"")"),"Կապույտ կետը.")</f>
        <v>Կապույտ կետը.</v>
      </c>
    </row>
    <row r="3904">
      <c r="A3904" s="5" t="s">
        <v>7655</v>
      </c>
      <c r="B3904" s="5" t="s">
        <v>7656</v>
      </c>
      <c r="C3904" s="5" t="str">
        <f>IFERROR(__xludf.DUMMYFUNCTION("GOOGLETRANSLATE(A3904,""en"",""hy"")"),"Ո՞վ է գրել «Ագռավը» բանաստեղծությունը:")</f>
        <v>Ո՞վ է գրել «Ագռավը» բանաստեղծությունը:</v>
      </c>
      <c r="D3904" s="6" t="str">
        <f>IFERROR(__xludf.DUMMYFUNCTION("GOOGLETRANSLATE(B3904,""en"",""hy"")"),"Էդգար Ալան Պո.")</f>
        <v>Էդգար Ալան Պո.</v>
      </c>
    </row>
    <row r="3905">
      <c r="A3905" s="5" t="s">
        <v>7657</v>
      </c>
      <c r="B3905" s="5" t="s">
        <v>7658</v>
      </c>
      <c r="C3905" s="5" t="str">
        <f>IFERROR(__xludf.DUMMYFUNCTION("GOOGLETRANSLATE(A3905,""en"",""hy"")"),"Ո՞րն է 1 ատոմային համարով քիմիական տարրը:")</f>
        <v>Ո՞րն է 1 ատոմային համարով քիմիական տարրը:</v>
      </c>
      <c r="D3905" s="6" t="str">
        <f>IFERROR(__xludf.DUMMYFUNCTION("GOOGLETRANSLATE(B3905,""en"",""hy"")"),"Ջրածին.")</f>
        <v>Ջրածին.</v>
      </c>
    </row>
    <row r="3906">
      <c r="A3906" s="5" t="s">
        <v>7659</v>
      </c>
      <c r="B3906" s="5" t="s">
        <v>7516</v>
      </c>
      <c r="C3906" s="5" t="str">
        <f>IFERROR(__xludf.DUMMYFUNCTION("GOOGLETRANSLATE(A3906,""en"",""hy"")"),"Ո՞րն է Բրազիլիայի մայրաքաղաքը:")</f>
        <v>Ո՞րն է Բրազիլիայի մայրաքաղաքը:</v>
      </c>
      <c r="D3906" s="6" t="str">
        <f>IFERROR(__xludf.DUMMYFUNCTION("GOOGLETRANSLATE(B3906,""en"",""hy"")"),"Բրազիլիա.")</f>
        <v>Բրազիլիա.</v>
      </c>
    </row>
    <row r="3907">
      <c r="A3907" s="5" t="s">
        <v>7660</v>
      </c>
      <c r="B3907" s="5" t="s">
        <v>7661</v>
      </c>
      <c r="C3907" s="5" t="str">
        <f>IFERROR(__xludf.DUMMYFUNCTION("GOOGLETRANSLATE(A3907,""en"",""hy"")"),"Ո՞վ է «Մեծն Գեթսբիի» հեղինակը.")</f>
        <v>Ո՞վ է «Մեծն Գեթսբիի» հեղինակը.</v>
      </c>
      <c r="D3907" s="6" t="str">
        <f>IFERROR(__xludf.DUMMYFUNCTION("GOOGLETRANSLATE(B3907,""en"",""hy"")"),"F. Scott Fitzgerald.")</f>
        <v>F. Scott Fitzgerald.</v>
      </c>
    </row>
    <row r="3908">
      <c r="A3908" s="5" t="s">
        <v>7662</v>
      </c>
      <c r="B3908" s="5" t="s">
        <v>7663</v>
      </c>
      <c r="C3908" s="5" t="str">
        <f>IFERROR(__xludf.DUMMYFUNCTION("GOOGLETRANSLATE(A3908,""en"",""hy"")"),"Ո՞րն է Հնդկաստանի արժույթը:")</f>
        <v>Ո՞րն է Հնդկաստանի արժույթը:</v>
      </c>
      <c r="D3908" s="6" t="str">
        <f>IFERROR(__xludf.DUMMYFUNCTION("GOOGLETRANSLATE(B3908,""en"",""hy"")"),"Հնդկաստանի արժույթը հնդկական ռուփին է։")</f>
        <v>Հնդկաստանի արժույթը հնդկական ռուփին է։</v>
      </c>
    </row>
    <row r="3909">
      <c r="A3909" s="5" t="s">
        <v>7513</v>
      </c>
      <c r="B3909" s="5" t="s">
        <v>7514</v>
      </c>
      <c r="C3909" s="5" t="str">
        <f>IFERROR(__xludf.DUMMYFUNCTION("GOOGLETRANSLATE(A3909,""en"",""hy"")"),"Ո՞րն է աշխարհի ամենամեծ անապատը:")</f>
        <v>Ո՞րն է աշխարհի ամենամեծ անապատը:</v>
      </c>
      <c r="D3909" s="6" t="str">
        <f>IFERROR(__xludf.DUMMYFUNCTION("GOOGLETRANSLATE(B3909,""en"",""hy"")"),"Աշխարհի ամենամեծ անապատը Սահարա անապատն է։")</f>
        <v>Աշխարհի ամենամեծ անապատը Սահարա անապատն է։</v>
      </c>
    </row>
    <row r="3910">
      <c r="A3910" s="5" t="s">
        <v>7473</v>
      </c>
      <c r="B3910" s="5" t="s">
        <v>7474</v>
      </c>
      <c r="C3910" s="5" t="str">
        <f>IFERROR(__xludf.DUMMYFUNCTION("GOOGLETRANSLATE(A3910,""en"",""hy"")"),"Ո՞վ է նկարել Սիքստինյան կապելլայի առաստաղը:")</f>
        <v>Ո՞վ է նկարել Սիքստինյան կապելլայի առաստաղը:</v>
      </c>
      <c r="D3910" s="6" t="str">
        <f>IFERROR(__xludf.DUMMYFUNCTION("GOOGLETRANSLATE(B3910,""en"",""hy"")"),"Միքելանջելո.")</f>
        <v>Միքելանջելո.</v>
      </c>
    </row>
    <row r="3911">
      <c r="A3911" s="5" t="s">
        <v>7506</v>
      </c>
      <c r="B3911" s="5" t="s">
        <v>7507</v>
      </c>
      <c r="C3911" s="5" t="str">
        <f>IFERROR(__xludf.DUMMYFUNCTION("GOOGLETRANSLATE(A3911,""en"",""hy"")"),"Ո՞րն է աշխարհի ամենափոքր երկիրը:")</f>
        <v>Ո՞րն է աշխարհի ամենափոքր երկիրը:</v>
      </c>
      <c r="D3911" s="6" t="str">
        <f>IFERROR(__xludf.DUMMYFUNCTION("GOOGLETRANSLATE(B3911,""en"",""hy"")"),"Քաղաք Վատիկան.")</f>
        <v>Քաղաք Վատիկան.</v>
      </c>
    </row>
    <row r="3912">
      <c r="A3912" s="5" t="s">
        <v>7664</v>
      </c>
      <c r="B3912" s="5" t="s">
        <v>7578</v>
      </c>
      <c r="C3912" s="5" t="str">
        <f>IFERROR(__xludf.DUMMYFUNCTION("GOOGLETRANSLATE(A3912,""en"",""hy"")"),"Ո՞վ է «Մոբի-Դիկի» հեղինակը։")</f>
        <v>Ո՞վ է «Մոբի-Դիկի» հեղինակը։</v>
      </c>
      <c r="D3912" s="6" t="str">
        <f>IFERROR(__xludf.DUMMYFUNCTION("GOOGLETRANSLATE(B3912,""en"",""hy"")"),"Հերման Մելվիլ.")</f>
        <v>Հերման Մելվիլ.</v>
      </c>
    </row>
    <row r="3913">
      <c r="A3913" s="5" t="s">
        <v>7665</v>
      </c>
      <c r="B3913" s="5" t="s">
        <v>7666</v>
      </c>
      <c r="C3913" s="5" t="str">
        <f>IFERROR(__xludf.DUMMYFUNCTION("GOOGLETRANSLATE(A3913,""en"",""hy"")"),"Ո՞րն է նատրիումի քիմիական նշանը:")</f>
        <v>Ո՞րն է նատրիումի քիմիական նշանը:</v>
      </c>
      <c r="D3913" s="6" t="str">
        <f>IFERROR(__xludf.DUMMYFUNCTION("GOOGLETRANSLATE(B3913,""en"",""hy"")"),"Նա")</f>
        <v>Նա</v>
      </c>
    </row>
    <row r="3914">
      <c r="A3914" s="5" t="s">
        <v>7572</v>
      </c>
      <c r="B3914" s="5" t="s">
        <v>7573</v>
      </c>
      <c r="C3914" s="5" t="str">
        <f>IFERROR(__xludf.DUMMYFUNCTION("GOOGLETRANSLATE(A3914,""en"",""hy"")"),"Ո՞վ է հորինել լամպը:")</f>
        <v>Ո՞վ է հորինել լամպը:</v>
      </c>
      <c r="D3914" s="6" t="str">
        <f>IFERROR(__xludf.DUMMYFUNCTION("GOOGLETRANSLATE(B3914,""en"",""hy"")"),"Թոմաս Էդիսոն.")</f>
        <v>Թոմաս Էդիսոն.</v>
      </c>
    </row>
    <row r="3915">
      <c r="A3915" s="5" t="s">
        <v>7667</v>
      </c>
      <c r="B3915" s="5" t="s">
        <v>7554</v>
      </c>
      <c r="C3915" s="5" t="str">
        <f>IFERROR(__xludf.DUMMYFUNCTION("GOOGLETRANSLATE(A3915,""en"",""hy"")"),"Ո՞րն է Հարավային Աֆրիկայի մայրաքաղաքը:")</f>
        <v>Ո՞րն է Հարավային Աֆրիկայի մայրաքաղաքը:</v>
      </c>
      <c r="D3915" s="6" t="str">
        <f>IFERROR(__xludf.DUMMYFUNCTION("GOOGLETRANSLATE(B3915,""en"",""hy"")"),"Պրետորիա.")</f>
        <v>Պրետորիա.</v>
      </c>
    </row>
    <row r="3916">
      <c r="A3916" s="5" t="s">
        <v>7668</v>
      </c>
      <c r="B3916" s="5" t="s">
        <v>7486</v>
      </c>
      <c r="C3916" s="5" t="str">
        <f>IFERROR(__xludf.DUMMYFUNCTION("GOOGLETRANSLATE(A3916,""en"",""hy"")"),"Ո՞վ է «Հարի Փոթեր» շարքի հեղինակը.")</f>
        <v>Ո՞վ է «Հարի Փոթեր» շարքի հեղինակը.</v>
      </c>
      <c r="D3916" s="6" t="str">
        <f>IFERROR(__xludf.DUMMYFUNCTION("GOOGLETRANSLATE(B3916,""en"",""hy"")"),"Ջ.Կ. Ռոուլինգ.")</f>
        <v>Ջ.Կ. Ռոուլինգ.</v>
      </c>
    </row>
    <row r="3917">
      <c r="A3917" s="5" t="s">
        <v>7561</v>
      </c>
      <c r="B3917" s="5" t="s">
        <v>7669</v>
      </c>
      <c r="C3917" s="5" t="str">
        <f>IFERROR(__xludf.DUMMYFUNCTION("GOOGLETRANSLATE(A3917,""en"",""hy"")"),"Ո՞րն է Մեքսիկայի արժույթը:")</f>
        <v>Ո՞րն է Մեքսիկայի արժույթը:</v>
      </c>
      <c r="D3917" s="6" t="str">
        <f>IFERROR(__xludf.DUMMYFUNCTION("GOOGLETRANSLATE(B3917,""en"",""hy"")"),"Մեքսիկայի արժույթը մեքսիկական պեսոն է։")</f>
        <v>Մեքսիկայի արժույթը մեքսիկական պեսոն է։</v>
      </c>
    </row>
    <row r="3918">
      <c r="A3918" s="5" t="s">
        <v>7670</v>
      </c>
      <c r="B3918" s="5" t="s">
        <v>7671</v>
      </c>
      <c r="C3918" s="5" t="str">
        <f>IFERROR(__xludf.DUMMYFUNCTION("GOOGLETRANSLATE(A3918,""en"",""hy"")"),"Ո՞րն է աշխարհի ամենաերկար գետը:")</f>
        <v>Ո՞րն է աշխարհի ամենաերկար գետը:</v>
      </c>
      <c r="D3918" s="6" t="str">
        <f>IFERROR(__xludf.DUMMYFUNCTION("GOOGLETRANSLATE(B3918,""en"",""hy"")"),"Նեղոս գետ.")</f>
        <v>Նեղոս գետ.</v>
      </c>
    </row>
    <row r="3919">
      <c r="A3919" s="5" t="s">
        <v>7517</v>
      </c>
      <c r="B3919" s="5" t="s">
        <v>7448</v>
      </c>
      <c r="C3919" s="5" t="str">
        <f>IFERROR(__xludf.DUMMYFUNCTION("GOOGLETRANSLATE(A3919,""en"",""hy"")"),"Ո՞վ է նկարել Վերջին ընթրիքը:")</f>
        <v>Ո՞վ է նկարել Վերջին ընթրիքը:</v>
      </c>
      <c r="D3919" s="6" t="str">
        <f>IFERROR(__xludf.DUMMYFUNCTION("GOOGLETRANSLATE(B3919,""en"",""hy"")"),"Լեոնարդո դա Վինչի.")</f>
        <v>Լեոնարդո դա Վինչի.</v>
      </c>
    </row>
    <row r="3920">
      <c r="A3920" s="5" t="s">
        <v>7672</v>
      </c>
      <c r="B3920" s="5" t="s">
        <v>7673</v>
      </c>
      <c r="C3920" s="5" t="str">
        <f>IFERROR(__xludf.DUMMYFUNCTION("GOOGLETRANSLATE(A3920,""en"",""hy"")"),"Ո՞րն է Հարավային Ամերիկայի ամենամեծ երկիրը:")</f>
        <v>Ո՞րն է Հարավային Ամերիկայի ամենամեծ երկիրը:</v>
      </c>
      <c r="D3920" s="6" t="str">
        <f>IFERROR(__xludf.DUMMYFUNCTION("GOOGLETRANSLATE(B3920,""en"",""hy"")"),"Բրազիլիա.")</f>
        <v>Բրազիլիա.</v>
      </c>
    </row>
    <row r="3921">
      <c r="A3921" s="5" t="s">
        <v>7674</v>
      </c>
      <c r="B3921" s="5" t="s">
        <v>7675</v>
      </c>
      <c r="C3921" s="5" t="str">
        <f>IFERROR(__xludf.DUMMYFUNCTION("GOOGLETRANSLATE(A3921,""en"",""hy"")"),"Ո՞վ է հունական ծովի աստվածը:")</f>
        <v>Ո՞վ է հունական ծովի աստվածը:</v>
      </c>
      <c r="D3921" s="6" t="str">
        <f>IFERROR(__xludf.DUMMYFUNCTION("GOOGLETRANSLATE(B3921,""en"",""hy"")"),"Պոսեյդոն.")</f>
        <v>Պոսեյդոն.</v>
      </c>
    </row>
    <row r="3922">
      <c r="A3922" s="5" t="s">
        <v>7676</v>
      </c>
      <c r="B3922" s="5" t="s">
        <v>7677</v>
      </c>
      <c r="C3922" s="5" t="str">
        <f>IFERROR(__xludf.DUMMYFUNCTION("GOOGLETRANSLATE(A3922,""en"",""hy"")"),"Ո՞րն է 6 ատոմային համարով քիմիական տարրը:")</f>
        <v>Ո՞րն է 6 ատոմային համարով քիմիական տարրը:</v>
      </c>
      <c r="D3922" s="6" t="str">
        <f>IFERROR(__xludf.DUMMYFUNCTION("GOOGLETRANSLATE(B3922,""en"",""hy"")"),"Ածխածին")</f>
        <v>Ածխածին</v>
      </c>
    </row>
    <row r="3923">
      <c r="A3923" s="5" t="s">
        <v>7678</v>
      </c>
      <c r="B3923" s="5" t="s">
        <v>7451</v>
      </c>
      <c r="C3923" s="5" t="str">
        <f>IFERROR(__xludf.DUMMYFUNCTION("GOOGLETRANSLATE(A3923,""en"",""hy"")"),"Ո՞րն է Ավստրալիայի մայրաքաղաքը:")</f>
        <v>Ո՞րն է Ավստրալիայի մայրաքաղաքը:</v>
      </c>
      <c r="D3923" s="6" t="str">
        <f>IFERROR(__xludf.DUMMYFUNCTION("GOOGLETRANSLATE(B3923,""en"",""hy"")"),"Կանբերա.")</f>
        <v>Կանբերա.</v>
      </c>
    </row>
    <row r="3924">
      <c r="A3924" s="5" t="s">
        <v>7679</v>
      </c>
      <c r="B3924" s="5" t="s">
        <v>7560</v>
      </c>
      <c r="C3924" s="5" t="str">
        <f>IFERROR(__xludf.DUMMYFUNCTION("GOOGLETRANSLATE(A3924,""en"",""hy"")"),"Ո՞վ է «The Catcher in the Rye»-ի հեղինակը.")</f>
        <v>Ո՞վ է «The Catcher in the Rye»-ի հեղինակը.</v>
      </c>
      <c r="D3924" s="6" t="str">
        <f>IFERROR(__xludf.DUMMYFUNCTION("GOOGLETRANSLATE(B3924,""en"",""hy"")"),"Ջ.Դ.Սելինջեր.")</f>
        <v>Ջ.Դ.Սելինջեր.</v>
      </c>
    </row>
    <row r="3925">
      <c r="A3925" s="5" t="s">
        <v>7522</v>
      </c>
      <c r="B3925" s="5" t="s">
        <v>7680</v>
      </c>
      <c r="C3925" s="5" t="str">
        <f>IFERROR(__xludf.DUMMYFUNCTION("GOOGLETRANSLATE(A3925,""en"",""hy"")"),"Ո՞րն է Չինաստանի արժույթը:")</f>
        <v>Ո՞րն է Չինաստանի արժույթը:</v>
      </c>
      <c r="D3925" s="6" t="str">
        <f>IFERROR(__xludf.DUMMYFUNCTION("GOOGLETRANSLATE(B3925,""en"",""hy"")"),"Չինաստանի արժույթը չինական յուանն է։")</f>
        <v>Չինաստանի արժույթը չինական յուանն է։</v>
      </c>
    </row>
    <row r="3926">
      <c r="A3926" s="5" t="s">
        <v>7681</v>
      </c>
      <c r="B3926" s="5" t="s">
        <v>7682</v>
      </c>
      <c r="C3926" s="5" t="str">
        <f>IFERROR(__xludf.DUMMYFUNCTION("GOOGLETRANSLATE(A3926,""en"",""hy"")"),"Ո՞րն է աշխարհի ամենաբարձր կաթնասունը:")</f>
        <v>Ո՞րն է աշխարհի ամենաբարձր կաթնասունը:</v>
      </c>
      <c r="D3926" s="6" t="str">
        <f>IFERROR(__xludf.DUMMYFUNCTION("GOOGLETRANSLATE(B3926,""en"",""hy"")"),"Ընձուղտ")</f>
        <v>Ընձուղտ</v>
      </c>
    </row>
    <row r="3927">
      <c r="A3927" s="5" t="s">
        <v>7683</v>
      </c>
      <c r="B3927" s="5" t="s">
        <v>1016</v>
      </c>
      <c r="C3927" s="5" t="str">
        <f>IFERROR(__xludf.DUMMYFUNCTION("GOOGLETRANSLATE(A3927,""en"",""hy"")"),"Ո՞վ է գրել «Համլետ» պիեսը։")</f>
        <v>Ո՞վ է գրել «Համլետ» պիեսը։</v>
      </c>
      <c r="D3927" s="6" t="str">
        <f>IFERROR(__xludf.DUMMYFUNCTION("GOOGLETRANSLATE(B3927,""en"",""hy"")"),"Ուիլյամ Շեքսպիր.")</f>
        <v>Ուիլյամ Շեքսպիր.</v>
      </c>
    </row>
    <row r="3928">
      <c r="A3928" s="5" t="s">
        <v>7509</v>
      </c>
      <c r="B3928" s="5" t="s">
        <v>7684</v>
      </c>
      <c r="C3928" s="5" t="str">
        <f>IFERROR(__xludf.DUMMYFUNCTION("GOOGLETRANSLATE(A3928,""en"",""hy"")"),"Ո՞րն է արծաթի քիմիական նշանը:")</f>
        <v>Ո՞րն է արծաթի քիմիական նշանը:</v>
      </c>
      <c r="D3928" s="6" t="str">
        <f>IFERROR(__xludf.DUMMYFUNCTION("GOOGLETRANSLATE(B3928,""en"",""hy"")"),"Արծաթի քիմիական խորհրդանիշն է Ag.")</f>
        <v>Արծաթի քիմիական խորհրդանիշն է Ag.</v>
      </c>
    </row>
    <row r="3929">
      <c r="A3929" s="5" t="s">
        <v>7685</v>
      </c>
      <c r="B3929" s="5" t="s">
        <v>7556</v>
      </c>
      <c r="C3929" s="5" t="str">
        <f>IFERROR(__xludf.DUMMYFUNCTION("GOOGLETRANSLATE(A3929,""en"",""hy"")"),"Ո՞վ է հորինել հարաբերականության ընդհանուր տեսությունը:")</f>
        <v>Ո՞վ է հորինել հարաբերականության ընդհանուր տեսությունը:</v>
      </c>
      <c r="D3929" s="6" t="str">
        <f>IFERROR(__xludf.DUMMYFUNCTION("GOOGLETRANSLATE(B3929,""en"",""hy"")"),"Albert Einstein.")</f>
        <v>Albert Einstein.</v>
      </c>
    </row>
    <row r="3930">
      <c r="A3930" s="5" t="s">
        <v>7686</v>
      </c>
      <c r="B3930" s="5" t="s">
        <v>6980</v>
      </c>
      <c r="C3930" s="5" t="str">
        <f>IFERROR(__xludf.DUMMYFUNCTION("GOOGLETRANSLATE(A3930,""en"",""hy"")"),"Ո՞րն է Գերմանիայի մայրաքաղաքը:")</f>
        <v>Ո՞րն է Գերմանիայի մայրաքաղաքը:</v>
      </c>
      <c r="D3930" s="6" t="str">
        <f>IFERROR(__xludf.DUMMYFUNCTION("GOOGLETRANSLATE(B3930,""en"",""hy"")"),"Բեռլին")</f>
        <v>Բեռլին</v>
      </c>
    </row>
    <row r="3931">
      <c r="A3931" s="5" t="s">
        <v>7687</v>
      </c>
      <c r="B3931" s="5" t="s">
        <v>7688</v>
      </c>
      <c r="C3931" s="5" t="str">
        <f>IFERROR(__xludf.DUMMYFUNCTION("GOOGLETRANSLATE(A3931,""en"",""hy"")"),"Ո՞վ է «Մատանիների տիրակալը» ֆիլմի հեղինակը.")</f>
        <v>Ո՞վ է «Մատանիների տիրակալը» ֆիլմի հեղինակը.</v>
      </c>
      <c r="D3931" s="6" t="str">
        <f>IFERROR(__xludf.DUMMYFUNCTION("GOOGLETRANSLATE(B3931,""en"",""hy"")"),"Ջ.Ռ.Ռ. Թոլքինը")</f>
        <v>Ջ.Ռ.Ռ. Թոլքինը</v>
      </c>
    </row>
    <row r="3932">
      <c r="A3932" s="5" t="s">
        <v>7689</v>
      </c>
      <c r="B3932" s="5" t="s">
        <v>7690</v>
      </c>
      <c r="C3932" s="5" t="str">
        <f>IFERROR(__xludf.DUMMYFUNCTION("GOOGLETRANSLATE(A3932,""en"",""hy"")"),"Ո՞րն է Ռուսաստանի արժույթը:")</f>
        <v>Ո՞րն է Ռուսաստանի արժույթը:</v>
      </c>
      <c r="D3932" s="6" t="str">
        <f>IFERROR(__xludf.DUMMYFUNCTION("GOOGLETRANSLATE(B3932,""en"",""hy"")"),"Ռուսաստանի արժույթը ռուսական ռուբլին է։")</f>
        <v>Ռուսաստանի արժույթը ռուսական ռուբլին է։</v>
      </c>
    </row>
    <row r="3933">
      <c r="A3933" s="5" t="s">
        <v>7691</v>
      </c>
      <c r="B3933" s="5" t="s">
        <v>7692</v>
      </c>
      <c r="C3933" s="5" t="str">
        <f>IFERROR(__xludf.DUMMYFUNCTION("GOOGLETRANSLATE(A3933,""en"",""hy"")"),"Ո՞րն է Աֆրիկայի ամենամեծ լիճը:")</f>
        <v>Ո՞րն է Աֆրիկայի ամենամեծ լիճը:</v>
      </c>
      <c r="D3933" s="6" t="str">
        <f>IFERROR(__xludf.DUMMYFUNCTION("GOOGLETRANSLATE(B3933,""en"",""hy"")"),"Վիկտորիա լիճ.")</f>
        <v>Վիկտորիա լիճ.</v>
      </c>
    </row>
    <row r="3934">
      <c r="A3934" s="5" t="s">
        <v>7693</v>
      </c>
      <c r="B3934" s="5" t="s">
        <v>7474</v>
      </c>
      <c r="C3934" s="5" t="str">
        <f>IFERROR(__xludf.DUMMYFUNCTION("GOOGLETRANSLATE(A3934,""en"",""hy"")"),"Ո՞վ է նկարել Ադամի ստեղծագործությունը Սիքստինյան կապելլայի առաստաղին:")</f>
        <v>Ո՞վ է նկարել Ադամի ստեղծագործությունը Սիքստինյան կապելլայի առաստաղին:</v>
      </c>
      <c r="D3934" s="6" t="str">
        <f>IFERROR(__xludf.DUMMYFUNCTION("GOOGLETRANSLATE(B3934,""en"",""hy"")"),"Միքելանջելո.")</f>
        <v>Միքելանջելո.</v>
      </c>
    </row>
    <row r="3935">
      <c r="A3935" s="5" t="s">
        <v>7694</v>
      </c>
      <c r="B3935" s="5" t="s">
        <v>7695</v>
      </c>
      <c r="C3935" s="5" t="str">
        <f>IFERROR(__xludf.DUMMYFUNCTION("GOOGLETRANSLATE(A3935,""en"",""hy"")"),"Ո՞րն է աշխարհի ամենամեծ ջրվեժը:")</f>
        <v>Ո՞րն է աշխարհի ամենամեծ ջրվեժը:</v>
      </c>
      <c r="D3935" s="6" t="str">
        <f>IFERROR(__xludf.DUMMYFUNCTION("GOOGLETRANSLATE(B3935,""en"",""hy"")"),"Աշխարհի ամենամեծ ջրվեժը Angel Falls-ն է:")</f>
        <v>Աշխարհի ամենամեծ ջրվեժը Angel Falls-ն է:</v>
      </c>
    </row>
    <row r="3936">
      <c r="A3936" s="5" t="s">
        <v>7696</v>
      </c>
      <c r="B3936" s="5" t="s">
        <v>7697</v>
      </c>
      <c r="C3936" s="5" t="str">
        <f>IFERROR(__xludf.DUMMYFUNCTION("GOOGLETRANSLATE(A3936,""en"",""hy"")"),"Ո՞րն է մարդու մարմնի ամենափոքր ոսկորը:")</f>
        <v>Ո՞րն է մարդու մարմնի ամենափոքր ոսկորը:</v>
      </c>
      <c r="D3936" s="6" t="str">
        <f>IFERROR(__xludf.DUMMYFUNCTION("GOOGLETRANSLATE(B3936,""en"",""hy"")"),"Մարդու մարմնի ամենափոքր ոսկորը ականջի բծավոր ոսկորն է:")</f>
        <v>Մարդու մարմնի ամենափոքր ոսկորը ականջի բծավոր ոսկորն է:</v>
      </c>
    </row>
    <row r="3937">
      <c r="A3937" s="5" t="s">
        <v>7698</v>
      </c>
      <c r="B3937" s="5" t="s">
        <v>7630</v>
      </c>
      <c r="C3937" s="5" t="str">
        <f>IFERROR(__xludf.DUMMYFUNCTION("GOOGLETRANSLATE(A3937,""en"",""hy"")"),"Ո՞վ է գրել «Հպարտություն և նախապաշարմունք» վեպը:")</f>
        <v>Ո՞վ է գրել «Հպարտություն և նախապաշարմունք» վեպը:</v>
      </c>
      <c r="D3937" s="6" t="str">
        <f>IFERROR(__xludf.DUMMYFUNCTION("GOOGLETRANSLATE(B3937,""en"",""hy"")"),"Ջեյն Օսթին.")</f>
        <v>Ջեյն Օսթին.</v>
      </c>
    </row>
    <row r="3938">
      <c r="A3938" s="5" t="s">
        <v>7699</v>
      </c>
      <c r="B3938" s="5" t="s">
        <v>7700</v>
      </c>
      <c r="C3938" s="5" t="str">
        <f>IFERROR(__xludf.DUMMYFUNCTION("GOOGLETRANSLATE(A3938,""en"",""hy"")"),"Ո՞րն է ածխածնի քիմիական նշանը:")</f>
        <v>Ո՞րն է ածխածնի քիմիական նշանը:</v>
      </c>
      <c r="D3938" s="6" t="str">
        <f>IFERROR(__xludf.DUMMYFUNCTION("GOOGLETRANSLATE(B3938,""en"",""hy"")"),"Ածխածնի քիմիական նշանը C է:")</f>
        <v>Ածխածնի քիմիական նշանը C է:</v>
      </c>
    </row>
    <row r="3939">
      <c r="A3939" s="5" t="s">
        <v>7701</v>
      </c>
      <c r="B3939" s="5" t="s">
        <v>7702</v>
      </c>
      <c r="C3939" s="5" t="str">
        <f>IFERROR(__xludf.DUMMYFUNCTION("GOOGLETRANSLATE(A3939,""en"",""hy"")"),"Ո՞վ է հորինել համակարգիչը:")</f>
        <v>Ո՞վ է հորինել համակարգիչը:</v>
      </c>
      <c r="D3939" s="6" t="str">
        <f>IFERROR(__xludf.DUMMYFUNCTION("GOOGLETRANSLATE(B3939,""en"",""hy"")"),"Համակարգիչը հայտնագործվել է ոչ թե մեկ մարդու կողմից, այլ մի քանի տասնամյակների ընթացքում բազմաթիվ գիտնականների և ինժեներների համակցությամբ: Որոշ նշանավոր ներդրողներից են՝ Չարլզ Բեբիջը, Ալան Թյուրինգը, Ջոն ֆոն Նոյմանը և Թիմ Բերներս-Լին։")</f>
        <v>Համակարգիչը հայտնագործվել է ոչ թե մեկ մարդու կողմից, այլ մի քանի տասնամյակների ընթացքում բազմաթիվ գիտնականների և ինժեներների համակցությամբ: Որոշ նշանավոր ներդրողներից են՝ Չարլզ Բեբիջը, Ալան Թյուրինգը, Ջոն ֆոն Նոյմանը և Թիմ Բերներս-Լին։</v>
      </c>
    </row>
    <row r="3940">
      <c r="A3940" s="5" t="s">
        <v>7703</v>
      </c>
      <c r="B3940" s="5" t="s">
        <v>7704</v>
      </c>
      <c r="C3940" s="5" t="str">
        <f>IFERROR(__xludf.DUMMYFUNCTION("GOOGLETRANSLATE(A3940,""en"",""hy"")"),"Ո՞րն է Իտալիայի մայրաքաղաքը:")</f>
        <v>Ո՞րն է Իտալիայի մայրաքաղաքը:</v>
      </c>
      <c r="D3940" s="6" t="str">
        <f>IFERROR(__xludf.DUMMYFUNCTION("GOOGLETRANSLATE(B3940,""en"",""hy"")"),"Հռոմ")</f>
        <v>Հռոմ</v>
      </c>
    </row>
    <row r="3941">
      <c r="A3941" s="5" t="s">
        <v>7705</v>
      </c>
      <c r="B3941" s="5" t="s">
        <v>7688</v>
      </c>
      <c r="C3941" s="5" t="str">
        <f>IFERROR(__xludf.DUMMYFUNCTION("GOOGLETRANSLATE(A3941,""en"",""hy"")"),"Ո՞վ է «Հոբիթ»-ի հեղինակը.")</f>
        <v>Ո՞վ է «Հոբիթ»-ի հեղինակը.</v>
      </c>
      <c r="D3941" s="6" t="str">
        <f>IFERROR(__xludf.DUMMYFUNCTION("GOOGLETRANSLATE(B3941,""en"",""hy"")"),"Ջ.Ռ.Ռ. Թոլքինը")</f>
        <v>Ջ.Ռ.Ռ. Թոլքինը</v>
      </c>
    </row>
    <row r="3942">
      <c r="A3942" s="5" t="s">
        <v>7706</v>
      </c>
      <c r="B3942" s="5" t="s">
        <v>7707</v>
      </c>
      <c r="C3942" s="5" t="str">
        <f>IFERROR(__xludf.DUMMYFUNCTION("GOOGLETRANSLATE(A3942,""en"",""hy"")"),"Ո՞րն է Միացյալ Թագավորության արժույթը:")</f>
        <v>Ո՞րն է Միացյալ Թագավորության արժույթը:</v>
      </c>
      <c r="D3942" s="6" t="str">
        <f>IFERROR(__xludf.DUMMYFUNCTION("GOOGLETRANSLATE(B3942,""en"",""hy"")"),"Միացյալ Թագավորության արժույթը բրիտանական ֆունտն է։")</f>
        <v>Միացյալ Թագավորության արժույթը բրիտանական ֆունտն է։</v>
      </c>
    </row>
    <row r="3943">
      <c r="A3943" s="5" t="s">
        <v>7489</v>
      </c>
      <c r="B3943" s="5" t="s">
        <v>7708</v>
      </c>
      <c r="C3943" s="5" t="str">
        <f>IFERROR(__xludf.DUMMYFUNCTION("GOOGLETRANSLATE(A3943,""en"",""hy"")"),"Ո՞րն է աշխարհի ամենաբարձր շենքը:")</f>
        <v>Ո՞րն է աշխարհի ամենաբարձր շենքը:</v>
      </c>
      <c r="D3943" s="6" t="str">
        <f>IFERROR(__xludf.DUMMYFUNCTION("GOOGLETRANSLATE(B3943,""en"",""hy"")"),"Բուրջ Խալիֆա.")</f>
        <v>Բուրջ Խալիֆա.</v>
      </c>
    </row>
    <row r="3944">
      <c r="A3944" s="5" t="s">
        <v>7709</v>
      </c>
      <c r="B3944" s="5" t="s">
        <v>7710</v>
      </c>
      <c r="C3944" s="5" t="str">
        <f>IFERROR(__xludf.DUMMYFUNCTION("GOOGLETRANSLATE(A3944,""en"",""hy"")"),"Ո՞վ է նկարել հայտնի «Գերնիկա» արվեստի գործը:")</f>
        <v>Ո՞վ է նկարել հայտնի «Գերնիկա» արվեստի գործը:</v>
      </c>
      <c r="D3944" s="6" t="str">
        <f>IFERROR(__xludf.DUMMYFUNCTION("GOOGLETRANSLATE(B3944,""en"",""hy"")"),"Պաբլո Պիկասո.")</f>
        <v>Պաբլո Պիկասո.</v>
      </c>
    </row>
    <row r="3945">
      <c r="A3945" s="5" t="s">
        <v>7711</v>
      </c>
      <c r="B3945" s="5" t="s">
        <v>7712</v>
      </c>
      <c r="C3945" s="5" t="str">
        <f>IFERROR(__xludf.DUMMYFUNCTION("GOOGLETRANSLATE(A3945,""en"",""hy"")"),"Ո՞րն է Միացյալ Նահանգների ամենամեծ քաղաքը:")</f>
        <v>Ո՞րն է Միացյալ Նահանգների ամենամեծ քաղաքը:</v>
      </c>
      <c r="D3945" s="6" t="str">
        <f>IFERROR(__xludf.DUMMYFUNCTION("GOOGLETRANSLATE(B3945,""en"",""hy"")"),"Նյու Յորք քաղաք.")</f>
        <v>Նյու Յորք քաղաք.</v>
      </c>
    </row>
    <row r="3946">
      <c r="A3946" s="5" t="s">
        <v>7713</v>
      </c>
      <c r="B3946" s="5" t="s">
        <v>7714</v>
      </c>
      <c r="C3946" s="5" t="str">
        <f>IFERROR(__xludf.DUMMYFUNCTION("GOOGLETRANSLATE(A3946,""en"",""hy"")"),"Ո՞վ է գրել «The Waste Land» բանաստեղծությունը:")</f>
        <v>Ո՞վ է գրել «The Waste Land» բանաստեղծությունը:</v>
      </c>
      <c r="D3946" s="6" t="str">
        <f>IFERROR(__xludf.DUMMYFUNCTION("GOOGLETRANSLATE(B3946,""en"",""hy"")"),"Տ.Ս. Էլիոթ.")</f>
        <v>Տ.Ս. Էլիոթ.</v>
      </c>
    </row>
    <row r="3947">
      <c r="A3947" s="5" t="s">
        <v>7715</v>
      </c>
      <c r="B3947" s="5" t="s">
        <v>7716</v>
      </c>
      <c r="C3947" s="5" t="str">
        <f>IFERROR(__xludf.DUMMYFUNCTION("GOOGLETRANSLATE(A3947,""en"",""hy"")"),"Ո՞րն է 79 ատոմային համարով քիմիական տարրը:")</f>
        <v>Ո՞րն է 79 ատոմային համարով քիմիական տարրը:</v>
      </c>
      <c r="D3947" s="6" t="str">
        <f>IFERROR(__xludf.DUMMYFUNCTION("GOOGLETRANSLATE(B3947,""en"",""hy"")"),"79 ատոմային համարով քիմիական տարրը ոսկին է։")</f>
        <v>79 ատոմային համարով քիմիական տարրը ոսկին է։</v>
      </c>
    </row>
    <row r="3948">
      <c r="A3948" s="5" t="s">
        <v>7717</v>
      </c>
      <c r="B3948" s="5" t="s">
        <v>7718</v>
      </c>
      <c r="C3948" s="5" t="str">
        <f>IFERROR(__xludf.DUMMYFUNCTION("GOOGLETRANSLATE(A3948,""en"",""hy"")"),"Ո՞րն է Հնդկաստանի մայրաքաղաքը:")</f>
        <v>Ո՞րն է Հնդկաստանի մայրաքաղաքը:</v>
      </c>
      <c r="D3948" s="6" t="str">
        <f>IFERROR(__xludf.DUMMYFUNCTION("GOOGLETRANSLATE(B3948,""en"",""hy"")"),"Հնդկաստանի մայրաքաղաքը Նյու Դելին է։")</f>
        <v>Հնդկաստանի մայրաքաղաքը Նյու Դելին է։</v>
      </c>
    </row>
    <row r="3949">
      <c r="A3949" s="5" t="s">
        <v>7719</v>
      </c>
      <c r="B3949" s="5" t="s">
        <v>7720</v>
      </c>
      <c r="C3949" s="5" t="str">
        <f>IFERROR(__xludf.DUMMYFUNCTION("GOOGLETRANSLATE(A3949,""en"",""hy"")"),"Ո՞վ է «Երիտասարդ աղջկա օրագիրը» գրքի հեղինակը.")</f>
        <v>Ո՞վ է «Երիտասարդ աղջկա օրագիրը» գրքի հեղինակը.</v>
      </c>
      <c r="D3949" s="6" t="str">
        <f>IFERROR(__xludf.DUMMYFUNCTION("GOOGLETRANSLATE(B3949,""en"",""hy"")"),"Աննա Ֆրանկ.")</f>
        <v>Աննա Ֆրանկ.</v>
      </c>
    </row>
    <row r="3950">
      <c r="A3950" s="5" t="s">
        <v>7614</v>
      </c>
      <c r="B3950" s="5" t="s">
        <v>7721</v>
      </c>
      <c r="C3950" s="5" t="str">
        <f>IFERROR(__xludf.DUMMYFUNCTION("GOOGLETRANSLATE(A3950,""en"",""hy"")"),"Ո՞րն է Ֆրանսիայի արժույթը:")</f>
        <v>Ո՞րն է Ֆրանսիայի արժույթը:</v>
      </c>
      <c r="D3950" s="6" t="str">
        <f>IFERROR(__xludf.DUMMYFUNCTION("GOOGLETRANSLATE(B3950,""en"",""hy"")"),"Ֆրանսիայի արժույթը եվրոն է։")</f>
        <v>Ֆրանսիայի արժույթը եվրոն է։</v>
      </c>
    </row>
    <row r="3951">
      <c r="A3951" s="5" t="s">
        <v>7722</v>
      </c>
      <c r="B3951" s="5" t="s">
        <v>7723</v>
      </c>
      <c r="C3951" s="5" t="str">
        <f>IFERROR(__xludf.DUMMYFUNCTION("GOOGLETRANSLATE(A3951,""en"",""hy"")"),"Ո՞րն է Աֆրիկայի ամենաբարձր լեռը:")</f>
        <v>Ո՞րն է Աֆրիկայի ամենաբարձր լեռը:</v>
      </c>
      <c r="D3951" s="6" t="str">
        <f>IFERROR(__xludf.DUMMYFUNCTION("GOOGLETRANSLATE(B3951,""en"",""hy"")"),"Կիլիմանջարո լեռ.")</f>
        <v>Կիլիմանջարո լեռ.</v>
      </c>
    </row>
    <row r="3952">
      <c r="A3952" s="5" t="s">
        <v>7473</v>
      </c>
      <c r="B3952" s="5" t="s">
        <v>7474</v>
      </c>
      <c r="C3952" s="5" t="str">
        <f>IFERROR(__xludf.DUMMYFUNCTION("GOOGLETRANSLATE(A3952,""en"",""hy"")"),"Ո՞վ է նկարել Սիքստինյան կապելլայի առաստաղը:")</f>
        <v>Ո՞վ է նկարել Սիքստինյան կապելլայի առաստաղը:</v>
      </c>
      <c r="D3952" s="6" t="str">
        <f>IFERROR(__xludf.DUMMYFUNCTION("GOOGLETRANSLATE(B3952,""en"",""hy"")"),"Միքելանջելո.")</f>
        <v>Միքելանջելո.</v>
      </c>
    </row>
    <row r="3953">
      <c r="A3953" s="5" t="s">
        <v>7724</v>
      </c>
      <c r="B3953" s="5" t="s">
        <v>7725</v>
      </c>
      <c r="C3953" s="5" t="str">
        <f>IFERROR(__xludf.DUMMYFUNCTION("GOOGLETRANSLATE(A3953,""en"",""hy"")"),"Ո՞րն է աշխարհի ամենամեծ անտառը:")</f>
        <v>Ո՞րն է աշխարհի ամենամեծ անտառը:</v>
      </c>
      <c r="D3953" s="6" t="str">
        <f>IFERROR(__xludf.DUMMYFUNCTION("GOOGLETRANSLATE(B3953,""en"",""hy"")"),"Ամազոնի անձրևային անտառ.")</f>
        <v>Ամազոնի անձրևային անտառ.</v>
      </c>
    </row>
    <row r="3954">
      <c r="A3954" s="5" t="s">
        <v>7726</v>
      </c>
      <c r="B3954" s="5" t="s">
        <v>1016</v>
      </c>
      <c r="C3954" s="5" t="str">
        <f>IFERROR(__xludf.DUMMYFUNCTION("GOOGLETRANSLATE(A3954,""en"",""hy"")"),"Ո՞վ է գրել «Մակբեթ» պիեսը։")</f>
        <v>Ո՞վ է գրել «Մակբեթ» պիեսը։</v>
      </c>
      <c r="D3954" s="6" t="str">
        <f>IFERROR(__xludf.DUMMYFUNCTION("GOOGLETRANSLATE(B3954,""en"",""hy"")"),"Ուիլյամ Շեքսպիր.")</f>
        <v>Ուիլյամ Շեքսպիր.</v>
      </c>
    </row>
    <row r="3955">
      <c r="A3955" s="5" t="s">
        <v>7727</v>
      </c>
      <c r="B3955" s="5" t="s">
        <v>7728</v>
      </c>
      <c r="C3955" s="5" t="str">
        <f>IFERROR(__xludf.DUMMYFUNCTION("GOOGLETRANSLATE(A3955,""en"",""hy"")"),"Ո՞րն է պլատինի քիմիական նշանը:")</f>
        <v>Ո՞րն է պլատինի քիմիական նշանը:</v>
      </c>
      <c r="D3955" s="6" t="str">
        <f>IFERROR(__xludf.DUMMYFUNCTION("GOOGLETRANSLATE(B3955,""en"",""hy"")"),"Պլատինի քիմիական նշանը Pt է:")</f>
        <v>Պլատինի քիմիական նշանը Pt է:</v>
      </c>
    </row>
    <row r="3956">
      <c r="A3956" s="5" t="s">
        <v>7729</v>
      </c>
      <c r="B3956" s="5" t="s">
        <v>7525</v>
      </c>
      <c r="C3956" s="5" t="str">
        <f>IFERROR(__xludf.DUMMYFUNCTION("GOOGLETRANSLATE(A3956,""en"",""hy"")"),"Ո՞րն է Չինաստանի մայրաքաղաքը:")</f>
        <v>Ո՞րն է Չինաստանի մայրաքաղաքը:</v>
      </c>
      <c r="D3956" s="6" t="str">
        <f>IFERROR(__xludf.DUMMYFUNCTION("GOOGLETRANSLATE(B3956,""en"",""hy"")"),"Պեկին.")</f>
        <v>Պեկին.</v>
      </c>
    </row>
    <row r="3957">
      <c r="A3957" s="5" t="s">
        <v>7730</v>
      </c>
      <c r="B3957" s="5" t="s">
        <v>7731</v>
      </c>
      <c r="C3957" s="5" t="str">
        <f>IFERROR(__xludf.DUMMYFUNCTION("GOOGLETRANSLATE(A3957,""en"",""hy"")"),"Ո՞վ է «Նարնիայի քրոնիկները» գրքի հեղինակը։")</f>
        <v>Ո՞վ է «Նարնիայի քրոնիկները» գրքի հեղինակը։</v>
      </c>
      <c r="D3957" s="6" t="str">
        <f>IFERROR(__xludf.DUMMYFUNCTION("GOOGLETRANSLATE(B3957,""en"",""hy"")"),"C.S. Լյուիս")</f>
        <v>C.S. Լյուիս</v>
      </c>
    </row>
    <row r="3958">
      <c r="A3958" s="5" t="s">
        <v>7579</v>
      </c>
      <c r="B3958" s="5" t="s">
        <v>7732</v>
      </c>
      <c r="C3958" s="5" t="str">
        <f>IFERROR(__xludf.DUMMYFUNCTION("GOOGLETRANSLATE(A3958,""en"",""hy"")"),"Ո՞րն է Գերմանիայի արժույթը:")</f>
        <v>Ո՞րն է Գերմանիայի արժույթը:</v>
      </c>
      <c r="D3958" s="6" t="str">
        <f>IFERROR(__xludf.DUMMYFUNCTION("GOOGLETRANSLATE(B3958,""en"",""hy"")"),"Գերմանիայի արժույթը եվրոն է։")</f>
        <v>Գերմանիայի արժույթը եվրոն է։</v>
      </c>
    </row>
    <row r="3959">
      <c r="A3959" s="5" t="s">
        <v>7618</v>
      </c>
      <c r="B3959" s="5" t="s">
        <v>7733</v>
      </c>
      <c r="C3959" s="5" t="str">
        <f>IFERROR(__xludf.DUMMYFUNCTION("GOOGLETRANSLATE(A3959,""en"",""hy"")"),"Ո՞րն է աշխարհի ամենամեծ ջրվեժը:")</f>
        <v>Ո՞րն է աշխարհի ամենամեծ ջրվեժը:</v>
      </c>
      <c r="D3959" s="6" t="str">
        <f>IFERROR(__xludf.DUMMYFUNCTION("GOOGLETRANSLATE(B3959,""en"",""hy"")"),"Angel Falls.")</f>
        <v>Angel Falls.</v>
      </c>
    </row>
    <row r="3960">
      <c r="A3960" s="5" t="s">
        <v>7734</v>
      </c>
      <c r="B3960" s="5" t="s">
        <v>7448</v>
      </c>
      <c r="C3960" s="5" t="str">
        <f>IFERROR(__xludf.DUMMYFUNCTION("GOOGLETRANSLATE(A3960,""en"",""hy"")"),"Ո՞վ է նկարել հայտնի «Մոնա Լիզա» ստեղծագործությունը:")</f>
        <v>Ո՞վ է նկարել հայտնի «Մոնա Լիզա» ստեղծագործությունը:</v>
      </c>
      <c r="D3960" s="6" t="str">
        <f>IFERROR(__xludf.DUMMYFUNCTION("GOOGLETRANSLATE(B3960,""en"",""hy"")"),"Լեոնարդո դա Վինչի.")</f>
        <v>Լեոնարդո դա Վինչի.</v>
      </c>
    </row>
    <row r="3961">
      <c r="A3961" s="5" t="s">
        <v>7735</v>
      </c>
      <c r="B3961" s="5" t="s">
        <v>7736</v>
      </c>
      <c r="C3961" s="5" t="str">
        <f>IFERROR(__xludf.DUMMYFUNCTION("GOOGLETRANSLATE(A3961,""en"",""hy"")"),"Ո՞րն է ամենաարագ ցամաքային կենդանին:")</f>
        <v>Ո՞րն է ամենաարագ ցամաքային կենդանին:</v>
      </c>
      <c r="D3961" s="6" t="str">
        <f>IFERROR(__xludf.DUMMYFUNCTION("GOOGLETRANSLATE(B3961,""en"",""hy"")"),"Cheetah.")</f>
        <v>Cheetah.</v>
      </c>
    </row>
    <row r="3962">
      <c r="A3962" s="5" t="s">
        <v>7737</v>
      </c>
      <c r="B3962" s="5" t="s">
        <v>7560</v>
      </c>
      <c r="C3962" s="5" t="str">
        <f>IFERROR(__xludf.DUMMYFUNCTION("GOOGLETRANSLATE(A3962,""en"",""hy"")"),"Ո՞վ է գրել «Շորայի մեջ բռնողը» վեպը:")</f>
        <v>Ո՞վ է գրել «Շորայի մեջ բռնողը» վեպը:</v>
      </c>
      <c r="D3962" s="6" t="str">
        <f>IFERROR(__xludf.DUMMYFUNCTION("GOOGLETRANSLATE(B3962,""en"",""hy"")"),"Ջ.Դ.Սելինջեր.")</f>
        <v>Ջ.Դ.Սելինջեր.</v>
      </c>
    </row>
    <row r="3963">
      <c r="A3963" s="5" t="s">
        <v>7738</v>
      </c>
      <c r="B3963" s="5" t="s">
        <v>7739</v>
      </c>
      <c r="C3963" s="5" t="str">
        <f>IFERROR(__xludf.DUMMYFUNCTION("GOOGLETRANSLATE(A3963,""en"",""hy"")"),"Ո՞րն է կալցիումի քիմիական նշանը:")</f>
        <v>Ո՞րն է կալցիումի քիմիական նշանը:</v>
      </c>
      <c r="D3963" s="6" t="str">
        <f>IFERROR(__xludf.DUMMYFUNCTION("GOOGLETRANSLATE(B3963,""en"",""hy"")"),"Կալցիումի քիմիական նշանը Ca է:")</f>
        <v>Կալցիումի քիմիական նշանը Ca է:</v>
      </c>
    </row>
    <row r="3964">
      <c r="A3964" s="5" t="s">
        <v>7606</v>
      </c>
      <c r="B3964" s="5" t="s">
        <v>7607</v>
      </c>
      <c r="C3964" s="5" t="str">
        <f>IFERROR(__xludf.DUMMYFUNCTION("GOOGLETRANSLATE(A3964,""en"",""hy"")"),"Ո՞վ է հորինել էվոլյուցիայի տեսությունը:")</f>
        <v>Ո՞վ է հորինել էվոլյուցիայի տեսությունը:</v>
      </c>
      <c r="D3964" s="6" t="str">
        <f>IFERROR(__xludf.DUMMYFUNCTION("GOOGLETRANSLATE(B3964,""en"",""hy"")"),"Չարլզ Դարվին.")</f>
        <v>Չարլզ Դարվին.</v>
      </c>
    </row>
    <row r="3965">
      <c r="A3965" s="5" t="s">
        <v>7642</v>
      </c>
      <c r="B3965" s="5" t="s">
        <v>2951</v>
      </c>
      <c r="C3965" s="5" t="str">
        <f>IFERROR(__xludf.DUMMYFUNCTION("GOOGLETRANSLATE(A3965,""en"",""hy"")"),"Ո՞րն է Կանադայի մայրաքաղաքը:")</f>
        <v>Ո՞րն է Կանադայի մայրաքաղաքը:</v>
      </c>
      <c r="D3965" s="6" t="str">
        <f>IFERROR(__xludf.DUMMYFUNCTION("GOOGLETRANSLATE(B3965,""en"",""hy"")"),"Օտտավա.")</f>
        <v>Օտտավա.</v>
      </c>
    </row>
    <row r="3966">
      <c r="A3966" s="5" t="s">
        <v>7740</v>
      </c>
      <c r="B3966" s="5" t="s">
        <v>7741</v>
      </c>
      <c r="C3966" s="5" t="str">
        <f>IFERROR(__xludf.DUMMYFUNCTION("GOOGLETRANSLATE(A3966,""en"",""hy"")"),"Ո՞վ է «The Shining»-ի հեղինակը.")</f>
        <v>Ո՞վ է «The Shining»-ի հեղինակը.</v>
      </c>
      <c r="D3966" s="6" t="str">
        <f>IFERROR(__xludf.DUMMYFUNCTION("GOOGLETRANSLATE(B3966,""en"",""hy"")"),"Սթիվեն Քինգ.")</f>
        <v>Սթիվեն Քինգ.</v>
      </c>
    </row>
    <row r="3967">
      <c r="A3967" s="5" t="s">
        <v>7595</v>
      </c>
      <c r="B3967" s="5" t="s">
        <v>7596</v>
      </c>
      <c r="C3967" s="5" t="str">
        <f>IFERROR(__xludf.DUMMYFUNCTION("GOOGLETRANSLATE(A3967,""en"",""hy"")"),"Ո՞րն է Բրազիլիայի արժույթը:")</f>
        <v>Ո՞րն է Բրազիլիայի արժույթը:</v>
      </c>
      <c r="D3967" s="6" t="str">
        <f>IFERROR(__xludf.DUMMYFUNCTION("GOOGLETRANSLATE(B3967,""en"",""hy"")"),"Բրազիլիայի արժույթը բրազիլական ռեալն է։")</f>
        <v>Բրազիլիայի արժույթը բրազիլական ռեալն է։</v>
      </c>
    </row>
    <row r="3968">
      <c r="A3968" s="5" t="s">
        <v>7742</v>
      </c>
      <c r="B3968" s="5" t="s">
        <v>7743</v>
      </c>
      <c r="C3968" s="5" t="str">
        <f>IFERROR(__xludf.DUMMYFUNCTION("GOOGLETRANSLATE(A3968,""en"",""hy"")"),"Ո՞րն է օվկիանոսի ամենախոր կետը:")</f>
        <v>Ո՞րն է օվկիանոսի ամենախոր կետը:</v>
      </c>
      <c r="D3968" s="6" t="str">
        <f>IFERROR(__xludf.DUMMYFUNCTION("GOOGLETRANSLATE(B3968,""en"",""hy"")"),"Մարիանայի խրամատ.")</f>
        <v>Մարիանայի խրամատ.</v>
      </c>
    </row>
    <row r="3969">
      <c r="A3969" s="5" t="s">
        <v>7744</v>
      </c>
      <c r="B3969" s="5" t="s">
        <v>7745</v>
      </c>
      <c r="C3969" s="5" t="str">
        <f>IFERROR(__xludf.DUMMYFUNCTION("GOOGLETRANSLATE(A3969,""en"",""hy"")"),"Ո՞վ է նկարել հայտնի «Հիշողության համառությունը» ստեղծագործությունը:")</f>
        <v>Ո՞վ է նկարել հայտնի «Հիշողության համառությունը» ստեղծագործությունը:</v>
      </c>
      <c r="D3969" s="6" t="str">
        <f>IFERROR(__xludf.DUMMYFUNCTION("GOOGLETRANSLATE(B3969,""en"",""hy"")"),"Սալվադոր Դալի.")</f>
        <v>Սալվադոր Դալի.</v>
      </c>
    </row>
    <row r="3970">
      <c r="A3970" s="5" t="s">
        <v>7746</v>
      </c>
      <c r="B3970" s="5" t="s">
        <v>7747</v>
      </c>
      <c r="C3970" s="5" t="str">
        <f>IFERROR(__xludf.DUMMYFUNCTION("GOOGLETRANSLATE(A3970,""en"",""hy"")"),"Ո՞րն է Աֆրիկայի ամենամեծ երկիրը:")</f>
        <v>Ո՞րն է Աֆրիկայի ամենամեծ երկիրը:</v>
      </c>
      <c r="D3970" s="6" t="str">
        <f>IFERROR(__xludf.DUMMYFUNCTION("GOOGLETRANSLATE(B3970,""en"",""hy"")"),"Ալժիր.")</f>
        <v>Ալժիր.</v>
      </c>
    </row>
    <row r="3971">
      <c r="A3971" s="5" t="s">
        <v>7748</v>
      </c>
      <c r="B3971" s="5" t="s">
        <v>7749</v>
      </c>
      <c r="C3971" s="5" t="str">
        <f>IFERROR(__xludf.DUMMYFUNCTION("GOOGLETRANSLATE(A3971,""en"",""hy"")"),"Ո՞վ է հռոմեական սիրո աստվածը:")</f>
        <v>Ո՞վ է հռոմեական սիրո աստվածը:</v>
      </c>
      <c r="D3971" s="6" t="str">
        <f>IFERROR(__xludf.DUMMYFUNCTION("GOOGLETRANSLATE(B3971,""en"",""hy"")"),"Սիրո հռոմեական աստվածը Կուպիդն է:")</f>
        <v>Սիրո հռոմեական աստվածը Կուպիդն է:</v>
      </c>
    </row>
    <row r="3972">
      <c r="A3972" s="5" t="s">
        <v>7750</v>
      </c>
      <c r="B3972" s="5" t="s">
        <v>7751</v>
      </c>
      <c r="C3972" s="5" t="str">
        <f>IFERROR(__xludf.DUMMYFUNCTION("GOOGLETRANSLATE(A3972,""en"",""hy"")"),"Ո՞րն է 8 ատոմային համարով քիմիական տարրը:")</f>
        <v>Ո՞րն է 8 ատոմային համարով քիմիական տարրը:</v>
      </c>
      <c r="D3972" s="6" t="str">
        <f>IFERROR(__xludf.DUMMYFUNCTION("GOOGLETRANSLATE(B3972,""en"",""hy"")"),"8 ատոմային համարով քիմիական տարրը թթվածինն է։")</f>
        <v>8 ատոմային համարով քիմիական տարրը թթվածինն է։</v>
      </c>
    </row>
    <row r="3973">
      <c r="A3973" s="5" t="s">
        <v>7752</v>
      </c>
      <c r="B3973" s="5" t="s">
        <v>7753</v>
      </c>
      <c r="C3973" s="5" t="str">
        <f>IFERROR(__xludf.DUMMYFUNCTION("GOOGLETRANSLATE(A3973,""en"",""hy"")"),"Ո՞րն է Ճապոնիայի մայրաքաղաքը:")</f>
        <v>Ո՞րն է Ճապոնիայի մայրաքաղաքը:</v>
      </c>
      <c r="D3973" s="6" t="str">
        <f>IFERROR(__xludf.DUMMYFUNCTION("GOOGLETRANSLATE(B3973,""en"",""hy"")"),"Տոկիո.")</f>
        <v>Տոկիո.</v>
      </c>
    </row>
    <row r="3974">
      <c r="A3974" s="5" t="s">
        <v>7754</v>
      </c>
      <c r="B3974" s="5" t="s">
        <v>7755</v>
      </c>
      <c r="C3974" s="5" t="str">
        <f>IFERROR(__xludf.DUMMYFUNCTION("GOOGLETRANSLATE(A3974,""en"",""hy"")"),"Ո՞վ է «Քաղցած խաղեր» եռերգության հեղինակը.")</f>
        <v>Ո՞վ է «Քաղցած խաղեր» եռերգության հեղինակը.</v>
      </c>
      <c r="D3974" s="6" t="str">
        <f>IFERROR(__xludf.DUMMYFUNCTION("GOOGLETRANSLATE(B3974,""en"",""hy"")"),"Սյուզան Քոլինզ.")</f>
        <v>Սյուզան Քոլինզ.</v>
      </c>
    </row>
    <row r="3975">
      <c r="A3975" s="5" t="s">
        <v>7649</v>
      </c>
      <c r="B3975" s="5" t="s">
        <v>7756</v>
      </c>
      <c r="C3975" s="5" t="str">
        <f>IFERROR(__xludf.DUMMYFUNCTION("GOOGLETRANSLATE(A3975,""en"",""hy"")"),"Ո՞րն է Ավստրալիայի արժույթը:")</f>
        <v>Ո՞րն է Ավստրալիայի արժույթը:</v>
      </c>
      <c r="D3975" s="6" t="str">
        <f>IFERROR(__xludf.DUMMYFUNCTION("GOOGLETRANSLATE(B3975,""en"",""hy"")"),"Ավստրալիայի արժույթը ավստրալիական դոլարն է։")</f>
        <v>Ավստրալիայի արժույթը ավստրալիական դոլարն է։</v>
      </c>
    </row>
    <row r="3976">
      <c r="A3976" s="5" t="s">
        <v>7526</v>
      </c>
      <c r="B3976" s="5" t="s">
        <v>7527</v>
      </c>
      <c r="C3976" s="5" t="str">
        <f>IFERROR(__xludf.DUMMYFUNCTION("GOOGLETRANSLATE(A3976,""en"",""hy"")"),"Ո՞րն է աշխարհի ամենամեծ կղզին:")</f>
        <v>Ո՞րն է աշխարհի ամենամեծ կղզին:</v>
      </c>
      <c r="D3976" s="6" t="str">
        <f>IFERROR(__xludf.DUMMYFUNCTION("GOOGLETRANSLATE(B3976,""en"",""hy"")"),"Գրենլանդիա.")</f>
        <v>Գրենլանդիա.</v>
      </c>
    </row>
    <row r="3977">
      <c r="A3977" s="5" t="s">
        <v>7757</v>
      </c>
      <c r="B3977" s="5" t="s">
        <v>7648</v>
      </c>
      <c r="C3977" s="5" t="str">
        <f>IFERROR(__xludf.DUMMYFUNCTION("GOOGLETRANSLATE(A3977,""en"",""hy"")"),"Ո՞վ է նկարել հայտնի «Աստղային գիշեր» արվեստի գործը:")</f>
        <v>Ո՞վ է նկարել հայտնի «Աստղային գիշեր» արվեստի գործը:</v>
      </c>
      <c r="D3977" s="6" t="str">
        <f>IFERROR(__xludf.DUMMYFUNCTION("GOOGLETRANSLATE(B3977,""en"",""hy"")"),"Վինսենթ վան Գոգ.")</f>
        <v>Վինսենթ վան Գոգ.</v>
      </c>
    </row>
    <row r="3978">
      <c r="A3978" s="5" t="s">
        <v>7758</v>
      </c>
      <c r="B3978" s="5" t="s">
        <v>7759</v>
      </c>
      <c r="C3978" s="5" t="str">
        <f>IFERROR(__xludf.DUMMYFUNCTION("GOOGLETRANSLATE(A3978,""en"",""hy"")"),"Ո՞րն է աշխարհի ամենաարագ թռչունը:")</f>
        <v>Ո՞րն է աշխարհի ամենաարագ թռչունը:</v>
      </c>
      <c r="D3978" s="6" t="str">
        <f>IFERROR(__xludf.DUMMYFUNCTION("GOOGLETRANSLATE(B3978,""en"",""hy"")"),"Բազե բազեն.")</f>
        <v>Բազե բազեն.</v>
      </c>
    </row>
    <row r="3979">
      <c r="A3979" s="5" t="s">
        <v>7760</v>
      </c>
      <c r="B3979" s="5" t="s">
        <v>1016</v>
      </c>
      <c r="C3979" s="5" t="str">
        <f>IFERROR(__xludf.DUMMYFUNCTION("GOOGLETRANSLATE(A3979,""en"",""hy"")"),"Ո՞վ է գրել «Օթելլո» պիեսը։")</f>
        <v>Ո՞վ է գրել «Օթելլո» պիեսը։</v>
      </c>
      <c r="D3979" s="6" t="str">
        <f>IFERROR(__xludf.DUMMYFUNCTION("GOOGLETRANSLATE(B3979,""en"",""hy"")"),"Ուիլյամ Շեքսպիր.")</f>
        <v>Ուիլյամ Շեքսպիր.</v>
      </c>
    </row>
    <row r="3980">
      <c r="A3980" s="5" t="s">
        <v>7761</v>
      </c>
      <c r="B3980" s="5" t="s">
        <v>7762</v>
      </c>
      <c r="C3980" s="5" t="str">
        <f>IFERROR(__xludf.DUMMYFUNCTION("GOOGLETRANSLATE(A3980,""en"",""hy"")"),"Ո՞րն է ջրածնի քիմիական նշանը:")</f>
        <v>Ո՞րն է ջրածնի քիմիական նշանը:</v>
      </c>
      <c r="D3980" s="6" t="str">
        <f>IFERROR(__xludf.DUMMYFUNCTION("GOOGLETRANSLATE(B3980,""en"",""hy"")"),"Հ")</f>
        <v>Հ</v>
      </c>
    </row>
    <row r="3981">
      <c r="A3981" s="5" t="s">
        <v>7763</v>
      </c>
      <c r="B3981" s="5" t="s">
        <v>7505</v>
      </c>
      <c r="C3981" s="5" t="str">
        <f>IFERROR(__xludf.DUMMYFUNCTION("GOOGLETRANSLATE(A3981,""en"",""hy"")"),"Ո՞վ է Միացյալ Նահանգների ներկայիս նախագահը.")</f>
        <v>Ո՞վ է Միացյալ Նահանգների ներկայիս նախագահը.</v>
      </c>
      <c r="D3981" s="6" t="str">
        <f>IFERROR(__xludf.DUMMYFUNCTION("GOOGLETRANSLATE(B3981,""en"",""hy"")"),"Ջո Բայդեն.")</f>
        <v>Ջո Բայդեն.</v>
      </c>
    </row>
    <row r="3982">
      <c r="A3982" s="5" t="s">
        <v>7500</v>
      </c>
      <c r="B3982" s="5" t="s">
        <v>7501</v>
      </c>
      <c r="C3982" s="5" t="str">
        <f>IFERROR(__xludf.DUMMYFUNCTION("GOOGLETRANSLATE(A3982,""en"",""hy"")"),"Ո՞րն է Ֆրանսիայի մայրաքաղաքը:")</f>
        <v>Ո՞րն է Ֆրանսիայի մայրաքաղաքը:</v>
      </c>
      <c r="D3982" s="6" t="str">
        <f>IFERROR(__xludf.DUMMYFUNCTION("GOOGLETRANSLATE(B3982,""en"",""hy"")"),"Փարիզ.")</f>
        <v>Փարիզ.</v>
      </c>
    </row>
    <row r="3983">
      <c r="A3983" s="5" t="s">
        <v>7632</v>
      </c>
      <c r="B3983" s="5" t="s">
        <v>7633</v>
      </c>
      <c r="C3983" s="5" t="str">
        <f>IFERROR(__xludf.DUMMYFUNCTION("GOOGLETRANSLATE(A3983,""en"",""hy"")"),"Ո՞րն է մեր արեգակնային համակարգի ամենամեծ մոլորակը:")</f>
        <v>Ո՞րն է մեր արեգակնային համակարգի ամենամեծ մոլորակը:</v>
      </c>
      <c r="D3983" s="6" t="str">
        <f>IFERROR(__xludf.DUMMYFUNCTION("GOOGLETRANSLATE(B3983,""en"",""hy"")"),"Յուպիտեր.")</f>
        <v>Յուպիտեր.</v>
      </c>
    </row>
    <row r="3984">
      <c r="A3984" s="5" t="s">
        <v>7447</v>
      </c>
      <c r="B3984" s="5" t="s">
        <v>7448</v>
      </c>
      <c r="C3984" s="5" t="str">
        <f>IFERROR(__xludf.DUMMYFUNCTION("GOOGLETRANSLATE(A3984,""en"",""hy"")"),"Ո՞վ է նկարել Մոնա Լիզան:")</f>
        <v>Ո՞վ է նկարել Մոնա Լիզան:</v>
      </c>
      <c r="D3984" s="6" t="str">
        <f>IFERROR(__xludf.DUMMYFUNCTION("GOOGLETRANSLATE(B3984,""en"",""hy"")"),"Լեոնարդո դա Վինչի.")</f>
        <v>Լեոնարդո դա Վինչի.</v>
      </c>
    </row>
    <row r="3985">
      <c r="A3985" s="5" t="s">
        <v>7764</v>
      </c>
      <c r="B3985" s="5" t="s">
        <v>7765</v>
      </c>
      <c r="C3985" s="5" t="str">
        <f>IFERROR(__xludf.DUMMYFUNCTION("GOOGLETRANSLATE(A3985,""en"",""hy"")"),"Աֆրիկյան ո՞ր երկիրն է հայտնի որպես «Հազար բլուրների երկիր»:")</f>
        <v>Աֆրիկյան ո՞ր երկիրն է հայտնի որպես «Հազար բլուրների երկիր»:</v>
      </c>
      <c r="D3985" s="6" t="str">
        <f>IFERROR(__xludf.DUMMYFUNCTION("GOOGLETRANSLATE(B3985,""en"",""hy"")"),"Ռուանդա.")</f>
        <v>Ռուանդա.</v>
      </c>
    </row>
    <row r="3986">
      <c r="A3986" s="5" t="s">
        <v>7467</v>
      </c>
      <c r="B3986" s="5" t="s">
        <v>7766</v>
      </c>
      <c r="C3986" s="5" t="str">
        <f>IFERROR(__xludf.DUMMYFUNCTION("GOOGLETRANSLATE(A3986,""en"",""hy"")"),"Ո՞րն է Ճապոնիայի արժույթը:")</f>
        <v>Ո՞րն է Ճապոնիայի արժույթը:</v>
      </c>
      <c r="D3986" s="6" t="str">
        <f>IFERROR(__xludf.DUMMYFUNCTION("GOOGLETRANSLATE(B3986,""en"",""hy"")"),"Ճապոնիայի արժույթը ճապոնական իենն է։")</f>
        <v>Ճապոնիայի արժույթը ճապոնական իենն է։</v>
      </c>
    </row>
    <row r="3987">
      <c r="A3987" s="5" t="s">
        <v>7670</v>
      </c>
      <c r="B3987" s="5" t="s">
        <v>7767</v>
      </c>
      <c r="C3987" s="5" t="str">
        <f>IFERROR(__xludf.DUMMYFUNCTION("GOOGLETRANSLATE(A3987,""en"",""hy"")"),"Ո՞րն է աշխարհի ամենաերկար գետը:")</f>
        <v>Ո՞րն է աշխարհի ամենաերկար գետը:</v>
      </c>
      <c r="D3987" s="6" t="str">
        <f>IFERROR(__xludf.DUMMYFUNCTION("GOOGLETRANSLATE(B3987,""en"",""hy"")"),"Նեղոս.")</f>
        <v>Նեղոս.</v>
      </c>
    </row>
    <row r="3988">
      <c r="A3988" s="5" t="s">
        <v>7454</v>
      </c>
      <c r="B3988" s="5" t="s">
        <v>1016</v>
      </c>
      <c r="C3988" s="5" t="str">
        <f>IFERROR(__xludf.DUMMYFUNCTION("GOOGLETRANSLATE(A3988,""en"",""hy"")"),"Ո՞վ է գրել Ռոմեո և Ջուլիետ պիեսը:")</f>
        <v>Ո՞վ է գրել Ռոմեո և Ջուլիետ պիեսը:</v>
      </c>
      <c r="D3988" s="6" t="str">
        <f>IFERROR(__xludf.DUMMYFUNCTION("GOOGLETRANSLATE(B3988,""en"",""hy"")"),"Ուիլյամ Շեքսպիր.")</f>
        <v>Ուիլյամ Շեքսպիր.</v>
      </c>
    </row>
    <row r="3989">
      <c r="A3989" s="5" t="s">
        <v>7768</v>
      </c>
      <c r="B3989" s="5" t="s">
        <v>7673</v>
      </c>
      <c r="C3989" s="5" t="str">
        <f>IFERROR(__xludf.DUMMYFUNCTION("GOOGLETRANSLATE(A3989,""en"",""hy"")"),"Ո՞ր երկիրն է ընդունել 2016 թվականի ամառային օլիմպիական խաղերը:")</f>
        <v>Ո՞ր երկիրն է ընդունել 2016 թվականի ամառային օլիմպիական խաղերը:</v>
      </c>
      <c r="D3989" s="6" t="str">
        <f>IFERROR(__xludf.DUMMYFUNCTION("GOOGLETRANSLATE(B3989,""en"",""hy"")"),"Բրազիլիա.")</f>
        <v>Բրազիլիա.</v>
      </c>
    </row>
    <row r="3990">
      <c r="A3990" s="5" t="s">
        <v>7452</v>
      </c>
      <c r="B3990" s="5" t="s">
        <v>7453</v>
      </c>
      <c r="C3990" s="5" t="str">
        <f>IFERROR(__xludf.DUMMYFUNCTION("GOOGLETRANSLATE(A3990,""en"",""hy"")"),"Ո՞րն է ոսկու քիմիական նշանը:")</f>
        <v>Ո՞րն է ոսկու քիմիական նշանը:</v>
      </c>
      <c r="D3990" s="6" t="str">
        <f>IFERROR(__xludf.DUMMYFUNCTION("GOOGLETRANSLATE(B3990,""en"",""hy"")"),"Ոսկու քիմիական նշանը Au-ն է:")</f>
        <v>Ոսկու քիմիական նշանը Au-ն է:</v>
      </c>
    </row>
    <row r="3991">
      <c r="A3991" s="5" t="s">
        <v>7769</v>
      </c>
      <c r="B3991" s="5" t="s">
        <v>7486</v>
      </c>
      <c r="C3991" s="5" t="str">
        <f>IFERROR(__xludf.DUMMYFUNCTION("GOOGLETRANSLATE(A3991,""en"",""hy"")"),"Ո՞վ է Հարրի Փոթերի գրքերի շարքի հեղինակը:")</f>
        <v>Ո՞վ է Հարրի Փոթերի գրքերի շարքի հեղինակը:</v>
      </c>
      <c r="D3991" s="6" t="str">
        <f>IFERROR(__xludf.DUMMYFUNCTION("GOOGLETRANSLATE(B3991,""en"",""hy"")"),"Ջ.Կ. Ռոուլինգ.")</f>
        <v>Ջ.Կ. Ռոուլինգ.</v>
      </c>
    </row>
    <row r="3992">
      <c r="A3992" s="5" t="s">
        <v>7463</v>
      </c>
      <c r="B3992" s="5" t="s">
        <v>7464</v>
      </c>
      <c r="C3992" s="5" t="str">
        <f>IFERROR(__xludf.DUMMYFUNCTION("GOOGLETRANSLATE(A3992,""en"",""hy"")"),"Ո՞րն է աշխարհի ամենաբարձր լեռը:")</f>
        <v>Ո՞րն է աշխարհի ամենաբարձր լեռը:</v>
      </c>
      <c r="D3992" s="6" t="str">
        <f>IFERROR(__xludf.DUMMYFUNCTION("GOOGLETRANSLATE(B3992,""en"",""hy"")"),"Էվերեստ լեռ.")</f>
        <v>Էվերեստ լեռ.</v>
      </c>
    </row>
    <row r="3993">
      <c r="A3993" s="5" t="s">
        <v>7770</v>
      </c>
      <c r="B3993" s="5" t="s">
        <v>7771</v>
      </c>
      <c r="C3993" s="5" t="str">
        <f>IFERROR(__xludf.DUMMYFUNCTION("GOOGLETRANSLATE(A3993,""en"",""hy"")"),"Ո՞ր գործիքն ունի 88 բանալի:")</f>
        <v>Ո՞ր գործիքն ունի 88 բանալի:</v>
      </c>
      <c r="D3993" s="6" t="str">
        <f>IFERROR(__xludf.DUMMYFUNCTION("GOOGLETRANSLATE(B3993,""en"",""hy"")"),"Դաշնամուր.")</f>
        <v>Դաշնամուր.</v>
      </c>
    </row>
    <row r="3994">
      <c r="A3994" s="5" t="s">
        <v>7772</v>
      </c>
      <c r="B3994" s="5" t="s">
        <v>7181</v>
      </c>
      <c r="C3994" s="5" t="str">
        <f>IFERROR(__xludf.DUMMYFUNCTION("GOOGLETRANSLATE(A3994,""en"",""hy"")"),"Ո՞ր երկիրն է հայտնի որպես «Land Down Under»:")</f>
        <v>Ո՞ր երկիրն է հայտնի որպես «Land Down Under»:</v>
      </c>
      <c r="D3994" s="6" t="str">
        <f>IFERROR(__xludf.DUMMYFUNCTION("GOOGLETRANSLATE(B3994,""en"",""hy"")"),"Ավստրալիա")</f>
        <v>Ավստրալիա</v>
      </c>
    </row>
    <row r="3995">
      <c r="A3995" s="5" t="s">
        <v>7773</v>
      </c>
      <c r="B3995" s="5" t="s">
        <v>7774</v>
      </c>
      <c r="C3995" s="5" t="str">
        <f>IFERROR(__xludf.DUMMYFUNCTION("GOOGLETRANSLATE(A3995,""en"",""hy"")"),"Ո՞վ է հայտնաբերել պենիցիլինը:")</f>
        <v>Ո՞վ է հայտնաբերել պենիցիլինը:</v>
      </c>
      <c r="D3995" s="6" t="str">
        <f>IFERROR(__xludf.DUMMYFUNCTION("GOOGLETRANSLATE(B3995,""en"",""hy"")"),"Ալեքսանդր Ֆլեմինգը հայտնաբերել է պենիցիլին:")</f>
        <v>Ալեքսանդր Ֆլեմինգը հայտնաբերել է պենիցիլին:</v>
      </c>
    </row>
    <row r="3996">
      <c r="A3996" s="5" t="s">
        <v>7645</v>
      </c>
      <c r="B3996" s="5" t="s">
        <v>7775</v>
      </c>
      <c r="C3996" s="5" t="str">
        <f>IFERROR(__xludf.DUMMYFUNCTION("GOOGLETRANSLATE(A3996,""en"",""hy"")"),"Ո՞րն է Երկրի ամենամեծ օվկիանոսը:")</f>
        <v>Ո՞րն է Երկրի ամենամեծ օվկիանոսը:</v>
      </c>
      <c r="D3996" s="6" t="str">
        <f>IFERROR(__xludf.DUMMYFUNCTION("GOOGLETRANSLATE(B3996,""en"",""hy"")"),"Խաղաղ օվկիանոսը Երկրի ամենամեծ օվկիանոսն է։")</f>
        <v>Խաղաղ օվկիանոսը Երկրի ամենամեծ օվկիանոսն է։</v>
      </c>
    </row>
    <row r="3997">
      <c r="A3997" s="5" t="s">
        <v>7776</v>
      </c>
      <c r="B3997" s="5" t="s">
        <v>7777</v>
      </c>
      <c r="C3997" s="5" t="str">
        <f>IFERROR(__xludf.DUMMYFUNCTION("GOOGLETRANSLATE(A3997,""en"",""hy"")"),"Ո՞ր երկրում է գտնվում աշխարհի ամենաբարձր շենքը՝ Բուրջ Խալիֆան:")</f>
        <v>Ո՞ր երկրում է գտնվում աշխարհի ամենաբարձր շենքը՝ Բուրջ Խալիֆան:</v>
      </c>
      <c r="D3997" s="6" t="str">
        <f>IFERROR(__xludf.DUMMYFUNCTION("GOOGLETRANSLATE(B3997,""en"",""hy"")"),"Արաբական Միացյալ Էմիրություններ.")</f>
        <v>Արաբական Միացյալ Էմիրություններ.</v>
      </c>
    </row>
    <row r="3998">
      <c r="A3998" s="5" t="s">
        <v>7778</v>
      </c>
      <c r="B3998" s="5" t="s">
        <v>7474</v>
      </c>
      <c r="C3998" s="5" t="str">
        <f>IFERROR(__xludf.DUMMYFUNCTION("GOOGLETRANSLATE(A3998,""en"",""hy"")"),"Ո՞վ է նկարել Սիքստինյան կապելլայի առաստաղը:")</f>
        <v>Ո՞վ է նկարել Սիքստինյան կապելլայի առաստաղը:</v>
      </c>
      <c r="D3998" s="6" t="str">
        <f>IFERROR(__xludf.DUMMYFUNCTION("GOOGLETRANSLATE(B3998,""en"",""hy"")"),"Միքելանջելո.")</f>
        <v>Միքելանջելո.</v>
      </c>
    </row>
    <row r="3999">
      <c r="A3999" s="5" t="s">
        <v>7461</v>
      </c>
      <c r="B3999" s="5" t="s">
        <v>7639</v>
      </c>
      <c r="C3999" s="5" t="str">
        <f>IFERROR(__xludf.DUMMYFUNCTION("GOOGLETRANSLATE(A3999,""en"",""hy"")"),"Ո՞րն է մարդու մարմնի ամենամեծ օրգանը:")</f>
        <v>Ո՞րն է մարդու մարմնի ամենամեծ օրգանը:</v>
      </c>
      <c r="D3999" s="6" t="str">
        <f>IFERROR(__xludf.DUMMYFUNCTION("GOOGLETRANSLATE(B3999,""en"",""hy"")"),"Մարդու մարմնի ամենամեծ օրգանը մաշկն է։")</f>
        <v>Մարդու մարմնի ամենամեծ օրգանը մաշկն է։</v>
      </c>
    </row>
    <row r="4000">
      <c r="A4000" s="5" t="s">
        <v>7779</v>
      </c>
      <c r="B4000" s="5" t="s">
        <v>7446</v>
      </c>
      <c r="C4000" s="5" t="str">
        <f>IFERROR(__xludf.DUMMYFUNCTION("GOOGLETRANSLATE(A4000,""en"",""hy"")"),"Ո՞ր մոլորակն է հայտնի որպես «Կարմիր մոլորակ»:")</f>
        <v>Ո՞ր մոլորակն է հայտնի որպես «Կարմիր մոլորակ»:</v>
      </c>
      <c r="D4000" s="6" t="str">
        <f>IFERROR(__xludf.DUMMYFUNCTION("GOOGLETRANSLATE(B4000,""en"",""hy"")"),"Մարս.")</f>
        <v>Մարս.</v>
      </c>
    </row>
    <row r="4001">
      <c r="A4001" s="5" t="s">
        <v>7534</v>
      </c>
      <c r="B4001" s="5" t="s">
        <v>7535</v>
      </c>
      <c r="C4001" s="5" t="str">
        <f>IFERROR(__xludf.DUMMYFUNCTION("GOOGLETRANSLATE(A4001,""en"",""hy"")"),"Ո՞վ է հորինել հեռախոսը:")</f>
        <v>Ո՞վ է հորինել հեռախոսը:</v>
      </c>
      <c r="D4001" s="6" t="str">
        <f>IFERROR(__xludf.DUMMYFUNCTION("GOOGLETRANSLATE(B4001,""en"",""hy"")"),"Ալեքսանդր Գրեհեմ Բել.")</f>
        <v>Ալեքսանդր Գրեհեմ Բել.</v>
      </c>
    </row>
    <row r="4002">
      <c r="A4002" s="5" t="s">
        <v>7780</v>
      </c>
      <c r="B4002" s="5" t="s">
        <v>2951</v>
      </c>
      <c r="C4002" s="5" t="str">
        <f>IFERROR(__xludf.DUMMYFUNCTION("GOOGLETRANSLATE(A4002,""en"",""hy"")"),"Ո՞րն է Կանադայի մայրաքաղաքը:")</f>
        <v>Ո՞րն է Կանադայի մայրաքաղաքը:</v>
      </c>
      <c r="D4002" s="6" t="str">
        <f>IFERROR(__xludf.DUMMYFUNCTION("GOOGLETRANSLATE(B4002,""en"",""hy"")"),"Օտտավա.")</f>
        <v>Օտտավա.</v>
      </c>
    </row>
    <row r="4003">
      <c r="A4003" s="5" t="s">
        <v>7508</v>
      </c>
      <c r="B4003" s="5" t="s">
        <v>7444</v>
      </c>
      <c r="C4003" s="5" t="str">
        <f>IFERROR(__xludf.DUMMYFUNCTION("GOOGLETRANSLATE(A4003,""en"",""hy"")"),"Ո՞վ է գրել վեպը 1984 թ.")</f>
        <v>Ո՞վ է գրել վեպը 1984 թ.</v>
      </c>
      <c r="D4003" s="6" t="str">
        <f>IFERROR(__xludf.DUMMYFUNCTION("GOOGLETRANSLATE(B4003,""en"",""hy"")"),"Ջորջ Օրուել.")</f>
        <v>Ջորջ Օրուել.</v>
      </c>
    </row>
    <row r="4004">
      <c r="A4004" s="5" t="s">
        <v>7665</v>
      </c>
      <c r="B4004" s="5" t="s">
        <v>7781</v>
      </c>
      <c r="C4004" s="5" t="str">
        <f>IFERROR(__xludf.DUMMYFUNCTION("GOOGLETRANSLATE(A4004,""en"",""hy"")"),"Ո՞րն է նատրիումի քիմիական նշանը:")</f>
        <v>Ո՞րն է նատրիումի քիմիական նշանը:</v>
      </c>
      <c r="D4004" s="6" t="str">
        <f>IFERROR(__xludf.DUMMYFUNCTION("GOOGLETRANSLATE(B4004,""en"",""hy"")"),"Նատրիումի քիմիական նշանը Na է:")</f>
        <v>Նատրիումի քիմիական նշանը Na է:</v>
      </c>
    </row>
    <row r="4005">
      <c r="A4005" s="5" t="s">
        <v>7782</v>
      </c>
      <c r="B4005" s="5" t="s">
        <v>7783</v>
      </c>
      <c r="C4005" s="5" t="str">
        <f>IFERROR(__xludf.DUMMYFUNCTION("GOOGLETRANSLATE(A4005,""en"",""hy"")"),"Ո՞րն է աշխարհի ամենամեծ անապատը:")</f>
        <v>Ո՞րն է աշխարհի ամենամեծ անապատը:</v>
      </c>
      <c r="D4005" s="6" t="str">
        <f>IFERROR(__xludf.DUMMYFUNCTION("GOOGLETRANSLATE(B4005,""en"",""hy"")"),"Սահարա անապատ.")</f>
        <v>Սահարա անապատ.</v>
      </c>
    </row>
    <row r="4006">
      <c r="A4006" s="5" t="s">
        <v>7477</v>
      </c>
      <c r="B4006" s="5" t="s">
        <v>7784</v>
      </c>
      <c r="C4006" s="5" t="str">
        <f>IFERROR(__xludf.DUMMYFUNCTION("GOOGLETRANSLATE(A4006,""en"",""hy"")"),"Ո՞ր երկիրն է հայտնի որպես «Ծագող արևի երկիր»:")</f>
        <v>Ո՞ր երկիրն է հայտնի որպես «Ծագող արևի երկիր»:</v>
      </c>
      <c r="D4006" s="6" t="str">
        <f>IFERROR(__xludf.DUMMYFUNCTION("GOOGLETRANSLATE(B4006,""en"",""hy"")"),"Ճապոնիա")</f>
        <v>Ճապոնիա</v>
      </c>
    </row>
    <row r="4007">
      <c r="A4007" s="5" t="s">
        <v>7785</v>
      </c>
      <c r="B4007" s="5" t="s">
        <v>7786</v>
      </c>
      <c r="C4007" s="5" t="str">
        <f>IFERROR(__xludf.DUMMYFUNCTION("GOOGLETRANSLATE(A4007,""en"",""hy"")"),"Ո՞վ է հիմնել Microsoft-ը:")</f>
        <v>Ո՞վ է հիմնել Microsoft-ը:</v>
      </c>
      <c r="D4007" s="6" t="str">
        <f>IFERROR(__xludf.DUMMYFUNCTION("GOOGLETRANSLATE(B4007,""en"",""hy"")"),"Բիլ Գեյթս և Փոլ Ալեն.")</f>
        <v>Բիլ Գեյթս և Փոլ Ալեն.</v>
      </c>
    </row>
    <row r="4008">
      <c r="A4008" s="5" t="s">
        <v>7787</v>
      </c>
      <c r="B4008" s="5" t="s">
        <v>7788</v>
      </c>
      <c r="C4008" s="5" t="str">
        <f>IFERROR(__xludf.DUMMYFUNCTION("GOOGLETRANSLATE(A4008,""en"",""hy"")"),"Ո՞րն է շնաձկան ամենամեծ տեսակը:")</f>
        <v>Ո՞րն է շնաձկան ամենամեծ տեսակը:</v>
      </c>
      <c r="D4008" s="6" t="str">
        <f>IFERROR(__xludf.DUMMYFUNCTION("GOOGLETRANSLATE(B4008,""en"",""hy"")"),"Շնաձկների ամենամեծ տեսակը կետ շնաձուկն է։")</f>
        <v>Շնաձկների ամենամեծ տեսակը կետ շնաձուկն է։</v>
      </c>
    </row>
    <row r="4009">
      <c r="A4009" s="5" t="s">
        <v>7789</v>
      </c>
      <c r="B4009" s="5" t="s">
        <v>7790</v>
      </c>
      <c r="C4009" s="5" t="str">
        <f>IFERROR(__xludf.DUMMYFUNCTION("GOOGLETRANSLATE(A4009,""en"",""hy"")"),"Ո՞վ է հունական ամպրոպի աստվածը:")</f>
        <v>Ո՞վ է հունական ամպրոպի աստվածը:</v>
      </c>
      <c r="D4009" s="6" t="str">
        <f>IFERROR(__xludf.DUMMYFUNCTION("GOOGLETRANSLATE(B4009,""en"",""hy"")"),"Հունական ամպրոպի աստվածը Զևսն է:")</f>
        <v>Հունական ամպրոպի աստվածը Զևսն է:</v>
      </c>
    </row>
    <row r="4010">
      <c r="A4010" s="5" t="s">
        <v>7791</v>
      </c>
      <c r="B4010" s="5" t="s">
        <v>7792</v>
      </c>
      <c r="C4010" s="5" t="str">
        <f>IFERROR(__xludf.DUMMYFUNCTION("GOOGLETRANSLATE(A4010,""en"",""hy"")"),"Ո՞րն է Ավստրալիայի ազգային կենդանին:")</f>
        <v>Ո՞րն է Ավստրալիայի ազգային կենդանին:</v>
      </c>
      <c r="D4010" s="6" t="str">
        <f>IFERROR(__xludf.DUMMYFUNCTION("GOOGLETRANSLATE(B4010,""en"",""hy"")"),"Ավստրալիայի ազգային կենդանին կենգուրուն է։")</f>
        <v>Ավստրալիայի ազգային կենդանին կենգուրուն է։</v>
      </c>
    </row>
    <row r="4011">
      <c r="A4011" s="5" t="s">
        <v>7647</v>
      </c>
      <c r="B4011" s="5" t="s">
        <v>7648</v>
      </c>
      <c r="C4011" s="5" t="str">
        <f>IFERROR(__xludf.DUMMYFUNCTION("GOOGLETRANSLATE(A4011,""en"",""hy"")"),"Ո՞վ է նկարել «Աստղային գիշերը»:")</f>
        <v>Ո՞վ է նկարել «Աստղային գիշերը»:</v>
      </c>
      <c r="D4011" s="6" t="str">
        <f>IFERROR(__xludf.DUMMYFUNCTION("GOOGLETRANSLATE(B4011,""en"",""hy"")"),"Վինսենթ վան Գոգ.")</f>
        <v>Վինսենթ վան Գոգ.</v>
      </c>
    </row>
    <row r="4012">
      <c r="A4012" s="5" t="s">
        <v>7793</v>
      </c>
      <c r="B4012" s="5" t="s">
        <v>1958</v>
      </c>
      <c r="C4012" s="5" t="str">
        <f>IFERROR(__xludf.DUMMYFUNCTION("GOOGLETRANSLATE(A4012,""en"",""hy"")"),"Ո՞ր երկիրն է հայտնի իր կակաչներով և հողմաղացներով:")</f>
        <v>Ո՞ր երկիրն է հայտնի իր կակաչներով և հողմաղացներով:</v>
      </c>
      <c r="D4012" s="6" t="str">
        <f>IFERROR(__xludf.DUMMYFUNCTION("GOOGLETRANSLATE(B4012,""en"",""hy"")"),"Նիդեռլանդներ.")</f>
        <v>Նիդեռլանդներ.</v>
      </c>
    </row>
    <row r="4013">
      <c r="A4013" s="5" t="s">
        <v>7794</v>
      </c>
      <c r="B4013" s="5" t="s">
        <v>7560</v>
      </c>
      <c r="C4013" s="5" t="str">
        <f>IFERROR(__xludf.DUMMYFUNCTION("GOOGLETRANSLATE(A4013,""en"",""hy"")"),"Ո՞վ է գրել The Catcher in the Rye-ը:")</f>
        <v>Ո՞վ է գրել The Catcher in the Rye-ը:</v>
      </c>
      <c r="D4013" s="6" t="str">
        <f>IFERROR(__xludf.DUMMYFUNCTION("GOOGLETRANSLATE(B4013,""en"",""hy"")"),"Ջ.Դ.Սելինջեր.")</f>
        <v>Ջ.Դ.Սելինջեր.</v>
      </c>
    </row>
    <row r="4014">
      <c r="A4014" s="5" t="s">
        <v>7795</v>
      </c>
      <c r="B4014" s="5" t="s">
        <v>7796</v>
      </c>
      <c r="C4014" s="5" t="str">
        <f>IFERROR(__xludf.DUMMYFUNCTION("GOOGLETRANSLATE(A4014,""en"",""hy"")"),"Ո՞րն է Եգիպտոսի մայրաքաղաքը:")</f>
        <v>Ո՞րն է Եգիպտոսի մայրաքաղաքը:</v>
      </c>
      <c r="D4014" s="6" t="str">
        <f>IFERROR(__xludf.DUMMYFUNCTION("GOOGLETRANSLATE(B4014,""en"",""hy"")"),"Կահիրե.")</f>
        <v>Կահիրե.</v>
      </c>
    </row>
    <row r="4015">
      <c r="A4015" s="5" t="s">
        <v>7797</v>
      </c>
      <c r="B4015" s="5" t="s">
        <v>7496</v>
      </c>
      <c r="C4015" s="5" t="str">
        <f>IFERROR(__xludf.DUMMYFUNCTION("GOOGLETRANSLATE(A4015,""en"",""hy"")"),"Ո՞ր մոլորակն է հայտնի իր օղակներով:")</f>
        <v>Ո՞ր մոլորակն է հայտնի իր օղակներով:</v>
      </c>
      <c r="D4015" s="6" t="str">
        <f>IFERROR(__xludf.DUMMYFUNCTION("GOOGLETRANSLATE(B4015,""en"",""hy"")"),"Սատուրն.")</f>
        <v>Սատուրն.</v>
      </c>
    </row>
    <row r="4016">
      <c r="A4016" s="5" t="s">
        <v>7572</v>
      </c>
      <c r="B4016" s="5" t="s">
        <v>7573</v>
      </c>
      <c r="C4016" s="5" t="str">
        <f>IFERROR(__xludf.DUMMYFUNCTION("GOOGLETRANSLATE(A4016,""en"",""hy"")"),"Ո՞վ է հորինել լամպը:")</f>
        <v>Ո՞վ է հորինել լամպը:</v>
      </c>
      <c r="D4016" s="6" t="str">
        <f>IFERROR(__xludf.DUMMYFUNCTION("GOOGLETRANSLATE(B4016,""en"",""hy"")"),"Թոմաս Էդիսոն.")</f>
        <v>Թոմաս Էդիսոն.</v>
      </c>
    </row>
    <row r="4017">
      <c r="A4017" s="5" t="s">
        <v>7798</v>
      </c>
      <c r="B4017" s="5" t="s">
        <v>7799</v>
      </c>
      <c r="C4017" s="5" t="str">
        <f>IFERROR(__xludf.DUMMYFUNCTION("GOOGLETRANSLATE(A4017,""en"",""hy"")"),"Ո՞րն է ԱՄՆ-ի ամենաբարձր շենքը:")</f>
        <v>Ո՞րն է ԱՄՆ-ի ամենաբարձր շենքը:</v>
      </c>
      <c r="D4017" s="6" t="str">
        <f>IFERROR(__xludf.DUMMYFUNCTION("GOOGLETRANSLATE(B4017,""en"",""hy"")"),"Մեկ Համաշխարհային Առևտրի Կենտրոն.")</f>
        <v>Մեկ Համաշխարհային Առևտրի Կենտրոն.</v>
      </c>
    </row>
    <row r="4018">
      <c r="A4018" s="5" t="s">
        <v>7655</v>
      </c>
      <c r="B4018" s="5" t="s">
        <v>7656</v>
      </c>
      <c r="C4018" s="5" t="str">
        <f>IFERROR(__xludf.DUMMYFUNCTION("GOOGLETRANSLATE(A4018,""en"",""hy"")"),"Ո՞վ է գրել «Ագռավը» բանաստեղծությունը:")</f>
        <v>Ո՞վ է գրել «Ագռավը» բանաստեղծությունը:</v>
      </c>
      <c r="D4018" s="6" t="str">
        <f>IFERROR(__xludf.DUMMYFUNCTION("GOOGLETRANSLATE(B4018,""en"",""hy"")"),"Էդգար Ալան Պո.")</f>
        <v>Էդգար Ալան Պո.</v>
      </c>
    </row>
    <row r="4019">
      <c r="A4019" s="5" t="s">
        <v>7592</v>
      </c>
      <c r="B4019" s="5" t="s">
        <v>7593</v>
      </c>
      <c r="C4019" s="5" t="str">
        <f>IFERROR(__xludf.DUMMYFUNCTION("GOOGLETRANSLATE(A4019,""en"",""hy"")"),"Ո՞րն է թթվածնի քիմիական նշանը:")</f>
        <v>Ո՞րն է թթվածնի քիմիական նշանը:</v>
      </c>
      <c r="D4019" s="6" t="str">
        <f>IFERROR(__xludf.DUMMYFUNCTION("GOOGLETRANSLATE(B4019,""en"",""hy"")"),"Թթվածնի քիմիական նշանը O է:")</f>
        <v>Թթվածնի քիմիական նշանը O է:</v>
      </c>
    </row>
    <row r="4020">
      <c r="A4020" s="5" t="s">
        <v>7800</v>
      </c>
      <c r="B4020" s="5" t="s">
        <v>1299</v>
      </c>
      <c r="C4020" s="5" t="str">
        <f>IFERROR(__xludf.DUMMYFUNCTION("GOOGLETRANSLATE(A4020,""en"",""hy"")"),"Ո՞րն է ամենամեծ մայրցամաքը:")</f>
        <v>Ո՞րն է ամենամեծ մայրցամաքը:</v>
      </c>
      <c r="D4020" s="6" t="str">
        <f>IFERROR(__xludf.DUMMYFUNCTION("GOOGLETRANSLATE(B4020,""en"",""hy"")"),"Ասիա.")</f>
        <v>Ասիա.</v>
      </c>
    </row>
    <row r="4021">
      <c r="A4021" s="5" t="s">
        <v>7801</v>
      </c>
      <c r="B4021" s="5" t="s">
        <v>7541</v>
      </c>
      <c r="C4021" s="5" t="str">
        <f>IFERROR(__xludf.DUMMYFUNCTION("GOOGLETRANSLATE(A4021,""en"",""hy"")"),"Ո՞վ է «Սպանել ծաղրող թռչունին» գրքի հեղինակը:")</f>
        <v>Ո՞վ է «Սպանել ծաղրող թռչունին» գրքի հեղինակը:</v>
      </c>
      <c r="D4021" s="6" t="str">
        <f>IFERROR(__xludf.DUMMYFUNCTION("GOOGLETRANSLATE(B4021,""en"",""hy"")"),"Հարփեր Լի.")</f>
        <v>Հարփեր Լի.</v>
      </c>
    </row>
    <row r="4022">
      <c r="A4022" s="5" t="s">
        <v>7589</v>
      </c>
      <c r="B4022" s="5" t="s">
        <v>7545</v>
      </c>
      <c r="C4022" s="5" t="str">
        <f>IFERROR(__xludf.DUMMYFUNCTION("GOOGLETRANSLATE(A4022,""en"",""hy"")"),"Ո՞րն է Իտալիայի մայրաքաղաքը:")</f>
        <v>Ո՞րն է Իտալիայի մայրաքաղաքը:</v>
      </c>
      <c r="D4022" s="6" t="str">
        <f>IFERROR(__xludf.DUMMYFUNCTION("GOOGLETRANSLATE(B4022,""en"",""hy"")"),"Հռոմ.")</f>
        <v>Հռոմ.</v>
      </c>
    </row>
    <row r="4023">
      <c r="A4023" s="5" t="s">
        <v>7802</v>
      </c>
      <c r="B4023" s="5" t="s">
        <v>7803</v>
      </c>
      <c r="C4023" s="5" t="str">
        <f>IFERROR(__xludf.DUMMYFUNCTION("GOOGLETRANSLATE(A4023,""en"",""hy"")"),"Ո՞ր երկիրն է հայտնի որպես «Ազատների երկիր»:")</f>
        <v>Ո՞ր երկիրն է հայտնի որպես «Ազատների երկիր»:</v>
      </c>
      <c r="D4023" s="6" t="str">
        <f>IFERROR(__xludf.DUMMYFUNCTION("GOOGLETRANSLATE(B4023,""en"",""hy"")"),"Ամերիկայի Միացյալ Նահանգներ.")</f>
        <v>Ամերիկայի Միացյալ Նահանգներ.</v>
      </c>
    </row>
    <row r="4024">
      <c r="A4024" s="5" t="s">
        <v>7804</v>
      </c>
      <c r="B4024" s="5" t="s">
        <v>7448</v>
      </c>
      <c r="C4024" s="5" t="str">
        <f>IFERROR(__xludf.DUMMYFUNCTION("GOOGLETRANSLATE(A4024,""en"",""hy"")"),"Ո՞վ է նկարել Վերջին ընթրիքը:")</f>
        <v>Ո՞վ է նկարել Վերջին ընթրիքը:</v>
      </c>
      <c r="D4024" s="6" t="str">
        <f>IFERROR(__xludf.DUMMYFUNCTION("GOOGLETRANSLATE(B4024,""en"",""hy"")"),"Լեոնարդո դա Վինչի.")</f>
        <v>Լեոնարդո դա Վինչի.</v>
      </c>
    </row>
    <row r="4025">
      <c r="A4025" s="5" t="s">
        <v>7461</v>
      </c>
      <c r="B4025" s="5" t="s">
        <v>7639</v>
      </c>
      <c r="C4025" s="5" t="str">
        <f>IFERROR(__xludf.DUMMYFUNCTION("GOOGLETRANSLATE(A4025,""en"",""hy"")"),"Ո՞րն է մարդու մարմնի ամենամեծ օրգանը:")</f>
        <v>Ո՞րն է մարդու մարմնի ամենամեծ օրգանը:</v>
      </c>
      <c r="D4025" s="6" t="str">
        <f>IFERROR(__xludf.DUMMYFUNCTION("GOOGLETRANSLATE(B4025,""en"",""hy"")"),"Մարդու մարմնի ամենամեծ օրգանը մաշկն է։")</f>
        <v>Մարդու մարմնի ամենամեծ օրգանը մաշկն է։</v>
      </c>
    </row>
    <row r="4026">
      <c r="A4026" s="5" t="s">
        <v>7805</v>
      </c>
      <c r="B4026" s="5" t="s">
        <v>7806</v>
      </c>
      <c r="C4026" s="5" t="str">
        <f>IFERROR(__xludf.DUMMYFUNCTION("GOOGLETRANSLATE(A4026,""en"",""hy"")"),"Ո՞ր մոլորակն է հայտնի որպես «Կապույտ մոլորակ»:")</f>
        <v>Ո՞ր մոլորակն է հայտնի որպես «Կապույտ մոլորակ»:</v>
      </c>
      <c r="D4026" s="6" t="str">
        <f>IFERROR(__xludf.DUMMYFUNCTION("GOOGLETRANSLATE(B4026,""en"",""hy"")"),"Երկիր.")</f>
        <v>Երկիր.</v>
      </c>
    </row>
    <row r="4027">
      <c r="A4027" s="5" t="s">
        <v>7807</v>
      </c>
      <c r="B4027" s="5" t="s">
        <v>7808</v>
      </c>
      <c r="C4027" s="5" t="str">
        <f>IFERROR(__xludf.DUMMYFUNCTION("GOOGLETRANSLATE(A4027,""en"",""hy"")"),"Ո՞վ է հորինել տպագրական մեքենան:")</f>
        <v>Ո՞վ է հորինել տպագրական մեքենան:</v>
      </c>
      <c r="D4027" s="6" t="str">
        <f>IFERROR(__xludf.DUMMYFUNCTION("GOOGLETRANSLATE(B4027,""en"",""hy"")"),"Յոհաննես Գուտենբերգ.")</f>
        <v>Յոհաննես Գուտենբերգ.</v>
      </c>
    </row>
    <row r="4028">
      <c r="A4028" s="5" t="s">
        <v>7450</v>
      </c>
      <c r="B4028" s="5" t="s">
        <v>7451</v>
      </c>
      <c r="C4028" s="5" t="str">
        <f>IFERROR(__xludf.DUMMYFUNCTION("GOOGLETRANSLATE(A4028,""en"",""hy"")"),"Ո՞րն է Ավստրալիայի մայրաքաղաքը:")</f>
        <v>Ո՞րն է Ավստրալիայի մայրաքաղաքը:</v>
      </c>
      <c r="D4028" s="6" t="str">
        <f>IFERROR(__xludf.DUMMYFUNCTION("GOOGLETRANSLATE(B4028,""en"",""hy"")"),"Կանբերա.")</f>
        <v>Կանբերա.</v>
      </c>
    </row>
    <row r="4029">
      <c r="A4029" s="5" t="s">
        <v>7521</v>
      </c>
      <c r="B4029" s="5" t="s">
        <v>1016</v>
      </c>
      <c r="C4029" s="5" t="str">
        <f>IFERROR(__xludf.DUMMYFUNCTION("GOOGLETRANSLATE(A4029,""en"",""hy"")"),"Ո՞վ է գրել Համլետ պիեսը:")</f>
        <v>Ո՞վ է գրել Համլետ պիեսը:</v>
      </c>
      <c r="D4029" s="6" t="str">
        <f>IFERROR(__xludf.DUMMYFUNCTION("GOOGLETRANSLATE(B4029,""en"",""hy"")"),"Ուիլյամ Շեքսպիր.")</f>
        <v>Ուիլյամ Շեքսպիր.</v>
      </c>
    </row>
    <row r="4030">
      <c r="A4030" s="5" t="s">
        <v>7809</v>
      </c>
      <c r="B4030" s="5" t="s">
        <v>7810</v>
      </c>
      <c r="C4030" s="5" t="str">
        <f>IFERROR(__xludf.DUMMYFUNCTION("GOOGLETRANSLATE(A4030,""en"",""hy"")"),"Ո՞րն է հելիումի քիմիական նշանը:")</f>
        <v>Ո՞րն է հելիումի քիմիական նշանը:</v>
      </c>
      <c r="D4030" s="6" t="str">
        <f>IFERROR(__xludf.DUMMYFUNCTION("GOOGLETRANSLATE(B4030,""en"",""hy"")"),"Նա")</f>
        <v>Նա</v>
      </c>
    </row>
    <row r="4031">
      <c r="A4031" s="5" t="s">
        <v>7811</v>
      </c>
      <c r="B4031" s="5" t="s">
        <v>1996</v>
      </c>
      <c r="C4031" s="5" t="str">
        <f>IFERROR(__xludf.DUMMYFUNCTION("GOOGLETRANSLATE(A4031,""en"",""hy"")"),"Ո՞վ է Միացյալ Թագավորության ներկայիս վարչապետը:")</f>
        <v>Ո՞վ է Միացյալ Թագավորության ներկայիս վարչապետը:</v>
      </c>
      <c r="D4031" s="6" t="str">
        <f>IFERROR(__xludf.DUMMYFUNCTION("GOOGLETRANSLATE(B4031,""en"",""hy"")"),"Բորիս Ջոնսոն.")</f>
        <v>Բորիս Ջոնսոն.</v>
      </c>
    </row>
    <row r="4032">
      <c r="A4032" s="5" t="s">
        <v>7812</v>
      </c>
      <c r="B4032" s="5" t="s">
        <v>7813</v>
      </c>
      <c r="C4032" s="5" t="str">
        <f>IFERROR(__xludf.DUMMYFUNCTION("GOOGLETRANSLATE(A4032,""en"",""hy"")"),"Ո՞րն է Փարիզի ամենաբարձր աշտարակը:")</f>
        <v>Ո՞րն է Փարիզի ամենաբարձր աշտարակը:</v>
      </c>
      <c r="D4032" s="6" t="str">
        <f>IFERROR(__xludf.DUMMYFUNCTION("GOOGLETRANSLATE(B4032,""en"",""hy"")"),"Էյֆելյան աշտարակ.")</f>
        <v>Էյֆելյան աշտարակ.</v>
      </c>
    </row>
    <row r="4033">
      <c r="A4033" s="5" t="s">
        <v>7465</v>
      </c>
      <c r="B4033" s="5" t="s">
        <v>7466</v>
      </c>
      <c r="C4033" s="5" t="str">
        <f>IFERROR(__xludf.DUMMYFUNCTION("GOOGLETRANSLATE(A4033,""en"",""hy"")"),"Ո՞վ է գրել «Հպարտություն և նախապաշարմունք» վեպը:")</f>
        <v>Ո՞վ է գրել «Հպարտություն և նախապաշարմունք» վեպը:</v>
      </c>
      <c r="D4033" s="6" t="str">
        <f>IFERROR(__xludf.DUMMYFUNCTION("GOOGLETRANSLATE(B4033,""en"",""hy"")"),"Ջեյն Օսթին")</f>
        <v>Ջեյն Օսթին</v>
      </c>
    </row>
    <row r="4034">
      <c r="A4034" s="5" t="s">
        <v>7686</v>
      </c>
      <c r="B4034" s="5" t="s">
        <v>7814</v>
      </c>
      <c r="C4034" s="5" t="str">
        <f>IFERROR(__xludf.DUMMYFUNCTION("GOOGLETRANSLATE(A4034,""en"",""hy"")"),"Ո՞րն է Գերմանիայի մայրաքաղաքը:")</f>
        <v>Ո՞րն է Գերմանիայի մայրաքաղաքը:</v>
      </c>
      <c r="D4034" s="6" t="str">
        <f>IFERROR(__xludf.DUMMYFUNCTION("GOOGLETRANSLATE(B4034,""en"",""hy"")"),"Գերմանիայի մայրաքաղաքը Բեռլինն է։")</f>
        <v>Գերմանիայի մայրաքաղաքը Բեռլինն է։</v>
      </c>
    </row>
    <row r="4035">
      <c r="A4035" s="5" t="s">
        <v>7815</v>
      </c>
      <c r="B4035" s="5" t="s">
        <v>7816</v>
      </c>
      <c r="C4035" s="5" t="str">
        <f>IFERROR(__xludf.DUMMYFUNCTION("GOOGLETRANSLATE(A4035,""en"",""hy"")"),"Ո՞ր երկիրն է հայտնի որպես «Ժպիտների երկիր»:")</f>
        <v>Ո՞ր երկիրն է հայտնի որպես «Ժպիտների երկիր»:</v>
      </c>
      <c r="D4035" s="6" t="str">
        <f>IFERROR(__xludf.DUMMYFUNCTION("GOOGLETRANSLATE(B4035,""en"",""hy"")"),"Թաիլանդ.")</f>
        <v>Թաիլանդ.</v>
      </c>
    </row>
    <row r="4036">
      <c r="A4036" s="5" t="s">
        <v>7620</v>
      </c>
      <c r="B4036" s="5" t="s">
        <v>7621</v>
      </c>
      <c r="C4036" s="5" t="str">
        <f>IFERROR(__xludf.DUMMYFUNCTION("GOOGLETRANSLATE(A4036,""en"",""hy"")"),"Ո՞վ է նկարել Վեներայի ծնունդը:")</f>
        <v>Ո՞վ է նկարել Վեներայի ծնունդը:</v>
      </c>
      <c r="D4036" s="6" t="str">
        <f>IFERROR(__xludf.DUMMYFUNCTION("GOOGLETRANSLATE(B4036,""en"",""hy"")"),"Սանդրո Բոտիչելի.")</f>
        <v>Սանդրո Բոտիչելի.</v>
      </c>
    </row>
    <row r="4037">
      <c r="A4037" s="5" t="s">
        <v>7817</v>
      </c>
      <c r="B4037" s="5" t="s">
        <v>7818</v>
      </c>
      <c r="C4037" s="5" t="str">
        <f>IFERROR(__xludf.DUMMYFUNCTION("GOOGLETRANSLATE(A4037,""en"",""hy"")"),"Ո՞րն է Կանադայի ազգային կենդանին:")</f>
        <v>Ո՞րն է Կանադայի ազգային կենդանին:</v>
      </c>
      <c r="D4037" s="6" t="str">
        <f>IFERROR(__xludf.DUMMYFUNCTION("GOOGLETRANSLATE(B4037,""en"",""hy"")"),"Կանադայի ազգային կենդանին կեղևն է:")</f>
        <v>Կանադայի ազգային կենդանին կեղևն է:</v>
      </c>
    </row>
    <row r="4038">
      <c r="A4038" s="5" t="s">
        <v>7819</v>
      </c>
      <c r="B4038" s="5" t="s">
        <v>7633</v>
      </c>
      <c r="C4038" s="5" t="str">
        <f>IFERROR(__xludf.DUMMYFUNCTION("GOOGLETRANSLATE(A4038,""en"",""hy"")"),"Ո՞ր մոլորակն է հայտնի որպես «Հսկա մոլորակ»:")</f>
        <v>Ո՞ր մոլորակն է հայտնի որպես «Հսկա մոլորակ»:</v>
      </c>
      <c r="D4038" s="6" t="str">
        <f>IFERROR(__xludf.DUMMYFUNCTION("GOOGLETRANSLATE(B4038,""en"",""hy"")"),"Յուպիտեր.")</f>
        <v>Յուպիտեր.</v>
      </c>
    </row>
    <row r="4039">
      <c r="A4039" s="5" t="s">
        <v>7820</v>
      </c>
      <c r="B4039" s="5" t="s">
        <v>7556</v>
      </c>
      <c r="C4039" s="5" t="str">
        <f>IFERROR(__xludf.DUMMYFUNCTION("GOOGLETRANSLATE(A4039,""en"",""hy"")"),"Ո՞վ է հորինել հարաբերականության տեսությունը:")</f>
        <v>Ո՞վ է հորինել հարաբերականության տեսությունը:</v>
      </c>
      <c r="D4039" s="6" t="str">
        <f>IFERROR(__xludf.DUMMYFUNCTION("GOOGLETRANSLATE(B4039,""en"",""hy"")"),"Albert Einstein.")</f>
        <v>Albert Einstein.</v>
      </c>
    </row>
    <row r="4040">
      <c r="A4040" s="5" t="s">
        <v>7821</v>
      </c>
      <c r="B4040" s="5" t="s">
        <v>7822</v>
      </c>
      <c r="C4040" s="5" t="str">
        <f>IFERROR(__xludf.DUMMYFUNCTION("GOOGLETRANSLATE(A4040,""en"",""hy"")"),"Ո՞րն է Եվրոպայի ամենաբարձր շենքը:")</f>
        <v>Ո՞րն է Եվրոպայի ամենաբարձր շենքը:</v>
      </c>
      <c r="D4040" s="6" t="str">
        <f>IFERROR(__xludf.DUMMYFUNCTION("GOOGLETRANSLATE(B4040,""en"",""hy"")"),"Լախտա կենտրոն Սանկտ Պետերբուրգում, Ռուսաստան.")</f>
        <v>Լախտա կենտրոն Սանկտ Պետերբուրգում, Ռուսաստան.</v>
      </c>
    </row>
    <row r="4041">
      <c r="A4041" s="5" t="s">
        <v>7713</v>
      </c>
      <c r="B4041" s="5" t="s">
        <v>7714</v>
      </c>
      <c r="C4041" s="5" t="str">
        <f>IFERROR(__xludf.DUMMYFUNCTION("GOOGLETRANSLATE(A4041,""en"",""hy"")"),"Ո՞վ է գրել «The Waste Land» բանաստեղծությունը:")</f>
        <v>Ո՞վ է գրել «The Waste Land» բանաստեղծությունը:</v>
      </c>
      <c r="D4041" s="6" t="str">
        <f>IFERROR(__xludf.DUMMYFUNCTION("GOOGLETRANSLATE(B4041,""en"",""hy"")"),"Տ.Ս. Էլիոթ.")</f>
        <v>Տ.Ս. Էլիոթ.</v>
      </c>
    </row>
    <row r="4042">
      <c r="A4042" s="5" t="s">
        <v>7699</v>
      </c>
      <c r="B4042" s="5" t="s">
        <v>7700</v>
      </c>
      <c r="C4042" s="5" t="str">
        <f>IFERROR(__xludf.DUMMYFUNCTION("GOOGLETRANSLATE(A4042,""en"",""hy"")"),"Ո՞րն է ածխածնի քիմիական նշանը:")</f>
        <v>Ո՞րն է ածխածնի քիմիական նշանը:</v>
      </c>
      <c r="D4042" s="6" t="str">
        <f>IFERROR(__xludf.DUMMYFUNCTION("GOOGLETRANSLATE(B4042,""en"",""hy"")"),"Ածխածնի քիմիական նշանը C է:")</f>
        <v>Ածխածնի քիմիական նշանը C է:</v>
      </c>
    </row>
    <row r="4043">
      <c r="A4043" s="5" t="s">
        <v>7506</v>
      </c>
      <c r="B4043" s="5" t="s">
        <v>7507</v>
      </c>
      <c r="C4043" s="5" t="str">
        <f>IFERROR(__xludf.DUMMYFUNCTION("GOOGLETRANSLATE(A4043,""en"",""hy"")"),"Ո՞րն է աշխարհի ամենափոքր երկիրը:")</f>
        <v>Ո՞րն է աշխարհի ամենափոքր երկիրը:</v>
      </c>
      <c r="D4043" s="6" t="str">
        <f>IFERROR(__xludf.DUMMYFUNCTION("GOOGLETRANSLATE(B4043,""en"",""hy"")"),"Քաղաք Վատիկան.")</f>
        <v>Քաղաք Վատիկան.</v>
      </c>
    </row>
    <row r="4044">
      <c r="A4044" s="5" t="s">
        <v>7823</v>
      </c>
      <c r="B4044" s="5" t="s">
        <v>7824</v>
      </c>
      <c r="C4044" s="5" t="str">
        <f>IFERROR(__xludf.DUMMYFUNCTION("GOOGLETRANSLATE(A4044,""en"",""hy"")"),"Ո՞ր երկիրն է հայտնի որպես «կրակի և սառույցի երկիր»:")</f>
        <v>Ո՞ր երկիրն է հայտնի որպես «կրակի և սառույցի երկիր»:</v>
      </c>
      <c r="D4044" s="6" t="str">
        <f>IFERROR(__xludf.DUMMYFUNCTION("GOOGLETRANSLATE(B4044,""en"",""hy"")"),"Իսլանդիա.")</f>
        <v>Իսլանդիա.</v>
      </c>
    </row>
    <row r="4045">
      <c r="A4045" s="5" t="s">
        <v>7473</v>
      </c>
      <c r="B4045" s="5" t="s">
        <v>7474</v>
      </c>
      <c r="C4045" s="5" t="str">
        <f>IFERROR(__xludf.DUMMYFUNCTION("GOOGLETRANSLATE(A4045,""en"",""hy"")"),"Ո՞վ է նկարել Սիքստինյան կապելլայի առաստաղը:")</f>
        <v>Ո՞վ է նկարել Սիքստինյան կապելլայի առաստաղը:</v>
      </c>
      <c r="D4045" s="6" t="str">
        <f>IFERROR(__xludf.DUMMYFUNCTION("GOOGLETRANSLATE(B4045,""en"",""hy"")"),"Միքելանջելո.")</f>
        <v>Միքելանջելո.</v>
      </c>
    </row>
    <row r="4046">
      <c r="A4046" s="5" t="s">
        <v>7825</v>
      </c>
      <c r="B4046" s="5" t="s">
        <v>7826</v>
      </c>
      <c r="C4046" s="5" t="str">
        <f>IFERROR(__xludf.DUMMYFUNCTION("GOOGLETRANSLATE(A4046,""en"",""hy"")"),"Ո՞րն է մարդու մարմնի ամենամեծ ոսկորը:")</f>
        <v>Ո՞րն է մարդու մարմնի ամենամեծ ոսկորը:</v>
      </c>
      <c r="D4046" s="6" t="str">
        <f>IFERROR(__xludf.DUMMYFUNCTION("GOOGLETRANSLATE(B4046,""en"",""hy"")"),"Ֆեմուրը.")</f>
        <v>Ֆեմուրը.</v>
      </c>
    </row>
    <row r="4047">
      <c r="A4047" s="5" t="s">
        <v>7779</v>
      </c>
      <c r="B4047" s="5" t="s">
        <v>7446</v>
      </c>
      <c r="C4047" s="5" t="str">
        <f>IFERROR(__xludf.DUMMYFUNCTION("GOOGLETRANSLATE(A4047,""en"",""hy"")"),"Ո՞ր մոլորակն է հայտնի որպես «Կարմիր մոլորակ»:")</f>
        <v>Ո՞ր մոլորակն է հայտնի որպես «Կարմիր մոլորակ»:</v>
      </c>
      <c r="D4047" s="6" t="str">
        <f>IFERROR(__xludf.DUMMYFUNCTION("GOOGLETRANSLATE(B4047,""en"",""hy"")"),"Մարս.")</f>
        <v>Մարս.</v>
      </c>
    </row>
    <row r="4048">
      <c r="A4048" s="5" t="s">
        <v>7534</v>
      </c>
      <c r="B4048" s="5" t="s">
        <v>7535</v>
      </c>
      <c r="C4048" s="5" t="str">
        <f>IFERROR(__xludf.DUMMYFUNCTION("GOOGLETRANSLATE(A4048,""en"",""hy"")"),"Ո՞վ է հորինել հեռախոսը:")</f>
        <v>Ո՞վ է հորինել հեռախոսը:</v>
      </c>
      <c r="D4048" s="6" t="str">
        <f>IFERROR(__xludf.DUMMYFUNCTION("GOOGLETRANSLATE(B4048,""en"",""hy"")"),"Ալեքսանդր Գրեհեմ Բել.")</f>
        <v>Ալեքսանդր Գրեհեմ Բել.</v>
      </c>
    </row>
    <row r="4049">
      <c r="A4049" s="5" t="s">
        <v>7798</v>
      </c>
      <c r="B4049" s="5" t="s">
        <v>7827</v>
      </c>
      <c r="C4049" s="5" t="str">
        <f>IFERROR(__xludf.DUMMYFUNCTION("GOOGLETRANSLATE(A4049,""en"",""hy"")"),"Ո՞րն է ԱՄՆ-ի ամենաբարձր շենքը:")</f>
        <v>Ո՞րն է ԱՄՆ-ի ամենաբարձր շենքը:</v>
      </c>
      <c r="D4049" s="6" t="str">
        <f>IFERROR(__xludf.DUMMYFUNCTION("GOOGLETRANSLATE(B4049,""en"",""hy"")"),"ԱՄՆ-ի ամենաբարձր շենքը One World Trade Center-ն է, որը գտնվում է Նյու Յորքում:")</f>
        <v>ԱՄՆ-ի ամենաբարձր շենքը One World Trade Center-ն է, որը գտնվում է Նյու Յորքում:</v>
      </c>
    </row>
    <row r="4050">
      <c r="A4050" s="5" t="s">
        <v>7655</v>
      </c>
      <c r="B4050" s="5" t="s">
        <v>7656</v>
      </c>
      <c r="C4050" s="5" t="str">
        <f>IFERROR(__xludf.DUMMYFUNCTION("GOOGLETRANSLATE(A4050,""en"",""hy"")"),"Ո՞վ է գրել «Ագռավը» բանաստեղծությունը:")</f>
        <v>Ո՞վ է գրել «Ագռավը» բանաստեղծությունը:</v>
      </c>
      <c r="D4050" s="6" t="str">
        <f>IFERROR(__xludf.DUMMYFUNCTION("GOOGLETRANSLATE(B4050,""en"",""hy"")"),"Էդգար Ալան Պո.")</f>
        <v>Էդգար Ալան Պո.</v>
      </c>
    </row>
    <row r="4051">
      <c r="A4051" s="5" t="s">
        <v>7592</v>
      </c>
      <c r="B4051" s="5" t="s">
        <v>7593</v>
      </c>
      <c r="C4051" s="5" t="str">
        <f>IFERROR(__xludf.DUMMYFUNCTION("GOOGLETRANSLATE(A4051,""en"",""hy"")"),"Ո՞րն է թթվածնի քիմիական նշանը:")</f>
        <v>Ո՞րն է թթվածնի քիմիական նշանը:</v>
      </c>
      <c r="D4051" s="6" t="str">
        <f>IFERROR(__xludf.DUMMYFUNCTION("GOOGLETRANSLATE(B4051,""en"",""hy"")"),"Թթվածնի քիմիական նշանը O է:")</f>
        <v>Թթվածնի քիմիական նշանը O է:</v>
      </c>
    </row>
    <row r="4052">
      <c r="A4052" s="5" t="s">
        <v>7800</v>
      </c>
      <c r="B4052" s="5" t="s">
        <v>1299</v>
      </c>
      <c r="C4052" s="5" t="str">
        <f>IFERROR(__xludf.DUMMYFUNCTION("GOOGLETRANSLATE(A4052,""en"",""hy"")"),"Ո՞րն է ամենամեծ մայրցամաքը:")</f>
        <v>Ո՞րն է ամենամեծ մայրցամաքը:</v>
      </c>
      <c r="D4052" s="6" t="str">
        <f>IFERROR(__xludf.DUMMYFUNCTION("GOOGLETRANSLATE(B4052,""en"",""hy"")"),"Ասիա.")</f>
        <v>Ասիա.</v>
      </c>
    </row>
    <row r="4053">
      <c r="A4053" s="5" t="s">
        <v>7801</v>
      </c>
      <c r="B4053" s="5" t="s">
        <v>7541</v>
      </c>
      <c r="C4053" s="5" t="str">
        <f>IFERROR(__xludf.DUMMYFUNCTION("GOOGLETRANSLATE(A4053,""en"",""hy"")"),"Ո՞վ է «Սպանել ծաղրող թռչունին» գրքի հեղինակը:")</f>
        <v>Ո՞վ է «Սպանել ծաղրող թռչունին» գրքի հեղինակը:</v>
      </c>
      <c r="D4053" s="6" t="str">
        <f>IFERROR(__xludf.DUMMYFUNCTION("GOOGLETRANSLATE(B4053,""en"",""hy"")"),"Հարփեր Լի.")</f>
        <v>Հարփեր Լի.</v>
      </c>
    </row>
    <row r="4054">
      <c r="A4054" s="5" t="s">
        <v>7589</v>
      </c>
      <c r="B4054" s="5" t="s">
        <v>7545</v>
      </c>
      <c r="C4054" s="5" t="str">
        <f>IFERROR(__xludf.DUMMYFUNCTION("GOOGLETRANSLATE(A4054,""en"",""hy"")"),"Ո՞րն է Իտալիայի մայրաքաղաքը:")</f>
        <v>Ո՞րն է Իտալիայի մայրաքաղաքը:</v>
      </c>
      <c r="D4054" s="6" t="str">
        <f>IFERROR(__xludf.DUMMYFUNCTION("GOOGLETRANSLATE(B4054,""en"",""hy"")"),"Հռոմ.")</f>
        <v>Հռոմ.</v>
      </c>
    </row>
    <row r="4055">
      <c r="A4055" s="5" t="s">
        <v>7802</v>
      </c>
      <c r="B4055" s="5" t="s">
        <v>7803</v>
      </c>
      <c r="C4055" s="5" t="str">
        <f>IFERROR(__xludf.DUMMYFUNCTION("GOOGLETRANSLATE(A4055,""en"",""hy"")"),"Ո՞ր երկիրն է հայտնի որպես «Ազատների երկիր»:")</f>
        <v>Ո՞ր երկիրն է հայտնի որպես «Ազատների երկիր»:</v>
      </c>
      <c r="D4055" s="6" t="str">
        <f>IFERROR(__xludf.DUMMYFUNCTION("GOOGLETRANSLATE(B4055,""en"",""hy"")"),"Ամերիկայի Միացյալ Նահանգներ.")</f>
        <v>Ամերիկայի Միացյալ Նահանգներ.</v>
      </c>
    </row>
    <row r="4056">
      <c r="A4056" s="5" t="s">
        <v>7804</v>
      </c>
      <c r="B4056" s="5" t="s">
        <v>7828</v>
      </c>
      <c r="C4056" s="5" t="str">
        <f>IFERROR(__xludf.DUMMYFUNCTION("GOOGLETRANSLATE(A4056,""en"",""hy"")"),"Ո՞վ է նկարել Վերջին ընթրիքը:")</f>
        <v>Ո՞վ է նկարել Վերջին ընթրիքը:</v>
      </c>
      <c r="D4056" s="6" t="str">
        <f>IFERROR(__xludf.DUMMYFUNCTION("GOOGLETRANSLATE(B4056,""en"",""hy"")"),"Լեոնարդո դա Վինչի")</f>
        <v>Լեոնարդո դա Վինչի</v>
      </c>
    </row>
    <row r="4057">
      <c r="A4057" s="5" t="s">
        <v>7461</v>
      </c>
      <c r="B4057" s="5" t="s">
        <v>7462</v>
      </c>
      <c r="C4057" s="5" t="str">
        <f>IFERROR(__xludf.DUMMYFUNCTION("GOOGLETRANSLATE(A4057,""en"",""hy"")"),"Ո՞րն է մարդու մարմնի ամենամեծ օրգանը:")</f>
        <v>Ո՞րն է մարդու մարմնի ամենամեծ օրգանը:</v>
      </c>
      <c r="D4057" s="6" t="str">
        <f>IFERROR(__xludf.DUMMYFUNCTION("GOOGLETRANSLATE(B4057,""en"",""hy"")"),"Մաշկը.")</f>
        <v>Մաշկը.</v>
      </c>
    </row>
    <row r="4058">
      <c r="A4058" s="5" t="s">
        <v>7805</v>
      </c>
      <c r="B4058" s="5" t="s">
        <v>7806</v>
      </c>
      <c r="C4058" s="5" t="str">
        <f>IFERROR(__xludf.DUMMYFUNCTION("GOOGLETRANSLATE(A4058,""en"",""hy"")"),"Ո՞ր մոլորակն է հայտնի որպես «Կապույտ մոլորակ»:")</f>
        <v>Ո՞ր մոլորակն է հայտնի որպես «Կապույտ մոլորակ»:</v>
      </c>
      <c r="D4058" s="6" t="str">
        <f>IFERROR(__xludf.DUMMYFUNCTION("GOOGLETRANSLATE(B4058,""en"",""hy"")"),"Երկիր.")</f>
        <v>Երկիր.</v>
      </c>
    </row>
    <row r="4059">
      <c r="A4059" s="5" t="s">
        <v>7807</v>
      </c>
      <c r="B4059" s="5" t="s">
        <v>7808</v>
      </c>
      <c r="C4059" s="5" t="str">
        <f>IFERROR(__xludf.DUMMYFUNCTION("GOOGLETRANSLATE(A4059,""en"",""hy"")"),"Ո՞վ է հորինել տպագրական մեքենան:")</f>
        <v>Ո՞վ է հորինել տպագրական մեքենան:</v>
      </c>
      <c r="D4059" s="6" t="str">
        <f>IFERROR(__xludf.DUMMYFUNCTION("GOOGLETRANSLATE(B4059,""en"",""hy"")"),"Յոհաննես Գուտենբերգ.")</f>
        <v>Յոհաննես Գուտենբերգ.</v>
      </c>
    </row>
    <row r="4060">
      <c r="A4060" s="5" t="s">
        <v>7450</v>
      </c>
      <c r="B4060" s="5" t="s">
        <v>7829</v>
      </c>
      <c r="C4060" s="5" t="str">
        <f>IFERROR(__xludf.DUMMYFUNCTION("GOOGLETRANSLATE(A4060,""en"",""hy"")"),"Ո՞րն է Ավստրալիայի մայրաքաղաքը:")</f>
        <v>Ո՞րն է Ավստրալիայի մայրաքաղաքը:</v>
      </c>
      <c r="D4060" s="6" t="str">
        <f>IFERROR(__xludf.DUMMYFUNCTION("GOOGLETRANSLATE(B4060,""en"",""hy"")"),"Ավստրալիայի մայրաքաղաքը Կանբերան է։")</f>
        <v>Ավստրալիայի մայրաքաղաքը Կանբերան է։</v>
      </c>
    </row>
    <row r="4061">
      <c r="A4061" s="5" t="s">
        <v>7521</v>
      </c>
      <c r="B4061" s="5" t="s">
        <v>1016</v>
      </c>
      <c r="C4061" s="5" t="str">
        <f>IFERROR(__xludf.DUMMYFUNCTION("GOOGLETRANSLATE(A4061,""en"",""hy"")"),"Ո՞վ է գրել Համլետ պիեսը:")</f>
        <v>Ո՞վ է գրել Համլետ պիեսը:</v>
      </c>
      <c r="D4061" s="6" t="str">
        <f>IFERROR(__xludf.DUMMYFUNCTION("GOOGLETRANSLATE(B4061,""en"",""hy"")"),"Ուիլյամ Շեքսպիր.")</f>
        <v>Ուիլյամ Շեքսպիր.</v>
      </c>
    </row>
    <row r="4062">
      <c r="A4062" s="5" t="s">
        <v>7809</v>
      </c>
      <c r="B4062" s="5" t="s">
        <v>7810</v>
      </c>
      <c r="C4062" s="5" t="str">
        <f>IFERROR(__xludf.DUMMYFUNCTION("GOOGLETRANSLATE(A4062,""en"",""hy"")"),"Ո՞րն է հելիումի քիմիական նշանը:")</f>
        <v>Ո՞րն է հելիումի քիմիական նշանը:</v>
      </c>
      <c r="D4062" s="6" t="str">
        <f>IFERROR(__xludf.DUMMYFUNCTION("GOOGLETRANSLATE(B4062,""en"",""hy"")"),"Նա")</f>
        <v>Նա</v>
      </c>
    </row>
    <row r="4063">
      <c r="A4063" s="5" t="s">
        <v>7811</v>
      </c>
      <c r="B4063" s="5" t="s">
        <v>7830</v>
      </c>
      <c r="C4063" s="5" t="str">
        <f>IFERROR(__xludf.DUMMYFUNCTION("GOOGLETRANSLATE(A4063,""en"",""hy"")"),"Ո՞վ է Միացյալ Թագավորության ներկայիս վարչապետը:")</f>
        <v>Ո՞վ է Միացյալ Թագավորության ներկայիս վարչապետը:</v>
      </c>
      <c r="D4063" s="6" t="str">
        <f>IFERROR(__xludf.DUMMYFUNCTION("GOOGLETRANSLATE(B4063,""en"",""hy"")"),"Միացյալ Թագավորության ներկայիս վարչապետը Բորիս Ջոնսոնն է։")</f>
        <v>Միացյալ Թագավորության ներկայիս վարչապետը Բորիս Ջոնսոնն է։</v>
      </c>
    </row>
    <row r="4064">
      <c r="A4064" s="5" t="s">
        <v>7812</v>
      </c>
      <c r="B4064" s="5" t="s">
        <v>7831</v>
      </c>
      <c r="C4064" s="5" t="str">
        <f>IFERROR(__xludf.DUMMYFUNCTION("GOOGLETRANSLATE(A4064,""en"",""hy"")"),"Ո՞րն է Փարիզի ամենաբարձր աշտարակը:")</f>
        <v>Ո՞րն է Փարիզի ամենաբարձր աշտարակը:</v>
      </c>
      <c r="D4064" s="6" t="str">
        <f>IFERROR(__xludf.DUMMYFUNCTION("GOOGLETRANSLATE(B4064,""en"",""hy"")"),"Փարիզի ամենաբարձր աշտարակը Էյֆելյան աշտարակն է։")</f>
        <v>Փարիզի ամենաբարձր աշտարակը Էյֆելյան աշտարակն է։</v>
      </c>
    </row>
    <row r="4065">
      <c r="A4065" s="5" t="s">
        <v>7465</v>
      </c>
      <c r="B4065" s="5" t="s">
        <v>7630</v>
      </c>
      <c r="C4065" s="5" t="str">
        <f>IFERROR(__xludf.DUMMYFUNCTION("GOOGLETRANSLATE(A4065,""en"",""hy"")"),"Ո՞վ է գրել «Հպարտություն և նախապաշարմունք» վեպը:")</f>
        <v>Ո՞վ է գրել «Հպարտություն և նախապաշարմունք» վեպը:</v>
      </c>
      <c r="D4065" s="6" t="str">
        <f>IFERROR(__xludf.DUMMYFUNCTION("GOOGLETRANSLATE(B4065,""en"",""hy"")"),"Ջեյն Օսթին.")</f>
        <v>Ջեյն Օսթին.</v>
      </c>
    </row>
    <row r="4066">
      <c r="A4066" s="5" t="s">
        <v>7686</v>
      </c>
      <c r="B4066" s="5" t="s">
        <v>6980</v>
      </c>
      <c r="C4066" s="5" t="str">
        <f>IFERROR(__xludf.DUMMYFUNCTION("GOOGLETRANSLATE(A4066,""en"",""hy"")"),"Ո՞րն է Գերմանիայի մայրաքաղաքը:")</f>
        <v>Ո՞րն է Գերմանիայի մայրաքաղաքը:</v>
      </c>
      <c r="D4066" s="6" t="str">
        <f>IFERROR(__xludf.DUMMYFUNCTION("GOOGLETRANSLATE(B4066,""en"",""hy"")"),"Բեռլին")</f>
        <v>Բեռլին</v>
      </c>
    </row>
    <row r="4067">
      <c r="A4067" s="5" t="s">
        <v>7815</v>
      </c>
      <c r="B4067" s="5" t="s">
        <v>7816</v>
      </c>
      <c r="C4067" s="5" t="str">
        <f>IFERROR(__xludf.DUMMYFUNCTION("GOOGLETRANSLATE(A4067,""en"",""hy"")"),"Ո՞ր երկիրն է հայտնի որպես «Ժպիտների երկիր»:")</f>
        <v>Ո՞ր երկիրն է հայտնի որպես «Ժպիտների երկիր»:</v>
      </c>
      <c r="D4067" s="6" t="str">
        <f>IFERROR(__xludf.DUMMYFUNCTION("GOOGLETRANSLATE(B4067,""en"",""hy"")"),"Թաիլանդ.")</f>
        <v>Թաիլանդ.</v>
      </c>
    </row>
    <row r="4068">
      <c r="A4068" s="5" t="s">
        <v>7620</v>
      </c>
      <c r="B4068" s="5" t="s">
        <v>7832</v>
      </c>
      <c r="C4068" s="5" t="str">
        <f>IFERROR(__xludf.DUMMYFUNCTION("GOOGLETRANSLATE(A4068,""en"",""hy"")"),"Ո՞վ է նկարել Վեներայի ծնունդը:")</f>
        <v>Ո՞վ է նկարել Վեներայի ծնունդը:</v>
      </c>
      <c r="D4068" s="6" t="str">
        <f>IFERROR(__xludf.DUMMYFUNCTION("GOOGLETRANSLATE(B4068,""en"",""hy"")"),"Սանդրո Բոտիչելի")</f>
        <v>Սանդրո Բոտիչելի</v>
      </c>
    </row>
    <row r="4069">
      <c r="A4069" s="5" t="s">
        <v>7817</v>
      </c>
      <c r="B4069" s="5" t="s">
        <v>7818</v>
      </c>
      <c r="C4069" s="5" t="str">
        <f>IFERROR(__xludf.DUMMYFUNCTION("GOOGLETRANSLATE(A4069,""en"",""hy"")"),"Ո՞րն է Կանադայի ազգային կենդանին:")</f>
        <v>Ո՞րն է Կանադայի ազգային կենդանին:</v>
      </c>
      <c r="D4069" s="6" t="str">
        <f>IFERROR(__xludf.DUMMYFUNCTION("GOOGLETRANSLATE(B4069,""en"",""hy"")"),"Կանադայի ազգային կենդանին կեղևն է:")</f>
        <v>Կանադայի ազգային կենդանին կեղևն է:</v>
      </c>
    </row>
    <row r="4070">
      <c r="A4070" s="5" t="s">
        <v>7819</v>
      </c>
      <c r="B4070" s="5" t="s">
        <v>7633</v>
      </c>
      <c r="C4070" s="5" t="str">
        <f>IFERROR(__xludf.DUMMYFUNCTION("GOOGLETRANSLATE(A4070,""en"",""hy"")"),"Ո՞ր մոլորակն է հայտնի որպես «Հսկա մոլորակ»:")</f>
        <v>Ո՞ր մոլորակն է հայտնի որպես «Հսկա մոլորակ»:</v>
      </c>
      <c r="D4070" s="6" t="str">
        <f>IFERROR(__xludf.DUMMYFUNCTION("GOOGLETRANSLATE(B4070,""en"",""hy"")"),"Յուպիտեր.")</f>
        <v>Յուպիտեր.</v>
      </c>
    </row>
    <row r="4071">
      <c r="A4071" s="5" t="s">
        <v>7820</v>
      </c>
      <c r="B4071" s="5" t="s">
        <v>7556</v>
      </c>
      <c r="C4071" s="5" t="str">
        <f>IFERROR(__xludf.DUMMYFUNCTION("GOOGLETRANSLATE(A4071,""en"",""hy"")"),"Ո՞վ է հորինել հարաբերականության տեսությունը:")</f>
        <v>Ո՞վ է հորինել հարաբերականության տեսությունը:</v>
      </c>
      <c r="D4071" s="6" t="str">
        <f>IFERROR(__xludf.DUMMYFUNCTION("GOOGLETRANSLATE(B4071,""en"",""hy"")"),"Albert Einstein.")</f>
        <v>Albert Einstein.</v>
      </c>
    </row>
    <row r="4072">
      <c r="A4072" s="5" t="s">
        <v>7821</v>
      </c>
      <c r="B4072" s="5" t="s">
        <v>7833</v>
      </c>
      <c r="C4072" s="5" t="str">
        <f>IFERROR(__xludf.DUMMYFUNCTION("GOOGLETRANSLATE(A4072,""en"",""hy"")"),"Ո՞րն է Եվրոպայի ամենաբարձր շենքը:")</f>
        <v>Ո՞րն է Եվրոպայի ամենաբարձր շենքը:</v>
      </c>
      <c r="D4072" s="6" t="str">
        <f>IFERROR(__xludf.DUMMYFUNCTION("GOOGLETRANSLATE(B4072,""en"",""hy"")"),"Եվրոպայի ամենաբարձր շենքը Ռուսաստանի Սանկտ Պետերբուրգի Լախտա կենտրոնն է:")</f>
        <v>Եվրոպայի ամենաբարձր շենքը Ռուսաստանի Սանկտ Պետերբուրգի Լախտա կենտրոնն է:</v>
      </c>
    </row>
    <row r="4073">
      <c r="A4073" s="5" t="s">
        <v>7713</v>
      </c>
      <c r="B4073" s="5" t="s">
        <v>7714</v>
      </c>
      <c r="C4073" s="5" t="str">
        <f>IFERROR(__xludf.DUMMYFUNCTION("GOOGLETRANSLATE(A4073,""en"",""hy"")"),"Ո՞վ է գրել «The Waste Land» բանաստեղծությունը:")</f>
        <v>Ո՞վ է գրել «The Waste Land» բանաստեղծությունը:</v>
      </c>
      <c r="D4073" s="6" t="str">
        <f>IFERROR(__xludf.DUMMYFUNCTION("GOOGLETRANSLATE(B4073,""en"",""hy"")"),"Տ.Ս. Էլիոթ.")</f>
        <v>Տ.Ս. Էլիոթ.</v>
      </c>
    </row>
    <row r="4074">
      <c r="A4074" s="5" t="s">
        <v>7699</v>
      </c>
      <c r="B4074" s="5" t="s">
        <v>7700</v>
      </c>
      <c r="C4074" s="5" t="str">
        <f>IFERROR(__xludf.DUMMYFUNCTION("GOOGLETRANSLATE(A4074,""en"",""hy"")"),"Ո՞րն է ածխածնի քիմիական նշանը:")</f>
        <v>Ո՞րն է ածխածնի քիմիական նշանը:</v>
      </c>
      <c r="D4074" s="6" t="str">
        <f>IFERROR(__xludf.DUMMYFUNCTION("GOOGLETRANSLATE(B4074,""en"",""hy"")"),"Ածխածնի քիմիական նշանը C է:")</f>
        <v>Ածխածնի քիմիական նշանը C է:</v>
      </c>
    </row>
    <row r="4075">
      <c r="A4075" s="5" t="s">
        <v>7506</v>
      </c>
      <c r="B4075" s="5" t="s">
        <v>7507</v>
      </c>
      <c r="C4075" s="5" t="str">
        <f>IFERROR(__xludf.DUMMYFUNCTION("GOOGLETRANSLATE(A4075,""en"",""hy"")"),"Ո՞րն է աշխարհի ամենափոքր երկիրը:")</f>
        <v>Ո՞րն է աշխարհի ամենափոքր երկիրը:</v>
      </c>
      <c r="D4075" s="6" t="str">
        <f>IFERROR(__xludf.DUMMYFUNCTION("GOOGLETRANSLATE(B4075,""en"",""hy"")"),"Քաղաք Վատիկան.")</f>
        <v>Քաղաք Վատիկան.</v>
      </c>
    </row>
    <row r="4076">
      <c r="A4076" s="5" t="s">
        <v>7823</v>
      </c>
      <c r="B4076" s="5" t="s">
        <v>7834</v>
      </c>
      <c r="C4076" s="5" t="str">
        <f>IFERROR(__xludf.DUMMYFUNCTION("GOOGLETRANSLATE(A4076,""en"",""hy"")"),"Ո՞ր երկիրն է հայտնի որպես «կրակի և սառույցի երկիր»:")</f>
        <v>Ո՞ր երկիրն է հայտնի որպես «կրակի և սառույցի երկիր»:</v>
      </c>
      <c r="D4076" s="6" t="str">
        <f>IFERROR(__xludf.DUMMYFUNCTION("GOOGLETRANSLATE(B4076,""en"",""hy"")"),"Իսլանդիա")</f>
        <v>Իսլանդիա</v>
      </c>
    </row>
    <row r="4077">
      <c r="A4077" s="5" t="s">
        <v>7473</v>
      </c>
      <c r="B4077" s="5" t="s">
        <v>7474</v>
      </c>
      <c r="C4077" s="5" t="str">
        <f>IFERROR(__xludf.DUMMYFUNCTION("GOOGLETRANSLATE(A4077,""en"",""hy"")"),"Ո՞վ է նկարել Սիքստինյան կապելլայի առաստաղը:")</f>
        <v>Ո՞վ է նկարել Սիքստինյան կապելլայի առաստաղը:</v>
      </c>
      <c r="D4077" s="6" t="str">
        <f>IFERROR(__xludf.DUMMYFUNCTION("GOOGLETRANSLATE(B4077,""en"",""hy"")"),"Միքելանջելո.")</f>
        <v>Միքելանջելո.</v>
      </c>
    </row>
    <row r="4078">
      <c r="A4078" s="5" t="s">
        <v>7825</v>
      </c>
      <c r="B4078" s="5" t="s">
        <v>7826</v>
      </c>
      <c r="C4078" s="5" t="str">
        <f>IFERROR(__xludf.DUMMYFUNCTION("GOOGLETRANSLATE(A4078,""en"",""hy"")"),"Ո՞րն է մարդու մարմնի ամենամեծ ոսկորը:")</f>
        <v>Ո՞րն է մարդու մարմնի ամենամեծ ոսկորը:</v>
      </c>
      <c r="D4078" s="6" t="str">
        <f>IFERROR(__xludf.DUMMYFUNCTION("GOOGLETRANSLATE(B4078,""en"",""hy"")"),"Ֆեմուրը.")</f>
        <v>Ֆեմուրը.</v>
      </c>
    </row>
    <row r="4079">
      <c r="A4079" s="5" t="s">
        <v>7779</v>
      </c>
      <c r="B4079" s="5" t="s">
        <v>7446</v>
      </c>
      <c r="C4079" s="5" t="str">
        <f>IFERROR(__xludf.DUMMYFUNCTION("GOOGLETRANSLATE(A4079,""en"",""hy"")"),"Ո՞ր մոլորակն է հայտնի որպես «Կարմիր մոլորակ»:")</f>
        <v>Ո՞ր մոլորակն է հայտնի որպես «Կարմիր մոլորակ»:</v>
      </c>
      <c r="D4079" s="6" t="str">
        <f>IFERROR(__xludf.DUMMYFUNCTION("GOOGLETRANSLATE(B4079,""en"",""hy"")"),"Մարս.")</f>
        <v>Մարս.</v>
      </c>
    </row>
    <row r="4080">
      <c r="A4080" s="5" t="s">
        <v>7534</v>
      </c>
      <c r="B4080" s="5" t="s">
        <v>7835</v>
      </c>
      <c r="C4080" s="5" t="str">
        <f>IFERROR(__xludf.DUMMYFUNCTION("GOOGLETRANSLATE(A4080,""en"",""hy"")"),"Ո՞վ է հորինել հեռախոսը:")</f>
        <v>Ո՞վ է հորինել հեռախոսը:</v>
      </c>
      <c r="D4080" s="6" t="str">
        <f>IFERROR(__xludf.DUMMYFUNCTION("GOOGLETRANSLATE(B4080,""en"",""hy"")"),"Ալեքսանդր Գրեհեմ Բելը հորինել է հեռախոսը։")</f>
        <v>Ալեքսանդր Գրեհեմ Բելը հորինել է հեռախոսը։</v>
      </c>
    </row>
    <row r="4081">
      <c r="A4081" s="5" t="s">
        <v>7500</v>
      </c>
      <c r="B4081" s="5" t="s">
        <v>7501</v>
      </c>
      <c r="C4081" s="5" t="str">
        <f>IFERROR(__xludf.DUMMYFUNCTION("GOOGLETRANSLATE(A4081,""en"",""hy"")"),"Ո՞րն է Ֆրանսիայի մայրաքաղաքը:")</f>
        <v>Ո՞րն է Ֆրանսիայի մայրաքաղաքը:</v>
      </c>
      <c r="D4081" s="6" t="str">
        <f>IFERROR(__xludf.DUMMYFUNCTION("GOOGLETRANSLATE(B4081,""en"",""hy"")"),"Փարիզ.")</f>
        <v>Փարիզ.</v>
      </c>
    </row>
    <row r="4082">
      <c r="A4082" s="5" t="s">
        <v>7452</v>
      </c>
      <c r="B4082" s="5" t="s">
        <v>7453</v>
      </c>
      <c r="C4082" s="5" t="str">
        <f>IFERROR(__xludf.DUMMYFUNCTION("GOOGLETRANSLATE(A4082,""en"",""hy"")"),"Ո՞րն է ոսկու քիմիական նշանը:")</f>
        <v>Ո՞րն է ոսկու քիմիական նշանը:</v>
      </c>
      <c r="D4082" s="6" t="str">
        <f>IFERROR(__xludf.DUMMYFUNCTION("GOOGLETRANSLATE(B4082,""en"",""hy"")"),"Ոսկու քիմիական նշանը Au-ն է:")</f>
        <v>Ոսկու քիմիական նշանը Au-ն է:</v>
      </c>
    </row>
    <row r="4083">
      <c r="A4083" s="5" t="s">
        <v>7447</v>
      </c>
      <c r="B4083" s="5" t="s">
        <v>7448</v>
      </c>
      <c r="C4083" s="5" t="str">
        <f>IFERROR(__xludf.DUMMYFUNCTION("GOOGLETRANSLATE(A4083,""en"",""hy"")"),"Ո՞վ է նկարել Մոնա Լիզան:")</f>
        <v>Ո՞վ է նկարել Մոնա Լիզան:</v>
      </c>
      <c r="D4083" s="6" t="str">
        <f>IFERROR(__xludf.DUMMYFUNCTION("GOOGLETRANSLATE(B4083,""en"",""hy"")"),"Լեոնարդո դա Վինչի.")</f>
        <v>Լեոնարդո դա Վինչի.</v>
      </c>
    </row>
    <row r="4084">
      <c r="A4084" s="5" t="s">
        <v>7632</v>
      </c>
      <c r="B4084" s="5" t="s">
        <v>7633</v>
      </c>
      <c r="C4084" s="5" t="str">
        <f>IFERROR(__xludf.DUMMYFUNCTION("GOOGLETRANSLATE(A4084,""en"",""hy"")"),"Ո՞րն է մեր արեգակնային համակարգի ամենամեծ մոլորակը:")</f>
        <v>Ո՞րն է մեր արեգակնային համակարգի ամենամեծ մոլորակը:</v>
      </c>
      <c r="D4084" s="6" t="str">
        <f>IFERROR(__xludf.DUMMYFUNCTION("GOOGLETRANSLATE(B4084,""en"",""hy"")"),"Յուպիտեր.")</f>
        <v>Յուպիտեր.</v>
      </c>
    </row>
    <row r="4085">
      <c r="A4085" s="5" t="s">
        <v>7698</v>
      </c>
      <c r="B4085" s="5" t="s">
        <v>7630</v>
      </c>
      <c r="C4085" s="5" t="str">
        <f>IFERROR(__xludf.DUMMYFUNCTION("GOOGLETRANSLATE(A4085,""en"",""hy"")"),"Ո՞վ է գրել «Հպարտություն և նախապաշարմունք» վեպը:")</f>
        <v>Ո՞վ է գրել «Հպարտություն և նախապաշարմունք» վեպը:</v>
      </c>
      <c r="D4085" s="6" t="str">
        <f>IFERROR(__xludf.DUMMYFUNCTION("GOOGLETRANSLATE(B4085,""en"",""hy"")"),"Ջեյն Օսթին.")</f>
        <v>Ջեյն Օսթին.</v>
      </c>
    </row>
    <row r="4086">
      <c r="A4086" s="5" t="s">
        <v>7836</v>
      </c>
      <c r="B4086" s="5" t="s">
        <v>7837</v>
      </c>
      <c r="C4086" s="5" t="str">
        <f>IFERROR(__xludf.DUMMYFUNCTION("GOOGLETRANSLATE(A4086,""en"",""hy"")"),"Ո՞ր տարում սկսվեց Առաջին համաշխարհային պատերազմը:")</f>
        <v>Ո՞ր տարում սկսվեց Առաջին համաշխարհային պատերազմը:</v>
      </c>
      <c r="D4086" s="6" t="str">
        <f>IFERROR(__xludf.DUMMYFUNCTION("GOOGLETRANSLATE(B4086,""en"",""hy"")"),"Առաջին համաշխարհային պատերազմը սկսվել է 1914 թ.")</f>
        <v>Առաջին համաշխարհային պատերազմը սկսվել է 1914 թ.</v>
      </c>
    </row>
    <row r="4087">
      <c r="A4087" s="5" t="s">
        <v>7463</v>
      </c>
      <c r="B4087" s="5" t="s">
        <v>7464</v>
      </c>
      <c r="C4087" s="5" t="str">
        <f>IFERROR(__xludf.DUMMYFUNCTION("GOOGLETRANSLATE(A4087,""en"",""hy"")"),"Ո՞րն է աշխարհի ամենաբարձր լեռը:")</f>
        <v>Ո՞րն է աշխարհի ամենաբարձր լեռը:</v>
      </c>
      <c r="D4087" s="6" t="str">
        <f>IFERROR(__xludf.DUMMYFUNCTION("GOOGLETRANSLATE(B4087,""en"",""hy"")"),"Էվերեստ լեռ.")</f>
        <v>Էվերեստ լեռ.</v>
      </c>
    </row>
    <row r="4088">
      <c r="A4088" s="5" t="s">
        <v>7763</v>
      </c>
      <c r="B4088" s="5" t="s">
        <v>7505</v>
      </c>
      <c r="C4088" s="5" t="str">
        <f>IFERROR(__xludf.DUMMYFUNCTION("GOOGLETRANSLATE(A4088,""en"",""hy"")"),"Ո՞վ է Միացյալ Նահանգների ներկայիս նախագահը.")</f>
        <v>Ո՞վ է Միացյալ Նահանգների ներկայիս նախագահը.</v>
      </c>
      <c r="D4088" s="6" t="str">
        <f>IFERROR(__xludf.DUMMYFUNCTION("GOOGLETRANSLATE(B4088,""en"",""hy"")"),"Ջո Բայդեն.")</f>
        <v>Ջո Բայդեն.</v>
      </c>
    </row>
    <row r="4089">
      <c r="A4089" s="5" t="s">
        <v>7483</v>
      </c>
      <c r="B4089" s="5" t="s">
        <v>7641</v>
      </c>
      <c r="C4089" s="5" t="str">
        <f>IFERROR(__xludf.DUMMYFUNCTION("GOOGLETRANSLATE(A4089,""en"",""hy"")"),"Ո՞րն է ջրի քիմիական բանաձևը:")</f>
        <v>Ո՞րն է ջրի քիմիական բանաձևը:</v>
      </c>
      <c r="D4089" s="6" t="str">
        <f>IFERROR(__xludf.DUMMYFUNCTION("GOOGLETRANSLATE(B4089,""en"",""hy"")"),"Ջրի քիմիական բանաձևը H2O է:")</f>
        <v>Ջրի քիմիական բանաձևը H2O է:</v>
      </c>
    </row>
    <row r="4090">
      <c r="A4090" s="5" t="s">
        <v>7455</v>
      </c>
      <c r="B4090" s="5" t="s">
        <v>7646</v>
      </c>
      <c r="C4090" s="5" t="str">
        <f>IFERROR(__xludf.DUMMYFUNCTION("GOOGLETRANSLATE(A4090,""en"",""hy"")"),"Ո՞րն է աշխարհի ամենամեծ օվկիանոսը:")</f>
        <v>Ո՞րն է աշխարհի ամենամեծ օվկիանոսը:</v>
      </c>
      <c r="D4090" s="6" t="str">
        <f>IFERROR(__xludf.DUMMYFUNCTION("GOOGLETRANSLATE(B4090,""en"",""hy"")"),"Խաղաղ օվկիանոս.")</f>
        <v>Խաղաղ օվկիանոս.</v>
      </c>
    </row>
    <row r="4091">
      <c r="A4091" s="5" t="s">
        <v>7674</v>
      </c>
      <c r="B4091" s="5" t="s">
        <v>7675</v>
      </c>
      <c r="C4091" s="5" t="str">
        <f>IFERROR(__xludf.DUMMYFUNCTION("GOOGLETRANSLATE(A4091,""en"",""hy"")"),"Ո՞վ է հունական ծովի աստվածը:")</f>
        <v>Ո՞վ է հունական ծովի աստվածը:</v>
      </c>
      <c r="D4091" s="6" t="str">
        <f>IFERROR(__xludf.DUMMYFUNCTION("GOOGLETRANSLATE(B4091,""en"",""hy"")"),"Պոսեյդոն.")</f>
        <v>Պոսեյդոն.</v>
      </c>
    </row>
    <row r="4092">
      <c r="A4092" s="5" t="s">
        <v>7450</v>
      </c>
      <c r="B4092" s="5" t="s">
        <v>7451</v>
      </c>
      <c r="C4092" s="5" t="str">
        <f>IFERROR(__xludf.DUMMYFUNCTION("GOOGLETRANSLATE(A4092,""en"",""hy"")"),"Ո՞րն է Ավստրալիայի մայրաքաղաքը:")</f>
        <v>Ո՞րն է Ավստրալիայի մայրաքաղաքը:</v>
      </c>
      <c r="D4092" s="6" t="str">
        <f>IFERROR(__xludf.DUMMYFUNCTION("GOOGLETRANSLATE(B4092,""en"",""hy"")"),"Կանբերա.")</f>
        <v>Կանբերա.</v>
      </c>
    </row>
    <row r="4093">
      <c r="A4093" s="5" t="s">
        <v>7461</v>
      </c>
      <c r="B4093" s="5" t="s">
        <v>7639</v>
      </c>
      <c r="C4093" s="5" t="str">
        <f>IFERROR(__xludf.DUMMYFUNCTION("GOOGLETRANSLATE(A4093,""en"",""hy"")"),"Ո՞րն է մարդու մարմնի ամենամեծ օրգանը:")</f>
        <v>Ո՞րն է մարդու մարմնի ամենամեծ օրգանը:</v>
      </c>
      <c r="D4093" s="6" t="str">
        <f>IFERROR(__xludf.DUMMYFUNCTION("GOOGLETRANSLATE(B4093,""en"",""hy"")"),"Մարդու մարմնի ամենամեծ օրգանը մաշկն է։")</f>
        <v>Մարդու մարմնի ամենամեծ օրգանը մաշկն է։</v>
      </c>
    </row>
    <row r="4094">
      <c r="A4094" s="5" t="s">
        <v>7838</v>
      </c>
      <c r="B4094" s="5" t="s">
        <v>7648</v>
      </c>
      <c r="C4094" s="5" t="str">
        <f>IFERROR(__xludf.DUMMYFUNCTION("GOOGLETRANSLATE(A4094,""en"",""hy"")"),"Ո՞վ է նկարել «Աստղային գիշերը»:")</f>
        <v>Ո՞վ է նկարել «Աստղային գիշերը»:</v>
      </c>
      <c r="D4094" s="6" t="str">
        <f>IFERROR(__xludf.DUMMYFUNCTION("GOOGLETRANSLATE(B4094,""en"",""hy"")"),"Վինսենթ վան Գոգ.")</f>
        <v>Վինսենթ վան Գոգ.</v>
      </c>
    </row>
    <row r="4095">
      <c r="A4095" s="5" t="s">
        <v>7506</v>
      </c>
      <c r="B4095" s="5" t="s">
        <v>7507</v>
      </c>
      <c r="C4095" s="5" t="str">
        <f>IFERROR(__xludf.DUMMYFUNCTION("GOOGLETRANSLATE(A4095,""en"",""hy"")"),"Ո՞րն է աշխարհի ամենափոքր երկիրը:")</f>
        <v>Ո՞րն է աշխարհի ամենափոքր երկիրը:</v>
      </c>
      <c r="D4095" s="6" t="str">
        <f>IFERROR(__xludf.DUMMYFUNCTION("GOOGLETRANSLATE(B4095,""en"",""hy"")"),"Քաղաք Վատիկան.")</f>
        <v>Քաղաք Վատիկան.</v>
      </c>
    </row>
    <row r="4096">
      <c r="A4096" s="5" t="s">
        <v>7640</v>
      </c>
      <c r="B4096" s="5" t="s">
        <v>1016</v>
      </c>
      <c r="C4096" s="5" t="str">
        <f>IFERROR(__xludf.DUMMYFUNCTION("GOOGLETRANSLATE(A4096,""en"",""hy"")"),"Ո՞վ է գրել «Ռոմեո և Ջուլիետ» պիեսը:")</f>
        <v>Ո՞վ է գրել «Ռոմեո և Ջուլիետ» պիեսը:</v>
      </c>
      <c r="D4096" s="6" t="str">
        <f>IFERROR(__xludf.DUMMYFUNCTION("GOOGLETRANSLATE(B4096,""en"",""hy"")"),"Ուիլյամ Շեքսպիր.")</f>
        <v>Ուիլյամ Շեքսպիր.</v>
      </c>
    </row>
    <row r="4097">
      <c r="A4097" s="5" t="s">
        <v>7839</v>
      </c>
      <c r="B4097" s="5" t="s">
        <v>7753</v>
      </c>
      <c r="C4097" s="5" t="str">
        <f>IFERROR(__xludf.DUMMYFUNCTION("GOOGLETRANSLATE(A4097,""en"",""hy"")"),"Ո՞րն է Ճապոնիայի մայրաքաղաքը:")</f>
        <v>Ո՞րն է Ճապոնիայի մայրաքաղաքը:</v>
      </c>
      <c r="D4097" s="6" t="str">
        <f>IFERROR(__xludf.DUMMYFUNCTION("GOOGLETRANSLATE(B4097,""en"",""hy"")"),"Տոկիո.")</f>
        <v>Տոկիո.</v>
      </c>
    </row>
    <row r="4098">
      <c r="A4098" s="5" t="s">
        <v>7509</v>
      </c>
      <c r="B4098" s="5" t="s">
        <v>7510</v>
      </c>
      <c r="C4098" s="5" t="str">
        <f>IFERROR(__xludf.DUMMYFUNCTION("GOOGLETRANSLATE(A4098,""en"",""hy"")"),"Ո՞րն է արծաթի քիմիական նշանը:")</f>
        <v>Ո՞րն է արծաթի քիմիական նշանը:</v>
      </c>
      <c r="D4098" s="6" t="str">
        <f>IFERROR(__xludf.DUMMYFUNCTION("GOOGLETRANSLATE(B4098,""en"",""hy"")"),"Ագ")</f>
        <v>Ագ</v>
      </c>
    </row>
    <row r="4099">
      <c r="A4099" s="5" t="s">
        <v>7769</v>
      </c>
      <c r="B4099" s="5" t="s">
        <v>7486</v>
      </c>
      <c r="C4099" s="5" t="str">
        <f>IFERROR(__xludf.DUMMYFUNCTION("GOOGLETRANSLATE(A4099,""en"",""hy"")"),"Ո՞վ է Հարրի Փոթերի գրքերի շարքի հեղինակը:")</f>
        <v>Ո՞վ է Հարրի Փոթերի գրքերի շարքի հեղինակը:</v>
      </c>
      <c r="D4099" s="6" t="str">
        <f>IFERROR(__xludf.DUMMYFUNCTION("GOOGLETRANSLATE(B4099,""en"",""hy"")"),"Ջ.Կ. Ռոուլինգ.")</f>
        <v>Ջ.Կ. Ռոուլինգ.</v>
      </c>
    </row>
    <row r="4100">
      <c r="A4100" s="5" t="s">
        <v>7840</v>
      </c>
      <c r="B4100" s="5" t="s">
        <v>7841</v>
      </c>
      <c r="C4100" s="5" t="str">
        <f>IFERROR(__xludf.DUMMYFUNCTION("GOOGLETRANSLATE(A4100,""en"",""hy"")"),"Ինչի՞ է մոտավորապես հավասար π (pi) մաթեմատիկական հաստատունը:")</f>
        <v>Ինչի՞ է մոտավորապես հավասար π (pi) մաթեմատիկական հաստատունը:</v>
      </c>
      <c r="D4100" s="6" t="str">
        <f>IFERROR(__xludf.DUMMYFUNCTION("GOOGLETRANSLATE(B4100,""en"",""hy"")"),"π (pi) մոտավորապես հավասար է 3,14159-ի:")</f>
        <v>π (pi) մոտավորապես հավասար է 3,14159-ի:</v>
      </c>
    </row>
    <row r="4101">
      <c r="A4101" s="5" t="s">
        <v>7842</v>
      </c>
      <c r="B4101" s="5" t="s">
        <v>7843</v>
      </c>
      <c r="C4101" s="5" t="str">
        <f>IFERROR(__xludf.DUMMYFUNCTION("GOOGLETRANSLATE(A4101,""en"",""hy"")"),"Ո՞րն է աշխարհի ամենաերկար գետը:")</f>
        <v>Ո՞րն է աշխարհի ամենաերկար գետը:</v>
      </c>
      <c r="D4101" s="6" t="str">
        <f>IFERROR(__xludf.DUMMYFUNCTION("GOOGLETRANSLATE(B4101,""en"",""hy"")"),"Աշխարհի ամենաերկար գետը Նեղոս գետն է։")</f>
        <v>Աշխարհի ամենաերկար գետը Նեղոս գետն է։</v>
      </c>
    </row>
    <row r="4102">
      <c r="A4102" s="5" t="s">
        <v>7844</v>
      </c>
      <c r="B4102" s="5" t="s">
        <v>7635</v>
      </c>
      <c r="C4102" s="5" t="str">
        <f>IFERROR(__xludf.DUMMYFUNCTION("GOOGLETRANSLATE(A4102,""en"",""hy"")"),"Ո՞վ էր առաջին մարդը, ով ոտք դրեց լուսնի վրա:")</f>
        <v>Ո՞վ էր առաջին մարդը, ով ոտք դրեց լուսնի վրա:</v>
      </c>
      <c r="D4102" s="6" t="str">
        <f>IFERROR(__xludf.DUMMYFUNCTION("GOOGLETRANSLATE(B4102,""en"",""hy"")"),"Նիլ Արմսթրոնգ.")</f>
        <v>Նիլ Արմսթրոնգ.</v>
      </c>
    </row>
    <row r="4103">
      <c r="A4103" s="5" t="s">
        <v>7845</v>
      </c>
      <c r="B4103" s="5" t="s">
        <v>3533</v>
      </c>
      <c r="C4103" s="5" t="str">
        <f>IFERROR(__xludf.DUMMYFUNCTION("GOOGLETRANSLATE(A4103,""en"",""hy"")"),"Ո՞րն է Բրազիլիայի պաշտոնական լեզուն:")</f>
        <v>Ո՞րն է Բրազիլիայի պաշտոնական լեզուն:</v>
      </c>
      <c r="D4103" s="6" t="str">
        <f>IFERROR(__xludf.DUMMYFUNCTION("GOOGLETRANSLATE(B4103,""en"",""hy"")"),"Բրազիլիայի պաշտոնական լեզուն պորտուգալերենն է։")</f>
        <v>Բրազիլիայի պաշտոնական լեզուն պորտուգալերենն է։</v>
      </c>
    </row>
    <row r="4104">
      <c r="A4104" s="5" t="s">
        <v>7473</v>
      </c>
      <c r="B4104" s="5" t="s">
        <v>7474</v>
      </c>
      <c r="C4104" s="5" t="str">
        <f>IFERROR(__xludf.DUMMYFUNCTION("GOOGLETRANSLATE(A4104,""en"",""hy"")"),"Ո՞վ է նկարել Սիքստինյան կապելլայի առաստաղը:")</f>
        <v>Ո՞վ է նկարել Սիքստինյան կապելլայի առաստաղը:</v>
      </c>
      <c r="D4104" s="6" t="str">
        <f>IFERROR(__xludf.DUMMYFUNCTION("GOOGLETRANSLATE(B4104,""en"",""hy"")"),"Միքելանջելո.")</f>
        <v>Միքելանջելո.</v>
      </c>
    </row>
    <row r="4105">
      <c r="A4105" s="5" t="s">
        <v>7846</v>
      </c>
      <c r="B4105" s="7">
        <v>1945.0</v>
      </c>
      <c r="C4105" s="5" t="str">
        <f>IFERROR(__xludf.DUMMYFUNCTION("GOOGLETRANSLATE(A4105,""en"",""hy"")"),"Ո՞ր տարում ավարտվեց Երկրորդ համաշխարհային պատերազմը:")</f>
        <v>Ո՞ր տարում ավարտվեց Երկրորդ համաշխարհային պատերազմը:</v>
      </c>
      <c r="D4105" s="6" t="str">
        <f>IFERROR(__xludf.DUMMYFUNCTION("GOOGLETRANSLATE(B4105,""en"",""hy"")"),"1945 թ")</f>
        <v>1945 թ</v>
      </c>
    </row>
    <row r="4106">
      <c r="A4106" s="5" t="s">
        <v>7513</v>
      </c>
      <c r="B4106" s="5" t="s">
        <v>7783</v>
      </c>
      <c r="C4106" s="5" t="str">
        <f>IFERROR(__xludf.DUMMYFUNCTION("GOOGLETRANSLATE(A4106,""en"",""hy"")"),"Ո՞րն է աշխարհի ամենամեծ անապատը:")</f>
        <v>Ո՞րն է աշխարհի ամենամեծ անապատը:</v>
      </c>
      <c r="D4106" s="6" t="str">
        <f>IFERROR(__xludf.DUMMYFUNCTION("GOOGLETRANSLATE(B4106,""en"",""hy"")"),"Սահարա անապատ.")</f>
        <v>Սահարա անապատ.</v>
      </c>
    </row>
    <row r="4107">
      <c r="A4107" s="5" t="s">
        <v>7479</v>
      </c>
      <c r="B4107" s="5" t="s">
        <v>1996</v>
      </c>
      <c r="C4107" s="5" t="str">
        <f>IFERROR(__xludf.DUMMYFUNCTION("GOOGLETRANSLATE(A4107,""en"",""hy"")"),"Ո՞վ է Միացյալ Թագավորության ներկայիս վարչապետը:")</f>
        <v>Ո՞վ է Միացյալ Թագավորության ներկայիս վարչապետը:</v>
      </c>
      <c r="D4107" s="6" t="str">
        <f>IFERROR(__xludf.DUMMYFUNCTION("GOOGLETRANSLATE(B4107,""en"",""hy"")"),"Բորիս Ջոնսոն.")</f>
        <v>Բորիս Ջոնսոն.</v>
      </c>
    </row>
    <row r="4108">
      <c r="A4108" s="5" t="s">
        <v>7532</v>
      </c>
      <c r="B4108" s="5" t="s">
        <v>7533</v>
      </c>
      <c r="C4108" s="5" t="str">
        <f>IFERROR(__xludf.DUMMYFUNCTION("GOOGLETRANSLATE(A4108,""en"",""hy"")"),"Ո՞րն է սննդի աղի քիմիական բանաձևը:")</f>
        <v>Ո՞րն է սննդի աղի քիմիական բանաձևը:</v>
      </c>
      <c r="D4108" s="6" t="str">
        <f>IFERROR(__xludf.DUMMYFUNCTION("GOOGLETRANSLATE(B4108,""en"",""hy"")"),"Սեղանի աղի քիմիական բանաձևը NaCl է:")</f>
        <v>Սեղանի աղի քիմիական բանաձևը NaCl է:</v>
      </c>
    </row>
    <row r="4109">
      <c r="A4109" s="5" t="s">
        <v>7847</v>
      </c>
      <c r="B4109" s="5" t="s">
        <v>7848</v>
      </c>
      <c r="C4109" s="5" t="str">
        <f>IFERROR(__xludf.DUMMYFUNCTION("GOOGLETRANSLATE(A4109,""en"",""hy"")"),"Ո՞րն է մարդու մարմնի ամենամեծ օրգանը:")</f>
        <v>Ո՞րն է մարդու մարմնի ամենամեծ օրգանը:</v>
      </c>
      <c r="D4109" s="6" t="str">
        <f>IFERROR(__xludf.DUMMYFUNCTION("GOOGLETRANSLATE(B4109,""en"",""hy"")"),"Մարդու մարմնի ամենամեծ օրգանը մաշկն է։")</f>
        <v>Մարդու մարմնի ամենամեծ օրգանը մաշկն է։</v>
      </c>
    </row>
    <row r="4110">
      <c r="A4110" s="5" t="s">
        <v>7849</v>
      </c>
      <c r="B4110" s="5" t="s">
        <v>7541</v>
      </c>
      <c r="C4110" s="5" t="str">
        <f>IFERROR(__xludf.DUMMYFUNCTION("GOOGLETRANSLATE(A4110,""en"",""hy"")"),"Ո՞վ է գրել «Սպանել ծաղրող թռչունին» վեպը:")</f>
        <v>Ո՞վ է գրել «Սպանել ծաղրող թռչունին» վեպը:</v>
      </c>
      <c r="D4110" s="6" t="str">
        <f>IFERROR(__xludf.DUMMYFUNCTION("GOOGLETRANSLATE(B4110,""en"",""hy"")"),"Հարփեր Լի.")</f>
        <v>Հարփեր Լի.</v>
      </c>
    </row>
    <row r="4111">
      <c r="A4111" s="5" t="s">
        <v>7780</v>
      </c>
      <c r="B4111" s="5" t="s">
        <v>2951</v>
      </c>
      <c r="C4111" s="5" t="str">
        <f>IFERROR(__xludf.DUMMYFUNCTION("GOOGLETRANSLATE(A4111,""en"",""hy"")"),"Ո՞րն է Կանադայի մայրաքաղաքը:")</f>
        <v>Ո՞րն է Կանադայի մայրաքաղաքը:</v>
      </c>
      <c r="D4111" s="6" t="str">
        <f>IFERROR(__xludf.DUMMYFUNCTION("GOOGLETRANSLATE(B4111,""en"",""hy"")"),"Օտտավա.")</f>
        <v>Օտտավա.</v>
      </c>
    </row>
    <row r="4112">
      <c r="A4112" s="5" t="s">
        <v>7850</v>
      </c>
      <c r="B4112" s="5" t="s">
        <v>7851</v>
      </c>
      <c r="C4112" s="5" t="str">
        <f>IFERROR(__xludf.DUMMYFUNCTION("GOOGLETRANSLATE(A4112,""en"",""hy"")"),"Ո՞րն է մեր արեգակնային համակարգի ամենափոքր մոլորակը:")</f>
        <v>Ո՞րն է մեր արեգակնային համակարգի ամենափոքր մոլորակը:</v>
      </c>
      <c r="D4112" s="6" t="str">
        <f>IFERROR(__xludf.DUMMYFUNCTION("GOOGLETRANSLATE(B4112,""en"",""hy"")"),"Մեր Արեգակնային համակարգի ամենափոքր մոլորակը Մերկուրին է:")</f>
        <v>Մեր Արեգակնային համակարգի ամենափոքր մոլորակը Մերկուրին է:</v>
      </c>
    </row>
    <row r="4113">
      <c r="A4113" s="5" t="s">
        <v>7852</v>
      </c>
      <c r="B4113" s="5" t="s">
        <v>7853</v>
      </c>
      <c r="C4113" s="5" t="str">
        <f>IFERROR(__xludf.DUMMYFUNCTION("GOOGLETRANSLATE(A4113,""en"",""hy"")"),"Ո՞վ է ներկայիս Անգլիայի թագուհին:")</f>
        <v>Ո՞վ է ներկայիս Անգլիայի թագուհին:</v>
      </c>
      <c r="D4113" s="6" t="str">
        <f>IFERROR(__xludf.DUMMYFUNCTION("GOOGLETRANSLATE(B4113,""en"",""hy"")"),"Եղիսաբեթ II թագուհին.")</f>
        <v>Եղիսաբեթ II թագուհին.</v>
      </c>
    </row>
    <row r="4114">
      <c r="A4114" s="5" t="s">
        <v>7592</v>
      </c>
      <c r="B4114" s="5" t="s">
        <v>7593</v>
      </c>
      <c r="C4114" s="5" t="str">
        <f>IFERROR(__xludf.DUMMYFUNCTION("GOOGLETRANSLATE(A4114,""en"",""hy"")"),"Ո՞րն է թթվածնի քիմիական նշանը:")</f>
        <v>Ո՞րն է թթվածնի քիմիական նշանը:</v>
      </c>
      <c r="D4114" s="6" t="str">
        <f>IFERROR(__xludf.DUMMYFUNCTION("GOOGLETRANSLATE(B4114,""en"",""hy"")"),"Թթվածնի քիմիական նշանը O է:")</f>
        <v>Թթվածնի քիմիական նշանը O է:</v>
      </c>
    </row>
    <row r="4115">
      <c r="A4115" s="5" t="s">
        <v>7489</v>
      </c>
      <c r="B4115" s="5" t="s">
        <v>7490</v>
      </c>
      <c r="C4115" s="5" t="str">
        <f>IFERROR(__xludf.DUMMYFUNCTION("GOOGLETRANSLATE(A4115,""en"",""hy"")"),"Ո՞րն է աշխարհի ամենաբարձր շենքը:")</f>
        <v>Ո՞րն է աշխարհի ամենաբարձր շենքը:</v>
      </c>
      <c r="D4115" s="6" t="str">
        <f>IFERROR(__xludf.DUMMYFUNCTION("GOOGLETRANSLATE(B4115,""en"",""hy"")"),"Աշխարհի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4116">
      <c r="A4116" s="5" t="s">
        <v>7854</v>
      </c>
      <c r="B4116" s="5" t="s">
        <v>7458</v>
      </c>
      <c r="C4116" s="5" t="str">
        <f>IFERROR(__xludf.DUMMYFUNCTION("GOOGLETRANSLATE(A4116,""en"",""hy"")"),"Ո՞վ էր Միացյալ Նահանգների առաջին նախագահը:")</f>
        <v>Ո՞վ էր Միացյալ Նահանգների առաջին նախագահը:</v>
      </c>
      <c r="D4116" s="6" t="str">
        <f>IFERROR(__xludf.DUMMYFUNCTION("GOOGLETRANSLATE(B4116,""en"",""hy"")"),"Ջորջ Վաշինգտոն.")</f>
        <v>Ջորջ Վաշինգտոն.</v>
      </c>
    </row>
    <row r="4117">
      <c r="A4117" s="5" t="s">
        <v>7574</v>
      </c>
      <c r="B4117" s="5" t="s">
        <v>7525</v>
      </c>
      <c r="C4117" s="5" t="str">
        <f>IFERROR(__xludf.DUMMYFUNCTION("GOOGLETRANSLATE(A4117,""en"",""hy"")"),"Ո՞րն է Չինաստանի մայրաքաղաքը:")</f>
        <v>Ո՞րն է Չինաստանի մայրաքաղաքը:</v>
      </c>
      <c r="D4117" s="6" t="str">
        <f>IFERROR(__xludf.DUMMYFUNCTION("GOOGLETRANSLATE(B4117,""en"",""hy"")"),"Պեկին.")</f>
        <v>Պեկին.</v>
      </c>
    </row>
    <row r="4118">
      <c r="A4118" s="5" t="s">
        <v>7604</v>
      </c>
      <c r="B4118" s="5" t="s">
        <v>7855</v>
      </c>
      <c r="C4118" s="5" t="str">
        <f>IFERROR(__xludf.DUMMYFUNCTION("GOOGLETRANSLATE(A4118,""en"",""hy"")"),"Ո՞րն է ածխաթթու գազի քիմիական բանաձևը:")</f>
        <v>Ո՞րն է ածխաթթու գազի քիմիական բանաձևը:</v>
      </c>
      <c r="D4118" s="6" t="str">
        <f>IFERROR(__xludf.DUMMYFUNCTION("GOOGLETRANSLATE(B4118,""en"",""hy"")"),"Ածխածնի երկօքսիդի քիմիական բանաձևը CO2 է:")</f>
        <v>Ածխածնի երկօքսիդի քիմիական բանաձևը CO2 է:</v>
      </c>
    </row>
    <row r="4119">
      <c r="A4119" s="5" t="s">
        <v>7683</v>
      </c>
      <c r="B4119" s="5" t="s">
        <v>1016</v>
      </c>
      <c r="C4119" s="5" t="str">
        <f>IFERROR(__xludf.DUMMYFUNCTION("GOOGLETRANSLATE(A4119,""en"",""hy"")"),"Ո՞վ է գրել «Համլետ» պիեսը։")</f>
        <v>Ո՞վ է գրել «Համլետ» պիեսը։</v>
      </c>
      <c r="D4119" s="6" t="str">
        <f>IFERROR(__xludf.DUMMYFUNCTION("GOOGLETRANSLATE(B4119,""en"",""hy"")"),"Ուիլյամ Շեքսպիր.")</f>
        <v>Ուիլյամ Շեքսպիր.</v>
      </c>
    </row>
    <row r="4120">
      <c r="A4120" s="5" t="s">
        <v>7856</v>
      </c>
      <c r="B4120" s="5" t="s">
        <v>7472</v>
      </c>
      <c r="C4120" s="5" t="str">
        <f>IFERROR(__xludf.DUMMYFUNCTION("GOOGLETRANSLATE(A4120,""en"",""hy"")"),"Ո՞րն է աշխարհի ամենամեծ կենդանին:")</f>
        <v>Ո՞րն է աշխարհի ամենամեծ կենդանին:</v>
      </c>
      <c r="D4120" s="6" t="str">
        <f>IFERROR(__xludf.DUMMYFUNCTION("GOOGLETRANSLATE(B4120,""en"",""hy"")"),"Կապույտ կետը.")</f>
        <v>Կապույտ կետը.</v>
      </c>
    </row>
    <row r="4121">
      <c r="A4121" s="5" t="s">
        <v>7528</v>
      </c>
      <c r="B4121" s="5" t="s">
        <v>7529</v>
      </c>
      <c r="C4121" s="5" t="str">
        <f>IFERROR(__xludf.DUMMYFUNCTION("GOOGLETRANSLATE(A4121,""en"",""hy"")"),"Ո՞վ է Գերմանիայի ներկայիս կանցլերը:")</f>
        <v>Ո՞վ է Գերմանիայի ներկայիս կանցլերը:</v>
      </c>
      <c r="D4121" s="6" t="str">
        <f>IFERROR(__xludf.DUMMYFUNCTION("GOOGLETRANSLATE(B4121,""en"",""hy"")"),"Անգելա Մերկել.")</f>
        <v>Անգելա Մերկել.</v>
      </c>
    </row>
    <row r="4122">
      <c r="A4122" s="5" t="s">
        <v>7557</v>
      </c>
      <c r="B4122" s="5" t="s">
        <v>7857</v>
      </c>
      <c r="C4122" s="5" t="str">
        <f>IFERROR(__xludf.DUMMYFUNCTION("GOOGLETRANSLATE(A4122,""en"",""hy"")"),"Ո՞րն է երկաթի քիմիական նշանը:")</f>
        <v>Ո՞րն է երկաթի քիմիական նշանը:</v>
      </c>
      <c r="D4122" s="6" t="str">
        <f>IFERROR(__xludf.DUMMYFUNCTION("GOOGLETRANSLATE(B4122,""en"",""hy"")"),"Երկաթի քիմիական նշանը Fe է:")</f>
        <v>Երկաթի քիմիական նշանը Fe է:</v>
      </c>
    </row>
    <row r="4123">
      <c r="A4123" s="5" t="s">
        <v>7858</v>
      </c>
      <c r="B4123" s="5" t="s">
        <v>7448</v>
      </c>
      <c r="C4123" s="5" t="str">
        <f>IFERROR(__xludf.DUMMYFUNCTION("GOOGLETRANSLATE(A4123,""en"",""hy"")"),"Ո՞վ է նկարել «Մոնա Լիզան»:")</f>
        <v>Ո՞վ է նկարել «Մոնա Լիզան»:</v>
      </c>
      <c r="D4123" s="6" t="str">
        <f>IFERROR(__xludf.DUMMYFUNCTION("GOOGLETRANSLATE(B4123,""en"",""hy"")"),"Լեոնարդո դա Վինչի.")</f>
        <v>Լեոնարդո դա Վինչի.</v>
      </c>
    </row>
    <row r="4124">
      <c r="A4124" s="5" t="s">
        <v>7589</v>
      </c>
      <c r="B4124" s="5" t="s">
        <v>7545</v>
      </c>
      <c r="C4124" s="5" t="str">
        <f>IFERROR(__xludf.DUMMYFUNCTION("GOOGLETRANSLATE(A4124,""en"",""hy"")"),"Ո՞րն է Իտալիայի մայրաքաղաքը:")</f>
        <v>Ո՞րն է Իտալիայի մայրաքաղաքը:</v>
      </c>
      <c r="D4124" s="6" t="str">
        <f>IFERROR(__xludf.DUMMYFUNCTION("GOOGLETRANSLATE(B4124,""en"",""hy"")"),"Հռոմ.")</f>
        <v>Հռոմ.</v>
      </c>
    </row>
    <row r="4125">
      <c r="A4125" s="5" t="s">
        <v>7859</v>
      </c>
      <c r="B4125" s="5" t="s">
        <v>7860</v>
      </c>
      <c r="C4125" s="5" t="str">
        <f>IFERROR(__xludf.DUMMYFUNCTION("GOOGLETRANSLATE(A4125,""en"",""hy"")"),"Ո՞րն է մեթանի քիմիական բանաձևը:")</f>
        <v>Ո՞րն է մեթանի քիմիական բանաձևը:</v>
      </c>
      <c r="D4125" s="6" t="str">
        <f>IFERROR(__xludf.DUMMYFUNCTION("GOOGLETRANSLATE(B4125,""en"",""hy"")"),"Մեթանի քիմիական բանաձևը CH4 է:")</f>
        <v>Մեթանի քիմիական բանաձևը CH4 է:</v>
      </c>
    </row>
    <row r="4126">
      <c r="A4126" s="5" t="s">
        <v>7660</v>
      </c>
      <c r="B4126" s="5" t="s">
        <v>7661</v>
      </c>
      <c r="C4126" s="5" t="str">
        <f>IFERROR(__xludf.DUMMYFUNCTION("GOOGLETRANSLATE(A4126,""en"",""hy"")"),"Ո՞վ է «Մեծն Գեթսբիի» հեղինակը.")</f>
        <v>Ո՞վ է «Մեծն Գեթսբիի» հեղինակը.</v>
      </c>
      <c r="D4126" s="6" t="str">
        <f>IFERROR(__xludf.DUMMYFUNCTION("GOOGLETRANSLATE(B4126,""en"",""hy"")"),"F. Scott Fitzgerald.")</f>
        <v>F. Scott Fitzgerald.</v>
      </c>
    </row>
    <row r="4127">
      <c r="A4127" s="5" t="s">
        <v>7467</v>
      </c>
      <c r="B4127" s="5" t="s">
        <v>7766</v>
      </c>
      <c r="C4127" s="5" t="str">
        <f>IFERROR(__xludf.DUMMYFUNCTION("GOOGLETRANSLATE(A4127,""en"",""hy"")"),"Ո՞րն է Ճապոնիայի արժույթը:")</f>
        <v>Ո՞րն է Ճապոնիայի արժույթը:</v>
      </c>
      <c r="D4127" s="6" t="str">
        <f>IFERROR(__xludf.DUMMYFUNCTION("GOOGLETRANSLATE(B4127,""en"",""hy"")"),"Ճապոնիայի արժույթը ճապոնական իենն է։")</f>
        <v>Ճապոնիայի արժույթը ճապոնական իենն է։</v>
      </c>
    </row>
    <row r="4128">
      <c r="A4128" s="5" t="s">
        <v>7861</v>
      </c>
      <c r="B4128" s="5" t="s">
        <v>7448</v>
      </c>
      <c r="C4128" s="5" t="str">
        <f>IFERROR(__xludf.DUMMYFUNCTION("GOOGLETRANSLATE(A4128,""en"",""hy"")"),"Ո՞վ է նկարել «Վերջին ընթրիքը»:")</f>
        <v>Ո՞վ է նկարել «Վերջին ընթրիքը»:</v>
      </c>
      <c r="D4128" s="6" t="str">
        <f>IFERROR(__xludf.DUMMYFUNCTION("GOOGLETRANSLATE(B4128,""en"",""hy"")"),"Լեոնարդո դա Վինչի.")</f>
        <v>Լեոնարդո դա Վինչի.</v>
      </c>
    </row>
    <row r="4129">
      <c r="A4129" s="5" t="s">
        <v>7618</v>
      </c>
      <c r="B4129" s="5" t="s">
        <v>7733</v>
      </c>
      <c r="C4129" s="5" t="str">
        <f>IFERROR(__xludf.DUMMYFUNCTION("GOOGLETRANSLATE(A4129,""en"",""hy"")"),"Ո՞րն է աշխարհի ամենամեծ ջրվեժը:")</f>
        <v>Ո՞րն է աշխարհի ամենամեծ ջրվեժը:</v>
      </c>
      <c r="D4129" s="6" t="str">
        <f>IFERROR(__xludf.DUMMYFUNCTION("GOOGLETRANSLATE(B4129,""en"",""hy"")"),"Angel Falls.")</f>
        <v>Angel Falls.</v>
      </c>
    </row>
    <row r="4130">
      <c r="A4130" s="5" t="s">
        <v>7566</v>
      </c>
      <c r="B4130" s="5" t="s">
        <v>7567</v>
      </c>
      <c r="C4130" s="5" t="str">
        <f>IFERROR(__xludf.DUMMYFUNCTION("GOOGLETRANSLATE(A4130,""en"",""hy"")"),"Ո՞վ է Կանադայի ներկայիս վարչապետը:")</f>
        <v>Ո՞վ է Կանադայի ներկայիս վարչապետը:</v>
      </c>
      <c r="D4130" s="6" t="str">
        <f>IFERROR(__xludf.DUMMYFUNCTION("GOOGLETRANSLATE(B4130,""en"",""hy"")"),"Ջասթին Թրյուդո")</f>
        <v>Ջասթին Թրյուդո</v>
      </c>
    </row>
    <row r="4131">
      <c r="A4131" s="5" t="s">
        <v>7761</v>
      </c>
      <c r="B4131" s="5" t="s">
        <v>7862</v>
      </c>
      <c r="C4131" s="5" t="str">
        <f>IFERROR(__xludf.DUMMYFUNCTION("GOOGLETRANSLATE(A4131,""en"",""hy"")"),"Ո՞րն է ջրածնի քիմիական նշանը:")</f>
        <v>Ո՞րն է ջրածնի քիմիական նշանը:</v>
      </c>
      <c r="D4131" s="6" t="str">
        <f>IFERROR(__xludf.DUMMYFUNCTION("GOOGLETRANSLATE(B4131,""en"",""hy"")"),"Ջրածնի քիմիական նշանն է H.")</f>
        <v>Ջրածնի քիմիական նշանն է H.</v>
      </c>
    </row>
    <row r="4132">
      <c r="A4132" s="5" t="s">
        <v>7443</v>
      </c>
      <c r="B4132" s="5" t="s">
        <v>7444</v>
      </c>
      <c r="C4132" s="5" t="str">
        <f>IFERROR(__xludf.DUMMYFUNCTION("GOOGLETRANSLATE(A4132,""en"",""hy"")"),"Ո՞վ է գրել «1984» վեպը։")</f>
        <v>Ո՞վ է գրել «1984» վեպը։</v>
      </c>
      <c r="D4132" s="6" t="str">
        <f>IFERROR(__xludf.DUMMYFUNCTION("GOOGLETRANSLATE(B4132,""en"",""hy"")"),"Ջորջ Օրուել.")</f>
        <v>Ջորջ Օրուել.</v>
      </c>
    </row>
    <row r="4133">
      <c r="A4133" s="5" t="s">
        <v>7553</v>
      </c>
      <c r="B4133" s="5" t="s">
        <v>7863</v>
      </c>
      <c r="C4133" s="5" t="str">
        <f>IFERROR(__xludf.DUMMYFUNCTION("GOOGLETRANSLATE(A4133,""en"",""hy"")"),"Ո՞րն է Հարավային Աֆրիկայի մայրաքաղաքը:")</f>
        <v>Ո՞րն է Հարավային Աֆրիկայի մայրաքաղաքը:</v>
      </c>
      <c r="D4133" s="6" t="str">
        <f>IFERROR(__xludf.DUMMYFUNCTION("GOOGLETRANSLATE(B4133,""en"",""hy"")"),"Պրետորիան Հարավային Աֆրիկայի մայրաքաղաքն է։")</f>
        <v>Պրետորիան Հարավային Աֆրիկայի մայրաքաղաքն է։</v>
      </c>
    </row>
    <row r="4134">
      <c r="A4134" s="5" t="s">
        <v>7864</v>
      </c>
      <c r="B4134" s="5" t="s">
        <v>7865</v>
      </c>
      <c r="C4134" s="5" t="str">
        <f>IFERROR(__xludf.DUMMYFUNCTION("GOOGLETRANSLATE(A4134,""en"",""hy"")"),"Ո՞րն է ծծմբաթթվի քիմիական բանաձևը:")</f>
        <v>Ո՞րն է ծծմբաթթվի քիմիական բանաձևը:</v>
      </c>
      <c r="D4134" s="6" t="str">
        <f>IFERROR(__xludf.DUMMYFUNCTION("GOOGLETRANSLATE(B4134,""en"",""hy"")"),"Ծծմբաթթվի քիմիական բանաձևը H2SO4 է:")</f>
        <v>Ծծմբաթթվի քիմիական բանաձևը H2SO4 է:</v>
      </c>
    </row>
    <row r="4135">
      <c r="A4135" s="5" t="s">
        <v>7866</v>
      </c>
      <c r="B4135" s="5" t="s">
        <v>7745</v>
      </c>
      <c r="C4135" s="5" t="str">
        <f>IFERROR(__xludf.DUMMYFUNCTION("GOOGLETRANSLATE(A4135,""en"",""hy"")"),"Ո՞վ է նկարել «Հիշողության համառությունը»:")</f>
        <v>Ո՞վ է նկարել «Հիշողության համառությունը»:</v>
      </c>
      <c r="D4135" s="6" t="str">
        <f>IFERROR(__xludf.DUMMYFUNCTION("GOOGLETRANSLATE(B4135,""en"",""hy"")"),"Սալվադոր Դալի.")</f>
        <v>Սալվադոր Դալի.</v>
      </c>
    </row>
    <row r="4136">
      <c r="A4136" s="5" t="s">
        <v>7561</v>
      </c>
      <c r="B4136" s="5" t="s">
        <v>7669</v>
      </c>
      <c r="C4136" s="5" t="str">
        <f>IFERROR(__xludf.DUMMYFUNCTION("GOOGLETRANSLATE(A4136,""en"",""hy"")"),"Ո՞րն է Մեքսիկայի արժույթը:")</f>
        <v>Ո՞րն է Մեքսիկայի արժույթը:</v>
      </c>
      <c r="D4136" s="6" t="str">
        <f>IFERROR(__xludf.DUMMYFUNCTION("GOOGLETRANSLATE(B4136,""en"",""hy"")"),"Մեքսիկայի արժույթը մեքսիկական պեսոն է։")</f>
        <v>Մեքսիկայի արժույթը մեքսիկական պեսոն է։</v>
      </c>
    </row>
    <row r="4137">
      <c r="A4137" s="5" t="s">
        <v>7687</v>
      </c>
      <c r="B4137" s="5" t="s">
        <v>7867</v>
      </c>
      <c r="C4137" s="5" t="str">
        <f>IFERROR(__xludf.DUMMYFUNCTION("GOOGLETRANSLATE(A4137,""en"",""hy"")"),"Ո՞վ է «Մատանիների տիրակալը» ֆիլմի հեղինակը.")</f>
        <v>Ո՞վ է «Մատանիների տիրակալը» ֆիլմի հեղինակը.</v>
      </c>
      <c r="D4137" s="6" t="str">
        <f>IFERROR(__xludf.DUMMYFUNCTION("GOOGLETRANSLATE(B4137,""en"",""hy"")"),"Ջ.Ռ.Ռ. Թոլքինը։")</f>
        <v>Ջ.Ռ.Ռ. Թոլքինը։</v>
      </c>
    </row>
    <row r="4138">
      <c r="A4138" s="5" t="s">
        <v>7868</v>
      </c>
      <c r="B4138" s="5" t="s">
        <v>7869</v>
      </c>
      <c r="C4138" s="5" t="str">
        <f>IFERROR(__xludf.DUMMYFUNCTION("GOOGLETRANSLATE(A4138,""en"",""hy"")"),"Ո՞րն է ուրանի քիմիական նշանը:")</f>
        <v>Ո՞րն է ուրանի քիմիական նշանը:</v>
      </c>
      <c r="D4138" s="6" t="str">
        <f>IFERROR(__xludf.DUMMYFUNCTION("GOOGLETRANSLATE(B4138,""en"",""hy"")"),"Ուրանի քիմիական նշանն է U.")</f>
        <v>Ուրանի քիմիական նշանն է U.</v>
      </c>
    </row>
    <row r="4139">
      <c r="A4139" s="5" t="s">
        <v>7536</v>
      </c>
      <c r="B4139" s="5" t="s">
        <v>7870</v>
      </c>
      <c r="C4139" s="5" t="str">
        <f>IFERROR(__xludf.DUMMYFUNCTION("GOOGLETRANSLATE(A4139,""en"",""hy"")"),"Ո՞րն է Ռուսաստանի մայրաքաղաքը:")</f>
        <v>Ո՞րն է Ռուսաստանի մայրաքաղաքը:</v>
      </c>
      <c r="D4139" s="6" t="str">
        <f>IFERROR(__xludf.DUMMYFUNCTION("GOOGLETRANSLATE(B4139,""en"",""hy"")"),"Մոսկվա.")</f>
        <v>Մոսկվա.</v>
      </c>
    </row>
    <row r="4140">
      <c r="A4140" s="5" t="s">
        <v>7649</v>
      </c>
      <c r="B4140" s="5" t="s">
        <v>7756</v>
      </c>
      <c r="C4140" s="5" t="str">
        <f>IFERROR(__xludf.DUMMYFUNCTION("GOOGLETRANSLATE(A4140,""en"",""hy"")"),"Ո՞րն է Ավստրալիայի արժույթը:")</f>
        <v>Ո՞րն է Ավստրալիայի արժույթը:</v>
      </c>
      <c r="D4140" s="6" t="str">
        <f>IFERROR(__xludf.DUMMYFUNCTION("GOOGLETRANSLATE(B4140,""en"",""hy"")"),"Ավստրալիայի արժույթը ավստրալիական դոլարն է։")</f>
        <v>Ավստրալիայի արժույթը ավստրալիական դոլարն է։</v>
      </c>
    </row>
    <row r="4141">
      <c r="A4141" s="5" t="s">
        <v>7871</v>
      </c>
      <c r="B4141" s="5" t="s">
        <v>7621</v>
      </c>
      <c r="C4141" s="5" t="str">
        <f>IFERROR(__xludf.DUMMYFUNCTION("GOOGLETRANSLATE(A4141,""en"",""hy"")"),"Ո՞վ է նկարել «Վեներայի ծնունդը»:")</f>
        <v>Ո՞վ է նկարել «Վեներայի ծնունդը»:</v>
      </c>
      <c r="D4141" s="6" t="str">
        <f>IFERROR(__xludf.DUMMYFUNCTION("GOOGLETRANSLATE(B4141,""en"",""hy"")"),"Սանդրո Բոտիչելի.")</f>
        <v>Սանդրո Բոտիչելի.</v>
      </c>
    </row>
    <row r="4142">
      <c r="A4142" s="5" t="s">
        <v>7699</v>
      </c>
      <c r="B4142" s="5" t="s">
        <v>7700</v>
      </c>
      <c r="C4142" s="5" t="str">
        <f>IFERROR(__xludf.DUMMYFUNCTION("GOOGLETRANSLATE(A4142,""en"",""hy"")"),"Ո՞րն է ածխածնի քիմիական նշանը:")</f>
        <v>Ո՞րն է ածխածնի քիմիական նշանը:</v>
      </c>
      <c r="D4142" s="6" t="str">
        <f>IFERROR(__xludf.DUMMYFUNCTION("GOOGLETRANSLATE(B4142,""en"",""hy"")"),"Ածխածնի քիմիական նշանը C է:")</f>
        <v>Ածխածնի քիմիական նշանը C է:</v>
      </c>
    </row>
    <row r="4143">
      <c r="A4143" s="5" t="s">
        <v>7737</v>
      </c>
      <c r="B4143" s="5" t="s">
        <v>7560</v>
      </c>
      <c r="C4143" s="5" t="str">
        <f>IFERROR(__xludf.DUMMYFUNCTION("GOOGLETRANSLATE(A4143,""en"",""hy"")"),"Ո՞վ է գրել «Շորայի մեջ բռնողը» վեպը:")</f>
        <v>Ո՞վ է գրել «Շորայի մեջ բռնողը» վեպը:</v>
      </c>
      <c r="D4143" s="6" t="str">
        <f>IFERROR(__xludf.DUMMYFUNCTION("GOOGLETRANSLATE(B4143,""en"",""hy"")"),"Ջ.Դ.Սելինջեր.")</f>
        <v>Ջ.Դ.Սելինջեր.</v>
      </c>
    </row>
    <row r="4144">
      <c r="A4144" s="5" t="s">
        <v>7872</v>
      </c>
      <c r="B4144" s="5" t="s">
        <v>6011</v>
      </c>
      <c r="C4144" s="5" t="str">
        <f>IFERROR(__xludf.DUMMYFUNCTION("GOOGLETRANSLATE(A4144,""en"",""hy"")"),"Ո՞րն է Իսպանիայի մայրաքաղաքը:")</f>
        <v>Ո՞րն է Իսպանիայի մայրաքաղաքը:</v>
      </c>
      <c r="D4144" s="6" t="str">
        <f>IFERROR(__xludf.DUMMYFUNCTION("GOOGLETRANSLATE(B4144,""en"",""hy"")"),"Մադրիդ")</f>
        <v>Մադրիդ</v>
      </c>
    </row>
    <row r="4145">
      <c r="A4145" s="5" t="s">
        <v>7662</v>
      </c>
      <c r="B4145" s="5" t="s">
        <v>7663</v>
      </c>
      <c r="C4145" s="5" t="str">
        <f>IFERROR(__xludf.DUMMYFUNCTION("GOOGLETRANSLATE(A4145,""en"",""hy"")"),"Ո՞րն է Հնդկաստանի արժույթը:")</f>
        <v>Ո՞րն է Հնդկաստանի արժույթը:</v>
      </c>
      <c r="D4145" s="6" t="str">
        <f>IFERROR(__xludf.DUMMYFUNCTION("GOOGLETRANSLATE(B4145,""en"",""hy"")"),"Հնդկաստանի արժույթը հնդկական ռուփին է։")</f>
        <v>Հնդկաստանի արժույթը հնդկական ռուփին է։</v>
      </c>
    </row>
    <row r="4146">
      <c r="A4146" s="5" t="s">
        <v>7873</v>
      </c>
      <c r="B4146" s="5" t="s">
        <v>7874</v>
      </c>
      <c r="C4146" s="5" t="str">
        <f>IFERROR(__xludf.DUMMYFUNCTION("GOOGLETRANSLATE(A4146,""en"",""hy"")"),"Ո՞վ է «Ալիսի արկածները հրաշքների աշխարհում» գրքի հեղինակը։")</f>
        <v>Ո՞վ է «Ալիսի արկածները հրաշքների աշխարհում» գրքի հեղինակը։</v>
      </c>
      <c r="D4146" s="6" t="str">
        <f>IFERROR(__xludf.DUMMYFUNCTION("GOOGLETRANSLATE(B4146,""en"",""hy"")"),"Լյուիս Քերոլ.")</f>
        <v>Լյուիս Քերոլ.</v>
      </c>
    </row>
    <row r="4147">
      <c r="A4147" s="5" t="s">
        <v>7875</v>
      </c>
      <c r="B4147" s="5" t="s">
        <v>7876</v>
      </c>
      <c r="C4147" s="5" t="str">
        <f>IFERROR(__xludf.DUMMYFUNCTION("GOOGLETRANSLATE(A4147,""en"",""hy"")"),"Ո՞րն է ազոտի քիմիական նշանը:")</f>
        <v>Ո՞րն է ազոտի քիմիական նշանը:</v>
      </c>
      <c r="D4147" s="6" t="str">
        <f>IFERROR(__xludf.DUMMYFUNCTION("GOOGLETRANSLATE(B4147,""en"",""hy"")"),"Ազոտի քիմիական նշանն է N.")</f>
        <v>Ազոտի քիմիական նշանն է N.</v>
      </c>
    </row>
    <row r="4148">
      <c r="A4148" s="5" t="s">
        <v>7877</v>
      </c>
      <c r="B4148" s="5" t="s">
        <v>7878</v>
      </c>
      <c r="C4148" s="5" t="str">
        <f>IFERROR(__xludf.DUMMYFUNCTION("GOOGLETRANSLATE(A4148,""en"",""hy"")"),"Ո՞վ է նկարել «Սիքստինյան կապելլայի առաստաղը»:")</f>
        <v>Ո՞վ է նկարել «Սիքստինյան կապելլայի առաստաղը»:</v>
      </c>
      <c r="D4148" s="6" t="str">
        <f>IFERROR(__xludf.DUMMYFUNCTION("GOOGLETRANSLATE(B4148,""en"",""hy"")"),"Միքելանջելո")</f>
        <v>Միքելանջելո</v>
      </c>
    </row>
    <row r="4149">
      <c r="A4149" s="5" t="s">
        <v>7599</v>
      </c>
      <c r="B4149" s="5" t="s">
        <v>7600</v>
      </c>
      <c r="C4149" s="5" t="str">
        <f>IFERROR(__xludf.DUMMYFUNCTION("GOOGLETRANSLATE(A4149,""en"",""hy"")"),"Ո՞րն է աշխարհի ամենամեծ լիճը:")</f>
        <v>Ո՞րն է աշխարհի ամենամեծ լիճը:</v>
      </c>
      <c r="D4149" s="6" t="str">
        <f>IFERROR(__xludf.DUMMYFUNCTION("GOOGLETRANSLATE(B4149,""en"",""hy"")"),"Աշխարհի ամենամեծ լիճը Կասպից ծովն է։")</f>
        <v>Աշխարհի ամենամեծ լիճը Կասպից ծովն է։</v>
      </c>
    </row>
    <row r="4150">
      <c r="A4150" s="5" t="s">
        <v>7879</v>
      </c>
      <c r="B4150" s="5" t="s">
        <v>7880</v>
      </c>
      <c r="C4150" s="5" t="str">
        <f>IFERROR(__xludf.DUMMYFUNCTION("GOOGLETRANSLATE(A4150,""en"",""hy"")"),"Ո՞վ է Բրազիլիայի ներկայիս նախագահը:")</f>
        <v>Ո՞վ է Բրազիլիայի ներկայիս նախագահը:</v>
      </c>
      <c r="D4150" s="6" t="str">
        <f>IFERROR(__xludf.DUMMYFUNCTION("GOOGLETRANSLATE(B4150,""en"",""hy"")"),"Բրազիլիայի ներկայիս նախագահը Ժաիր Բոլսոնարոն է։")</f>
        <v>Բրազիլիայի ներկայիս նախագահը Ժաիր Բոլսոնարոն է։</v>
      </c>
    </row>
    <row r="4151">
      <c r="A4151" s="5" t="s">
        <v>7881</v>
      </c>
      <c r="B4151" s="5" t="s">
        <v>7882</v>
      </c>
      <c r="C4151" s="5" t="str">
        <f>IFERROR(__xludf.DUMMYFUNCTION("GOOGLETRANSLATE(A4151,""en"",""hy"")"),"Ո՞րն է աղաթթվի քիմիական բանաձևը:")</f>
        <v>Ո՞րն է աղաթթվի քիմիական բանաձևը:</v>
      </c>
      <c r="D4151" s="6" t="str">
        <f>IFERROR(__xludf.DUMMYFUNCTION("GOOGLETRANSLATE(B4151,""en"",""hy"")"),"HCl")</f>
        <v>HCl</v>
      </c>
    </row>
    <row r="4152">
      <c r="A4152" s="5" t="s">
        <v>7726</v>
      </c>
      <c r="B4152" s="5" t="s">
        <v>1016</v>
      </c>
      <c r="C4152" s="5" t="str">
        <f>IFERROR(__xludf.DUMMYFUNCTION("GOOGLETRANSLATE(A4152,""en"",""hy"")"),"Ո՞վ է գրել «Մակբեթ» պիեսը։")</f>
        <v>Ո՞վ է գրել «Մակբեթ» պիեսը։</v>
      </c>
      <c r="D4152" s="6" t="str">
        <f>IFERROR(__xludf.DUMMYFUNCTION("GOOGLETRANSLATE(B4152,""en"",""hy"")"),"Ուիլյամ Շեքսպիր.")</f>
        <v>Ուիլյամ Շեքսպիր.</v>
      </c>
    </row>
    <row r="4153">
      <c r="A4153" s="5" t="s">
        <v>7626</v>
      </c>
      <c r="B4153" s="5" t="s">
        <v>6980</v>
      </c>
      <c r="C4153" s="5" t="str">
        <f>IFERROR(__xludf.DUMMYFUNCTION("GOOGLETRANSLATE(A4153,""en"",""hy"")"),"Ո՞րն է Գերմանիայի մայրաքաղաքը:")</f>
        <v>Ո՞րն է Գերմանիայի մայրաքաղաքը:</v>
      </c>
      <c r="D4153" s="6" t="str">
        <f>IFERROR(__xludf.DUMMYFUNCTION("GOOGLETRANSLATE(B4153,""en"",""hy"")"),"Բեռլին")</f>
        <v>Բեռլին</v>
      </c>
    </row>
    <row r="4154">
      <c r="A4154" s="5" t="s">
        <v>7614</v>
      </c>
      <c r="B4154" s="5" t="s">
        <v>7883</v>
      </c>
      <c r="C4154" s="5" t="str">
        <f>IFERROR(__xludf.DUMMYFUNCTION("GOOGLETRANSLATE(A4154,""en"",""hy"")"),"Ո՞րն է Ֆրանսիայի արժույթը:")</f>
        <v>Ո՞րն է Ֆրանսիայի արժույթը:</v>
      </c>
      <c r="D4154" s="6" t="str">
        <f>IFERROR(__xludf.DUMMYFUNCTION("GOOGLETRANSLATE(B4154,""en"",""hy"")"),"Ֆրանսիայի արժույթը եվրոն է։")</f>
        <v>Ֆրանսիայի արժույթը եվրոն է։</v>
      </c>
    </row>
    <row r="4155">
      <c r="A4155" s="5" t="s">
        <v>7884</v>
      </c>
      <c r="B4155" s="5" t="s">
        <v>7549</v>
      </c>
      <c r="C4155" s="5" t="str">
        <f>IFERROR(__xludf.DUMMYFUNCTION("GOOGLETRANSLATE(A4155,""en"",""hy"")"),"Ո՞վ է նկարել «Մարգարտյա ականջօղով աղջիկը»:")</f>
        <v>Ո՞վ է նկարել «Մարգարտյա ականջօղով աղջիկը»:</v>
      </c>
      <c r="D4155" s="6" t="str">
        <f>IFERROR(__xludf.DUMMYFUNCTION("GOOGLETRANSLATE(B4155,""en"",""hy"")"),"Յոհաննես Վերմեեր.")</f>
        <v>Յոհաննես Վերմեեր.</v>
      </c>
    </row>
    <row r="4156">
      <c r="A4156" s="5" t="s">
        <v>7665</v>
      </c>
      <c r="B4156" s="5" t="s">
        <v>7781</v>
      </c>
      <c r="C4156" s="5" t="str">
        <f>IFERROR(__xludf.DUMMYFUNCTION("GOOGLETRANSLATE(A4156,""en"",""hy"")"),"Ո՞րն է նատրիումի քիմիական նշանը:")</f>
        <v>Ո՞րն է նատրիումի քիմիական նշանը:</v>
      </c>
      <c r="D4156" s="6" t="str">
        <f>IFERROR(__xludf.DUMMYFUNCTION("GOOGLETRANSLATE(B4156,""en"",""hy"")"),"Նատրիումի քիմիական նշանը Na է:")</f>
        <v>Նատրիումի քիմիական նշանը Na է:</v>
      </c>
    </row>
    <row r="4157">
      <c r="A4157" s="5" t="s">
        <v>7705</v>
      </c>
      <c r="B4157" s="5" t="s">
        <v>7867</v>
      </c>
      <c r="C4157" s="5" t="str">
        <f>IFERROR(__xludf.DUMMYFUNCTION("GOOGLETRANSLATE(A4157,""en"",""hy"")"),"Ո՞վ է «Հոբիթ»-ի հեղինակը.")</f>
        <v>Ո՞վ է «Հոբիթ»-ի հեղինակը.</v>
      </c>
      <c r="D4157" s="6" t="str">
        <f>IFERROR(__xludf.DUMMYFUNCTION("GOOGLETRANSLATE(B4157,""en"",""hy"")"),"Ջ.Ռ.Ռ. Թոլքինը։")</f>
        <v>Ջ.Ռ.Ռ. Թոլքինը։</v>
      </c>
    </row>
    <row r="4158">
      <c r="A4158" s="5" t="s">
        <v>7795</v>
      </c>
      <c r="B4158" s="5" t="s">
        <v>7796</v>
      </c>
      <c r="C4158" s="5" t="str">
        <f>IFERROR(__xludf.DUMMYFUNCTION("GOOGLETRANSLATE(A4158,""en"",""hy"")"),"Ո՞րն է Եգիպտոսի մայրաքաղաքը:")</f>
        <v>Ո՞րն է Եգիպտոսի մայրաքաղաքը:</v>
      </c>
      <c r="D4158" s="6" t="str">
        <f>IFERROR(__xludf.DUMMYFUNCTION("GOOGLETRANSLATE(B4158,""en"",""hy"")"),"Կահիրե.")</f>
        <v>Կահիրե.</v>
      </c>
    </row>
    <row r="4159">
      <c r="A4159" s="5" t="s">
        <v>7885</v>
      </c>
      <c r="B4159" s="5" t="s">
        <v>7886</v>
      </c>
      <c r="C4159" s="5" t="str">
        <f>IFERROR(__xludf.DUMMYFUNCTION("GOOGLETRANSLATE(A4159,""en"",""hy"")"),"Ո՞րն է Հարավային Աֆրիկայի արժույթը:")</f>
        <v>Ո՞րն է Հարավային Աֆրիկայի արժույթը:</v>
      </c>
      <c r="D4159" s="6" t="str">
        <f>IFERROR(__xludf.DUMMYFUNCTION("GOOGLETRANSLATE(B4159,""en"",""hy"")"),"Հարավային Աֆրիկայի արժույթը հարավաֆրիկյան ռանդն է (ZAR):")</f>
        <v>Հարավային Աֆրիկայի արժույթը հարավաֆրիկյան ռանդն է (ZAR):</v>
      </c>
    </row>
    <row r="4160">
      <c r="A4160" s="5" t="s">
        <v>7887</v>
      </c>
      <c r="B4160" s="5" t="s">
        <v>7474</v>
      </c>
      <c r="C4160" s="5" t="str">
        <f>IFERROR(__xludf.DUMMYFUNCTION("GOOGLETRANSLATE(A4160,""en"",""hy"")"),"Ո՞վ է նկարել «Վերջին դատաստանը».")</f>
        <v>Ո՞վ է նկարել «Վերջին դատաստանը».</v>
      </c>
      <c r="D4160" s="6" t="str">
        <f>IFERROR(__xludf.DUMMYFUNCTION("GOOGLETRANSLATE(B4160,""en"",""hy"")"),"Միքելանջելո.")</f>
        <v>Միքելանջելո.</v>
      </c>
    </row>
    <row r="4161">
      <c r="A4161" s="5" t="s">
        <v>7888</v>
      </c>
      <c r="B4161" s="5" t="s">
        <v>7889</v>
      </c>
      <c r="C4161" s="5" t="str">
        <f>IFERROR(__xludf.DUMMYFUNCTION("GOOGLETRANSLATE(A4161,""en"",""hy"")"),"Ո՞րն է ազոտաթթվի քիմիական բանաձևը:")</f>
        <v>Ո՞րն է ազոտաթթվի քիմիական բանաձևը:</v>
      </c>
      <c r="D4161" s="6" t="str">
        <f>IFERROR(__xludf.DUMMYFUNCTION("GOOGLETRANSLATE(B4161,""en"",""hy"")"),"Ազոտական ​​թթվի քիմիական բանաձևը HNO3 է:")</f>
        <v>Ազոտական ​​թթվի քիմիական բանաձևը HNO3 է:</v>
      </c>
    </row>
    <row r="4162">
      <c r="A4162" s="5" t="s">
        <v>7890</v>
      </c>
      <c r="B4162" s="5" t="s">
        <v>7661</v>
      </c>
      <c r="C4162" s="5" t="str">
        <f>IFERROR(__xludf.DUMMYFUNCTION("GOOGLETRANSLATE(A4162,""en"",""hy"")"),"Ո՞վ է գրել «Մեծն Գեթսբի» վեպը:")</f>
        <v>Ո՞վ է գրել «Մեծն Գեթսբի» վեպը:</v>
      </c>
      <c r="D4162" s="6" t="str">
        <f>IFERROR(__xludf.DUMMYFUNCTION("GOOGLETRANSLATE(B4162,""en"",""hy"")"),"F. Scott Fitzgerald.")</f>
        <v>F. Scott Fitzgerald.</v>
      </c>
    </row>
    <row r="4163">
      <c r="A4163" s="5" t="s">
        <v>7515</v>
      </c>
      <c r="B4163" s="5" t="s">
        <v>7516</v>
      </c>
      <c r="C4163" s="5" t="str">
        <f>IFERROR(__xludf.DUMMYFUNCTION("GOOGLETRANSLATE(A4163,""en"",""hy"")"),"Ո՞րն է Բրազիլիայի մայրաքաղաքը:")</f>
        <v>Ո՞րն է Բրազիլիայի մայրաքաղաքը:</v>
      </c>
      <c r="D4163" s="6" t="str">
        <f>IFERROR(__xludf.DUMMYFUNCTION("GOOGLETRANSLATE(B4163,""en"",""hy"")"),"Բրազիլիա.")</f>
        <v>Բրազիլիա.</v>
      </c>
    </row>
    <row r="4164">
      <c r="A4164" s="5" t="s">
        <v>7542</v>
      </c>
      <c r="B4164" s="5" t="s">
        <v>7543</v>
      </c>
      <c r="C4164" s="5" t="str">
        <f>IFERROR(__xludf.DUMMYFUNCTION("GOOGLETRANSLATE(A4164,""en"",""hy"")"),"Ո՞րն է Կանադայի արժույթը:")</f>
        <v>Ո՞րն է Կանադայի արժույթը:</v>
      </c>
      <c r="D4164" s="6" t="str">
        <f>IFERROR(__xludf.DUMMYFUNCTION("GOOGLETRANSLATE(B4164,""en"",""hy"")"),"Կանադայի արժույթը կանադական դոլարն է։")</f>
        <v>Կանադայի արժույթը կանադական դոլարն է։</v>
      </c>
    </row>
    <row r="4165">
      <c r="A4165" s="5" t="s">
        <v>7891</v>
      </c>
      <c r="B4165" s="5" t="s">
        <v>7892</v>
      </c>
      <c r="C4165" s="5" t="str">
        <f>IFERROR(__xludf.DUMMYFUNCTION("GOOGLETRANSLATE(A4165,""en"",""hy"")"),"Ո՞վ է նկարել «Ճիչը»:")</f>
        <v>Ո՞վ է նկարել «Ճիչը»:</v>
      </c>
      <c r="D4165" s="6" t="str">
        <f>IFERROR(__xludf.DUMMYFUNCTION("GOOGLETRANSLATE(B4165,""en"",""hy"")"),"Էդվարդ Մունկ")</f>
        <v>Էդվարդ Մունկ</v>
      </c>
    </row>
    <row r="4166">
      <c r="A4166" s="5" t="s">
        <v>7893</v>
      </c>
      <c r="B4166" s="5" t="s">
        <v>7894</v>
      </c>
      <c r="C4166" s="5" t="str">
        <f>IFERROR(__xludf.DUMMYFUNCTION("GOOGLETRANSLATE(A4166,""en"",""hy"")"),"Ո՞րն է կալիումի քիմիական նշանը:")</f>
        <v>Ո՞րն է կալիումի քիմիական նշանը:</v>
      </c>
      <c r="D4166" s="6" t="str">
        <f>IFERROR(__xludf.DUMMYFUNCTION("GOOGLETRANSLATE(B4166,""en"",""hy"")"),"Կալիումի քիմիական նշանը Կ.")</f>
        <v>Կալիումի քիմիական նշանը Կ.</v>
      </c>
    </row>
    <row r="4167">
      <c r="A4167" s="5" t="s">
        <v>7895</v>
      </c>
      <c r="B4167" s="5" t="s">
        <v>7896</v>
      </c>
      <c r="C4167" s="5" t="str">
        <f>IFERROR(__xludf.DUMMYFUNCTION("GOOGLETRANSLATE(A4167,""en"",""hy"")"),"Ո՞վ է «Քաջ նոր աշխարհ»-ի հեղինակը։")</f>
        <v>Ո՞վ է «Քաջ նոր աշխարհ»-ի հեղինակը։</v>
      </c>
      <c r="D4167" s="6" t="str">
        <f>IFERROR(__xludf.DUMMYFUNCTION("GOOGLETRANSLATE(B4167,""en"",""hy"")"),"Օլդոս Հաքսլի.")</f>
        <v>Օլդոս Հաքսլի.</v>
      </c>
    </row>
    <row r="4168">
      <c r="A4168" s="5" t="s">
        <v>7897</v>
      </c>
      <c r="B4168" s="5" t="s">
        <v>7898</v>
      </c>
      <c r="C4168" s="5" t="str">
        <f>IFERROR(__xludf.DUMMYFUNCTION("GOOGLETRANSLATE(A4168,""en"",""hy"")"),"Ո՞րն է Արգենտինայի մայրաքաղաքը:")</f>
        <v>Ո՞րն է Արգենտինայի մայրաքաղաքը:</v>
      </c>
      <c r="D4168" s="6" t="str">
        <f>IFERROR(__xludf.DUMMYFUNCTION("GOOGLETRANSLATE(B4168,""en"",""hy"")"),"Բուենոս Այրես.")</f>
        <v>Բուենոս Այրես.</v>
      </c>
    </row>
    <row r="4169">
      <c r="A4169" s="5" t="s">
        <v>7706</v>
      </c>
      <c r="B4169" s="5" t="s">
        <v>7899</v>
      </c>
      <c r="C4169" s="5" t="str">
        <f>IFERROR(__xludf.DUMMYFUNCTION("GOOGLETRANSLATE(A4169,""en"",""hy"")"),"Ո՞րն է Միացյալ Թագավորության արժույթը:")</f>
        <v>Ո՞րն է Միացյալ Թագավորության արժույթը:</v>
      </c>
      <c r="D4169" s="6" t="str">
        <f>IFERROR(__xludf.DUMMYFUNCTION("GOOGLETRANSLATE(B4169,""en"",""hy"")"),"ֆունտ ստեռլինգ")</f>
        <v>ֆունտ ստեռլինգ</v>
      </c>
    </row>
    <row r="4170">
      <c r="A4170" s="5" t="s">
        <v>7900</v>
      </c>
      <c r="B4170" s="5" t="s">
        <v>7474</v>
      </c>
      <c r="C4170" s="5" t="str">
        <f>IFERROR(__xludf.DUMMYFUNCTION("GOOGLETRANSLATE(A4170,""en"",""hy"")"),"Ո՞վ է նկարել «Ադամի ստեղծումը»:")</f>
        <v>Ո՞վ է նկարել «Ադամի ստեղծումը»:</v>
      </c>
      <c r="D4170" s="6" t="str">
        <f>IFERROR(__xludf.DUMMYFUNCTION("GOOGLETRANSLATE(B4170,""en"",""hy"")"),"Միքելանջելո.")</f>
        <v>Միքելանջելո.</v>
      </c>
    </row>
    <row r="4171">
      <c r="A4171" s="5" t="s">
        <v>7901</v>
      </c>
      <c r="B4171" s="5" t="s">
        <v>7902</v>
      </c>
      <c r="C4171" s="5" t="str">
        <f>IFERROR(__xludf.DUMMYFUNCTION("GOOGLETRANSLATE(A4171,""en"",""hy"")"),"Ո՞րն է քացախաթթվի (քացախի) քիմիական բանաձևը:")</f>
        <v>Ո՞րն է քացախաթթվի (քացախի) քիմիական բանաձևը:</v>
      </c>
      <c r="D4171" s="6" t="str">
        <f>IFERROR(__xludf.DUMMYFUNCTION("GOOGLETRANSLATE(B4171,""en"",""hy"")"),"Քացախաթթվի (քացախի) քիմիական բանաձևը CH3COOH է:")</f>
        <v>Քացախաթթվի (քացախի) քիմիական բանաձևը CH3COOH է:</v>
      </c>
    </row>
    <row r="4172">
      <c r="A4172" s="5" t="s">
        <v>7760</v>
      </c>
      <c r="B4172" s="5" t="s">
        <v>1016</v>
      </c>
      <c r="C4172" s="5" t="str">
        <f>IFERROR(__xludf.DUMMYFUNCTION("GOOGLETRANSLATE(A4172,""en"",""hy"")"),"Ո՞վ է գրել «Օթելլո» պիեսը։")</f>
        <v>Ո՞վ է գրել «Օթելլո» պիեսը։</v>
      </c>
      <c r="D4172" s="6" t="str">
        <f>IFERROR(__xludf.DUMMYFUNCTION("GOOGLETRANSLATE(B4172,""en"",""hy"")"),"Ուիլյամ Շեքսպիր.")</f>
        <v>Ուիլյամ Շեքսպիր.</v>
      </c>
    </row>
    <row r="4173">
      <c r="A4173" s="5" t="s">
        <v>7903</v>
      </c>
      <c r="B4173" s="5" t="s">
        <v>5204</v>
      </c>
      <c r="C4173" s="5" t="str">
        <f>IFERROR(__xludf.DUMMYFUNCTION("GOOGLETRANSLATE(A4173,""en"",""hy"")"),"Ո՞րն է Մեքսիկայի մայրաքաղաքը:")</f>
        <v>Ո՞րն է Մեքսիկայի մայրաքաղաքը:</v>
      </c>
      <c r="D4173" s="6" t="str">
        <f>IFERROR(__xludf.DUMMYFUNCTION("GOOGLETRANSLATE(B4173,""en"",""hy"")"),"Մեխիկո Սիթի")</f>
        <v>Մեխիկո Սիթի</v>
      </c>
    </row>
    <row r="4174">
      <c r="A4174" s="5" t="s">
        <v>7522</v>
      </c>
      <c r="B4174" s="5" t="s">
        <v>7680</v>
      </c>
      <c r="C4174" s="5" t="str">
        <f>IFERROR(__xludf.DUMMYFUNCTION("GOOGLETRANSLATE(A4174,""en"",""hy"")"),"Ո՞րն է Չինաստանի արժույթը:")</f>
        <v>Ո՞րն է Չինաստանի արժույթը:</v>
      </c>
      <c r="D4174" s="6" t="str">
        <f>IFERROR(__xludf.DUMMYFUNCTION("GOOGLETRANSLATE(B4174,""en"",""hy"")"),"Չինաստանի արժույթը չինական յուանն է։")</f>
        <v>Չինաստանի արժույթը չինական յուանն է։</v>
      </c>
    </row>
    <row r="4175">
      <c r="A4175" s="5" t="s">
        <v>7904</v>
      </c>
      <c r="B4175" s="5" t="s">
        <v>7905</v>
      </c>
      <c r="C4175" s="5" t="str">
        <f>IFERROR(__xludf.DUMMYFUNCTION("GOOGLETRANSLATE(A4175,""en"",""hy"")"),"Ո՞վ է նկարել «Գիշերային պահակը»:")</f>
        <v>Ո՞վ է նկարել «Գիշերային պահակը»:</v>
      </c>
      <c r="D4175" s="6" t="str">
        <f>IFERROR(__xludf.DUMMYFUNCTION("GOOGLETRANSLATE(B4175,""en"",""hy"")"),"Ռեմբրանդտը։")</f>
        <v>Ռեմբրանդտը։</v>
      </c>
    </row>
    <row r="4176">
      <c r="A4176" s="5" t="s">
        <v>7738</v>
      </c>
      <c r="B4176" s="5" t="s">
        <v>7739</v>
      </c>
      <c r="C4176" s="5" t="str">
        <f>IFERROR(__xludf.DUMMYFUNCTION("GOOGLETRANSLATE(A4176,""en"",""hy"")"),"Ո՞րն է կալցիումի քիմիական նշանը:")</f>
        <v>Ո՞րն է կալցիումի քիմիական նշանը:</v>
      </c>
      <c r="D4176" s="6" t="str">
        <f>IFERROR(__xludf.DUMMYFUNCTION("GOOGLETRANSLATE(B4176,""en"",""hy"")"),"Կալցիումի քիմիական նշանը Ca է:")</f>
        <v>Կալցիումի քիմիական նշանը Ca է:</v>
      </c>
    </row>
    <row r="4177">
      <c r="A4177" s="5" t="s">
        <v>7730</v>
      </c>
      <c r="B4177" s="5" t="s">
        <v>7906</v>
      </c>
      <c r="C4177" s="5" t="str">
        <f>IFERROR(__xludf.DUMMYFUNCTION("GOOGLETRANSLATE(A4177,""en"",""hy"")"),"Ո՞վ է «Նարնիայի քրոնիկները» գրքի հեղինակը։")</f>
        <v>Ո՞վ է «Նարնիայի քրոնիկները» գրքի հեղինակը։</v>
      </c>
      <c r="D4177" s="6" t="str">
        <f>IFERROR(__xludf.DUMMYFUNCTION("GOOGLETRANSLATE(B4177,""en"",""hy"")"),"C.S. Լյուիս.")</f>
        <v>C.S. Լյուիս.</v>
      </c>
    </row>
    <row r="4178">
      <c r="A4178" s="5" t="s">
        <v>7608</v>
      </c>
      <c r="B4178" s="5" t="s">
        <v>7907</v>
      </c>
      <c r="C4178" s="5" t="str">
        <f>IFERROR(__xludf.DUMMYFUNCTION("GOOGLETRANSLATE(A4178,""en"",""hy"")"),"Ո՞րն է Հնդկաստանի մայրաքաղաքը:")</f>
        <v>Ո՞րն է Հնդկաստանի մայրաքաղաքը:</v>
      </c>
      <c r="D4178" s="6" t="str">
        <f>IFERROR(__xludf.DUMMYFUNCTION("GOOGLETRANSLATE(B4178,""en"",""hy"")"),"Նյու Դելի")</f>
        <v>Նյու Դելի</v>
      </c>
    </row>
    <row r="4179">
      <c r="A4179" s="5" t="s">
        <v>7908</v>
      </c>
      <c r="B4179" s="5" t="s">
        <v>7909</v>
      </c>
      <c r="C4179" s="5" t="str">
        <f>IFERROR(__xludf.DUMMYFUNCTION("GOOGLETRANSLATE(A4179,""en"",""hy"")"),"Ո՞րն է Իտալիայի արժույթը:")</f>
        <v>Ո՞րն է Իտալիայի արժույթը:</v>
      </c>
      <c r="D4179" s="6" t="str">
        <f>IFERROR(__xludf.DUMMYFUNCTION("GOOGLETRANSLATE(B4179,""en"",""hy"")"),"Իտալիայի արժույթը եվրոն է։")</f>
        <v>Իտալիայի արժույթը եվրոն է։</v>
      </c>
    </row>
    <row r="4180">
      <c r="A4180" s="5" t="s">
        <v>7910</v>
      </c>
      <c r="B4180" s="5" t="s">
        <v>7911</v>
      </c>
      <c r="C4180" s="5" t="str">
        <f>IFERROR(__xludf.DUMMYFUNCTION("GOOGLETRANSLATE(A4180,""en"",""hy"")"),"Ո՞վ է նկարել «Աթենքի դպրոցը»:")</f>
        <v>Ո՞վ է նկարել «Աթենքի դպրոցը»:</v>
      </c>
      <c r="D4180" s="6" t="str">
        <f>IFERROR(__xludf.DUMMYFUNCTION("GOOGLETRANSLATE(B4180,""en"",""hy"")"),"Ռաֆայել")</f>
        <v>Ռաֆայել</v>
      </c>
    </row>
    <row r="4181">
      <c r="A4181" s="5" t="s">
        <v>7632</v>
      </c>
      <c r="B4181" s="5" t="s">
        <v>7912</v>
      </c>
      <c r="C4181" s="5" t="str">
        <f>IFERROR(__xludf.DUMMYFUNCTION("GOOGLETRANSLATE(A4181,""en"",""hy"")"),"Ո՞րն է մեր արեգակնային համակարգի ամենամեծ մոլորակը:")</f>
        <v>Ո՞րն է մեր արեգակնային համակարգի ամենամեծ մոլորակը:</v>
      </c>
      <c r="D4181" s="6" t="str">
        <f>IFERROR(__xludf.DUMMYFUNCTION("GOOGLETRANSLATE(B4181,""en"",""hy"")"),"Յուպիտեր")</f>
        <v>Յուպիտեր</v>
      </c>
    </row>
    <row r="4182">
      <c r="A4182" s="5" t="s">
        <v>7447</v>
      </c>
      <c r="B4182" s="5" t="s">
        <v>7828</v>
      </c>
      <c r="C4182" s="5" t="str">
        <f>IFERROR(__xludf.DUMMYFUNCTION("GOOGLETRANSLATE(A4182,""en"",""hy"")"),"Ո՞վ է նկարել Մոնա Լիզան:")</f>
        <v>Ո՞վ է նկարել Մոնա Լիզան:</v>
      </c>
      <c r="D4182" s="6" t="str">
        <f>IFERROR(__xludf.DUMMYFUNCTION("GOOGLETRANSLATE(B4182,""en"",""hy"")"),"Լեոնարդո դա Վինչի")</f>
        <v>Լեոնարդո դա Վինչի</v>
      </c>
    </row>
    <row r="4183">
      <c r="A4183" s="5" t="s">
        <v>7450</v>
      </c>
      <c r="B4183" s="5" t="s">
        <v>7451</v>
      </c>
      <c r="C4183" s="5" t="str">
        <f>IFERROR(__xludf.DUMMYFUNCTION("GOOGLETRANSLATE(A4183,""en"",""hy"")"),"Ո՞րն է Ավստրալիայի մայրաքաղաքը:")</f>
        <v>Ո՞րն է Ավստրալիայի մայրաքաղաքը:</v>
      </c>
      <c r="D4183" s="6" t="str">
        <f>IFERROR(__xludf.DUMMYFUNCTION("GOOGLETRANSLATE(B4183,""en"",""hy"")"),"Կանբերա.")</f>
        <v>Կանբերա.</v>
      </c>
    </row>
    <row r="4184">
      <c r="A4184" s="5" t="s">
        <v>7452</v>
      </c>
      <c r="B4184" s="5" t="s">
        <v>7631</v>
      </c>
      <c r="C4184" s="5" t="str">
        <f>IFERROR(__xludf.DUMMYFUNCTION("GOOGLETRANSLATE(A4184,""en"",""hy"")"),"Ո՞րն է ոսկու քիմիական նշանը:")</f>
        <v>Ո՞րն է ոսկու քիմիական նշանը:</v>
      </c>
      <c r="D4184" s="6" t="str">
        <f>IFERROR(__xludf.DUMMYFUNCTION("GOOGLETRANSLATE(B4184,""en"",""hy"")"),"Ավ")</f>
        <v>Ավ</v>
      </c>
    </row>
    <row r="4185">
      <c r="A4185" s="5" t="s">
        <v>7463</v>
      </c>
      <c r="B4185" s="5" t="s">
        <v>7464</v>
      </c>
      <c r="C4185" s="5" t="str">
        <f>IFERROR(__xludf.DUMMYFUNCTION("GOOGLETRANSLATE(A4185,""en"",""hy"")"),"Ո՞րն է աշխարհի ամենաբարձր լեռը:")</f>
        <v>Ո՞րն է աշխարհի ամենաբարձր լեռը:</v>
      </c>
      <c r="D4185" s="6" t="str">
        <f>IFERROR(__xludf.DUMMYFUNCTION("GOOGLETRANSLATE(B4185,""en"",""hy"")"),"Էվերեստ լեռ.")</f>
        <v>Էվերեստ լեռ.</v>
      </c>
    </row>
    <row r="4186">
      <c r="A4186" s="5" t="s">
        <v>7698</v>
      </c>
      <c r="B4186" s="5" t="s">
        <v>7466</v>
      </c>
      <c r="C4186" s="5" t="str">
        <f>IFERROR(__xludf.DUMMYFUNCTION("GOOGLETRANSLATE(A4186,""en"",""hy"")"),"Ո՞վ է գրել «Հպարտություն և նախապաշարմունք» վեպը:")</f>
        <v>Ո՞վ է գրել «Հպարտություն և նախապաշարմունք» վեպը:</v>
      </c>
      <c r="D4186" s="6" t="str">
        <f>IFERROR(__xludf.DUMMYFUNCTION("GOOGLETRANSLATE(B4186,""en"",""hy"")"),"Ջեյն Օսթին")</f>
        <v>Ջեյն Օսթին</v>
      </c>
    </row>
    <row r="4187">
      <c r="A4187" s="5" t="s">
        <v>7913</v>
      </c>
      <c r="B4187" s="5" t="s">
        <v>7914</v>
      </c>
      <c r="C4187" s="5" t="str">
        <f>IFERROR(__xludf.DUMMYFUNCTION("GOOGLETRANSLATE(A4187,""en"",""hy"")"),"Ի՞նչ է կոչվում այն ​​գործընթացը, որով բույսերը արևի լույսը վերածում են էներգիայի:")</f>
        <v>Ի՞նչ է կոչվում այն ​​գործընթացը, որով բույսերը արևի լույսը վերածում են էներգիայի:</v>
      </c>
      <c r="D4187" s="6" t="str">
        <f>IFERROR(__xludf.DUMMYFUNCTION("GOOGLETRANSLATE(B4187,""en"",""hy"")"),"Ֆոտոսինթեզ.")</f>
        <v>Ֆոտոսինթեզ.</v>
      </c>
    </row>
    <row r="4188">
      <c r="A4188" s="5" t="s">
        <v>7915</v>
      </c>
      <c r="B4188" s="5" t="s">
        <v>7916</v>
      </c>
      <c r="C4188" s="5" t="str">
        <f>IFERROR(__xludf.DUMMYFUNCTION("GOOGLETRANSLATE(A4188,""en"",""hy"")"),"Քանի՞ ոսկոր կա մարդու մարմնում:")</f>
        <v>Քանի՞ ոսկոր կա մարդու մարմնում:</v>
      </c>
      <c r="D4188" s="6" t="str">
        <f>IFERROR(__xludf.DUMMYFUNCTION("GOOGLETRANSLATE(B4188,""en"",""hy"")"),"Մարդու մարմնում կա 206 ոսկոր։")</f>
        <v>Մարդու մարմնում կա 206 ոսկոր։</v>
      </c>
    </row>
    <row r="4189">
      <c r="A4189" s="5" t="s">
        <v>7455</v>
      </c>
      <c r="B4189" s="5" t="s">
        <v>7646</v>
      </c>
      <c r="C4189" s="5" t="str">
        <f>IFERROR(__xludf.DUMMYFUNCTION("GOOGLETRANSLATE(A4189,""en"",""hy"")"),"Ո՞րն է աշխարհի ամենամեծ օվկիանոսը:")</f>
        <v>Ո՞րն է աշխարհի ամենամեծ օվկիանոսը:</v>
      </c>
      <c r="D4189" s="6" t="str">
        <f>IFERROR(__xludf.DUMMYFUNCTION("GOOGLETRANSLATE(B4189,""en"",""hy"")"),"Խաղաղ օվկիանոս.")</f>
        <v>Խաղաղ օվկիանոս.</v>
      </c>
    </row>
    <row r="4190">
      <c r="A4190" s="5" t="s">
        <v>7852</v>
      </c>
      <c r="B4190" s="5" t="s">
        <v>7853</v>
      </c>
      <c r="C4190" s="5" t="str">
        <f>IFERROR(__xludf.DUMMYFUNCTION("GOOGLETRANSLATE(A4190,""en"",""hy"")"),"Ո՞վ է ներկայիս Անգլիայի թագուհին:")</f>
        <v>Ո՞վ է ներկայիս Անգլիայի թագուհին:</v>
      </c>
      <c r="D4190" s="6" t="str">
        <f>IFERROR(__xludf.DUMMYFUNCTION("GOOGLETRANSLATE(B4190,""en"",""hy"")"),"Եղիսաբեթ II թագուհին.")</f>
        <v>Եղիսաբեթ II թագուհին.</v>
      </c>
    </row>
    <row r="4191">
      <c r="A4191" s="5" t="s">
        <v>7917</v>
      </c>
      <c r="B4191" s="5" t="s">
        <v>7918</v>
      </c>
      <c r="C4191" s="5" t="str">
        <f>IFERROR(__xludf.DUMMYFUNCTION("GOOGLETRANSLATE(A4191,""en"",""hy"")"),"Ինչպե՞ս է կոչվում բույսերի ուսումնասիրությունը:")</f>
        <v>Ինչպե՞ս է կոչվում բույսերի ուսումնասիրությունը:</v>
      </c>
      <c r="D4191" s="6" t="str">
        <f>IFERROR(__xludf.DUMMYFUNCTION("GOOGLETRANSLATE(B4191,""en"",""hy"")"),"Բուսաբանություն.")</f>
        <v>Բուսաբանություն.</v>
      </c>
    </row>
    <row r="4192">
      <c r="A4192" s="5" t="s">
        <v>7919</v>
      </c>
      <c r="B4192" s="5" t="s">
        <v>7556</v>
      </c>
      <c r="C4192" s="5" t="str">
        <f>IFERROR(__xludf.DUMMYFUNCTION("GOOGLETRANSLATE(A4192,""en"",""hy"")"),"Ո՞վ է հայտնաբերել հարաբերականության տեսությունը:")</f>
        <v>Ո՞վ է հայտնաբերել հարաբերականության տեսությունը:</v>
      </c>
      <c r="D4192" s="6" t="str">
        <f>IFERROR(__xludf.DUMMYFUNCTION("GOOGLETRANSLATE(B4192,""en"",""hy"")"),"Albert Einstein.")</f>
        <v>Albert Einstein.</v>
      </c>
    </row>
    <row r="4193">
      <c r="A4193" s="5" t="s">
        <v>7920</v>
      </c>
      <c r="B4193" s="5" t="s">
        <v>7921</v>
      </c>
      <c r="C4193" s="5" t="str">
        <f>IFERROR(__xludf.DUMMYFUNCTION("GOOGLETRANSLATE(A4193,""en"",""hy"")"),"Ո՞ր երկրում է գտնվում Թաջ Մահալը:")</f>
        <v>Ո՞ր երկրում է գտնվում Թաջ Մահալը:</v>
      </c>
      <c r="D4193" s="6" t="str">
        <f>IFERROR(__xludf.DUMMYFUNCTION("GOOGLETRANSLATE(B4193,""en"",""hy"")"),"Հնդկաստան.")</f>
        <v>Հնդկաստան.</v>
      </c>
    </row>
    <row r="4194">
      <c r="A4194" s="5" t="s">
        <v>7922</v>
      </c>
      <c r="B4194" s="5" t="s">
        <v>7923</v>
      </c>
      <c r="C4194" s="5" t="str">
        <f>IFERROR(__xludf.DUMMYFUNCTION("GOOGLETRANSLATE(A4194,""en"",""hy"")"),"Ո՞րն է Բրազիլիայում խոսվող հիմնական լեզուն:")</f>
        <v>Ո՞րն է Բրազիլիայում խոսվող հիմնական լեզուն:</v>
      </c>
      <c r="D4194" s="6" t="str">
        <f>IFERROR(__xludf.DUMMYFUNCTION("GOOGLETRANSLATE(B4194,""en"",""hy"")"),"Բրազիլիայում խոսվող հիմնական լեզուն պորտուգալերենն է։")</f>
        <v>Բրազիլիայում խոսվող հիմնական լեզուն պորտուգալերենն է։</v>
      </c>
    </row>
    <row r="4195">
      <c r="A4195" s="5" t="s">
        <v>7779</v>
      </c>
      <c r="B4195" s="5" t="s">
        <v>7446</v>
      </c>
      <c r="C4195" s="5" t="str">
        <f>IFERROR(__xludf.DUMMYFUNCTION("GOOGLETRANSLATE(A4195,""en"",""hy"")"),"Ո՞ր մոլորակն է հայտնի որպես «Կարմիր մոլորակ»:")</f>
        <v>Ո՞ր մոլորակն է հայտնի որպես «Կարմիր մոլորակ»:</v>
      </c>
      <c r="D4195" s="6" t="str">
        <f>IFERROR(__xludf.DUMMYFUNCTION("GOOGLETRANSLATE(B4195,""en"",""hy"")"),"Մարս.")</f>
        <v>Մարս.</v>
      </c>
    </row>
    <row r="4196">
      <c r="A4196" s="5" t="s">
        <v>7924</v>
      </c>
      <c r="B4196" s="5" t="s">
        <v>7878</v>
      </c>
      <c r="C4196" s="5" t="str">
        <f>IFERROR(__xludf.DUMMYFUNCTION("GOOGLETRANSLATE(A4196,""en"",""hy"")"),"Ո՞վ է նկարել Սիքստինյան կապելլայի առաստաղի հայտնի որմնանկարը:")</f>
        <v>Ո՞վ է նկարել Սիքստինյան կապելլայի առաստաղի հայտնի որմնանկարը:</v>
      </c>
      <c r="D4196" s="6" t="str">
        <f>IFERROR(__xludf.DUMMYFUNCTION("GOOGLETRANSLATE(B4196,""en"",""hy"")"),"Միքելանջելո")</f>
        <v>Միքելանջելո</v>
      </c>
    </row>
    <row r="4197">
      <c r="A4197" s="5" t="s">
        <v>7461</v>
      </c>
      <c r="B4197" s="5" t="s">
        <v>7639</v>
      </c>
      <c r="C4197" s="5" t="str">
        <f>IFERROR(__xludf.DUMMYFUNCTION("GOOGLETRANSLATE(A4197,""en"",""hy"")"),"Ո՞րն է մարդու մարմնի ամենամեծ օրգանը:")</f>
        <v>Ո՞րն է մարդու մարմնի ամենամեծ օրգանը:</v>
      </c>
      <c r="D4197" s="6" t="str">
        <f>IFERROR(__xludf.DUMMYFUNCTION("GOOGLETRANSLATE(B4197,""en"",""hy"")"),"Մարդու մարմնի ամենամեծ օրգանը մաշկն է։")</f>
        <v>Մարդու մարմնի ամենամեծ օրգանը մաշկն է։</v>
      </c>
    </row>
    <row r="4198">
      <c r="A4198" s="5" t="s">
        <v>7925</v>
      </c>
      <c r="B4198" s="5" t="s">
        <v>7673</v>
      </c>
      <c r="C4198" s="5" t="str">
        <f>IFERROR(__xludf.DUMMYFUNCTION("GOOGLETRANSLATE(A4198,""en"",""hy"")"),"Ո՞ր երկիրն է հայտնի աշխարհում ամենաշատ սուրճ արտադրողով.")</f>
        <v>Ո՞ր երկիրն է հայտնի աշխարհում ամենաշատ սուրճ արտադրողով.</v>
      </c>
      <c r="D4198" s="6" t="str">
        <f>IFERROR(__xludf.DUMMYFUNCTION("GOOGLETRANSLATE(B4198,""en"",""hy"")"),"Բրազիլիա.")</f>
        <v>Բրազիլիա.</v>
      </c>
    </row>
    <row r="4199">
      <c r="A4199" s="5" t="s">
        <v>7926</v>
      </c>
      <c r="B4199" s="5" t="s">
        <v>7635</v>
      </c>
      <c r="C4199" s="5" t="str">
        <f>IFERROR(__xludf.DUMMYFUNCTION("GOOGLETRANSLATE(A4199,""en"",""hy"")"),"Ո՞վ էր առաջին մարդը, ով քայլեց լուսնի վրա:")</f>
        <v>Ո՞վ էր առաջին մարդը, ով քայլեց լուսնի վրա:</v>
      </c>
      <c r="D4199" s="6" t="str">
        <f>IFERROR(__xludf.DUMMYFUNCTION("GOOGLETRANSLATE(B4199,""en"",""hy"")"),"Նիլ Արմսթրոնգ.")</f>
        <v>Նիլ Արմսթրոնգ.</v>
      </c>
    </row>
    <row r="4200">
      <c r="A4200" s="5" t="s">
        <v>7592</v>
      </c>
      <c r="B4200" s="5" t="s">
        <v>7593</v>
      </c>
      <c r="C4200" s="5" t="str">
        <f>IFERROR(__xludf.DUMMYFUNCTION("GOOGLETRANSLATE(A4200,""en"",""hy"")"),"Ո՞րն է թթվածնի քիմիական նշանը:")</f>
        <v>Ո՞րն է թթվածնի քիմիական նշանը:</v>
      </c>
      <c r="D4200" s="6" t="str">
        <f>IFERROR(__xludf.DUMMYFUNCTION("GOOGLETRANSLATE(B4200,""en"",""hy"")"),"Թթվածնի քիմիական նշանը O է:")</f>
        <v>Թթվածնի քիմիական նշանը O է:</v>
      </c>
    </row>
    <row r="4201">
      <c r="A4201" s="5" t="s">
        <v>7927</v>
      </c>
      <c r="B4201" s="5" t="s">
        <v>7928</v>
      </c>
      <c r="C4201" s="5" t="str">
        <f>IFERROR(__xludf.DUMMYFUNCTION("GOOGLETRANSLATE(A4201,""en"",""hy"")"),"Քանի՞ խաղացող կա բասկետբոլի թիմում:")</f>
        <v>Քանի՞ խաղացող կա բասկետբոլի թիմում:</v>
      </c>
      <c r="D4201" s="6" t="str">
        <f>IFERROR(__xludf.DUMMYFUNCTION("GOOGLETRANSLATE(B4201,""en"",""hy"")"),"Բասկետբոլի թիմում հինգ խաղացող կա:")</f>
        <v>Բասկետբոլի թիմում հինգ խաղացող կա:</v>
      </c>
    </row>
    <row r="4202">
      <c r="A4202" s="5" t="s">
        <v>7461</v>
      </c>
      <c r="B4202" s="5" t="s">
        <v>7462</v>
      </c>
      <c r="C4202" s="5" t="str">
        <f>IFERROR(__xludf.DUMMYFUNCTION("GOOGLETRANSLATE(A4202,""en"",""hy"")"),"Ո՞րն է մարդու մարմնի ամենամեծ օրգանը:")</f>
        <v>Ո՞րն է մարդու մարմնի ամենամեծ օրգանը:</v>
      </c>
      <c r="D4202" s="6" t="str">
        <f>IFERROR(__xludf.DUMMYFUNCTION("GOOGLETRANSLATE(B4202,""en"",""hy"")"),"Մաշկը.")</f>
        <v>Մաշկը.</v>
      </c>
    </row>
    <row r="4203">
      <c r="A4203" s="5" t="s">
        <v>7640</v>
      </c>
      <c r="B4203" s="5" t="s">
        <v>1016</v>
      </c>
      <c r="C4203" s="5" t="str">
        <f>IFERROR(__xludf.DUMMYFUNCTION("GOOGLETRANSLATE(A4203,""en"",""hy"")"),"Ո՞վ է գրել «Ռոմեո և Ջուլիետ» պիեսը:")</f>
        <v>Ո՞վ է գրել «Ռոմեո և Ջուլիետ» պիեսը:</v>
      </c>
      <c r="D4203" s="6" t="str">
        <f>IFERROR(__xludf.DUMMYFUNCTION("GOOGLETRANSLATE(B4203,""en"",""hy"")"),"Ուիլյամ Շեքսպիր.")</f>
        <v>Ուիլյամ Շեքսպիր.</v>
      </c>
    </row>
    <row r="4204">
      <c r="A4204" s="5" t="s">
        <v>7506</v>
      </c>
      <c r="B4204" s="5" t="s">
        <v>7507</v>
      </c>
      <c r="C4204" s="5" t="str">
        <f>IFERROR(__xludf.DUMMYFUNCTION("GOOGLETRANSLATE(A4204,""en"",""hy"")"),"Ո՞րն է աշխարհի ամենափոքր երկիրը:")</f>
        <v>Ո՞րն է աշխարհի ամենափոքր երկիրը:</v>
      </c>
      <c r="D4204" s="6" t="str">
        <f>IFERROR(__xludf.DUMMYFUNCTION("GOOGLETRANSLATE(B4204,""en"",""hy"")"),"Քաղաք Վատիկան.")</f>
        <v>Քաղաք Վատիկան.</v>
      </c>
    </row>
    <row r="4205">
      <c r="A4205" s="5" t="s">
        <v>7929</v>
      </c>
      <c r="B4205" s="5" t="s">
        <v>7930</v>
      </c>
      <c r="C4205" s="5" t="str">
        <f>IFERROR(__xludf.DUMMYFUNCTION("GOOGLETRANSLATE(A4205,""en"",""hy"")"),"Որքա՞ն է լույսի արագությունը վակուումում:")</f>
        <v>Որքա՞ն է լույսի արագությունը վակուումում:</v>
      </c>
      <c r="D4205" s="6" t="str">
        <f>IFERROR(__xludf.DUMMYFUNCTION("GOOGLETRANSLATE(B4205,""en"",""hy"")"),"Լույսի արագությունը վակուումում մոտավորապես 299792 կիլոմետր է վայրկյանում։")</f>
        <v>Լույսի արագությունը վակուումում մոտավորապես 299792 կիլոմետր է վայրկյանում։</v>
      </c>
    </row>
    <row r="4206">
      <c r="A4206" s="5" t="s">
        <v>7931</v>
      </c>
      <c r="B4206" s="5" t="s">
        <v>7648</v>
      </c>
      <c r="C4206" s="5" t="str">
        <f>IFERROR(__xludf.DUMMYFUNCTION("GOOGLETRANSLATE(A4206,""en"",""hy"")"),"Ո՞վ է նկարել «Աստղային գիշերը»:")</f>
        <v>Ո՞վ է նկարել «Աստղային գիշերը»:</v>
      </c>
      <c r="D4206" s="6" t="str">
        <f>IFERROR(__xludf.DUMMYFUNCTION("GOOGLETRANSLATE(B4206,""en"",""hy"")"),"Վինսենթ վան Գոգ.")</f>
        <v>Վինսենթ վան Գոգ.</v>
      </c>
    </row>
    <row r="4207">
      <c r="A4207" s="5" t="s">
        <v>7780</v>
      </c>
      <c r="B4207" s="5" t="s">
        <v>7643</v>
      </c>
      <c r="C4207" s="5" t="str">
        <f>IFERROR(__xludf.DUMMYFUNCTION("GOOGLETRANSLATE(A4207,""en"",""hy"")"),"Ո՞րն է Կանադայի մայրաքաղաքը:")</f>
        <v>Ո՞րն է Կանադայի մայրաքաղաքը:</v>
      </c>
      <c r="D4207" s="6" t="str">
        <f>IFERROR(__xludf.DUMMYFUNCTION("GOOGLETRANSLATE(B4207,""en"",""hy"")"),"Օտտավա")</f>
        <v>Օտտավա</v>
      </c>
    </row>
    <row r="4208">
      <c r="A4208" s="5" t="s">
        <v>7932</v>
      </c>
      <c r="B4208" s="5" t="s">
        <v>7933</v>
      </c>
      <c r="C4208" s="5" t="str">
        <f>IFERROR(__xludf.DUMMYFUNCTION("GOOGLETRANSLATE(A4208,""en"",""hy"")"),"Քանի՞ խցիկ կա մարդու սրտում:")</f>
        <v>Քանի՞ խցիկ կա մարդու սրտում:</v>
      </c>
      <c r="D4208" s="6" t="str">
        <f>IFERROR(__xludf.DUMMYFUNCTION("GOOGLETRANSLATE(B4208,""en"",""hy"")"),"Մարդու սրտում չորս պալատ կա.")</f>
        <v>Մարդու սրտում չորս պալատ կա.</v>
      </c>
    </row>
    <row r="4209">
      <c r="A4209" s="5" t="s">
        <v>7566</v>
      </c>
      <c r="B4209" s="5" t="s">
        <v>7934</v>
      </c>
      <c r="C4209" s="5" t="str">
        <f>IFERROR(__xludf.DUMMYFUNCTION("GOOGLETRANSLATE(A4209,""en"",""hy"")"),"Ո՞վ է Կանադայի ներկայիս վարչապետը:")</f>
        <v>Ո՞վ է Կանադայի ներկայիս վարչապետը:</v>
      </c>
      <c r="D4209" s="6" t="str">
        <f>IFERROR(__xludf.DUMMYFUNCTION("GOOGLETRANSLATE(B4209,""en"",""hy"")"),"Ջասթին Թրյուդո.")</f>
        <v>Ջասթին Թրյուդո.</v>
      </c>
    </row>
    <row r="4210">
      <c r="A4210" s="5" t="s">
        <v>7935</v>
      </c>
      <c r="B4210" s="5" t="s">
        <v>7936</v>
      </c>
      <c r="C4210" s="5" t="str">
        <f>IFERROR(__xludf.DUMMYFUNCTION("GOOGLETRANSLATE(A4210,""en"",""hy"")"),"Ո՞ր կենդանին է հայտնի որպես «ջունգլիների արքա»:")</f>
        <v>Ո՞ր կենդանին է հայտնի որպես «ջունգլիների արքա»:</v>
      </c>
      <c r="D4210" s="6" t="str">
        <f>IFERROR(__xludf.DUMMYFUNCTION("GOOGLETRANSLATE(B4210,""en"",""hy"")"),"Առյուծը.")</f>
        <v>Առյուծը.</v>
      </c>
    </row>
    <row r="4211">
      <c r="A4211" s="5" t="s">
        <v>7937</v>
      </c>
      <c r="B4211" s="5" t="s">
        <v>7938</v>
      </c>
      <c r="C4211" s="5" t="str">
        <f>IFERROR(__xludf.DUMMYFUNCTION("GOOGLETRANSLATE(A4211,""en"",""hy"")"),"Ո՞րն է Ճապոնիայում խոսվող հիմնական լեզուն:")</f>
        <v>Ո՞րն է Ճապոնիայում խոսվող հիմնական լեզուն:</v>
      </c>
      <c r="D4211" s="6" t="str">
        <f>IFERROR(__xludf.DUMMYFUNCTION("GOOGLETRANSLATE(B4211,""en"",""hy"")"),"ճապոներեն.")</f>
        <v>ճապոներեն.</v>
      </c>
    </row>
    <row r="4212">
      <c r="A4212" s="5" t="s">
        <v>7557</v>
      </c>
      <c r="B4212" s="5" t="s">
        <v>7558</v>
      </c>
      <c r="C4212" s="5" t="str">
        <f>IFERROR(__xludf.DUMMYFUNCTION("GOOGLETRANSLATE(A4212,""en"",""hy"")"),"Ո՞րն է երկաթի քիմիական նշանը:")</f>
        <v>Ո՞րն է երկաթի քիմիական նշանը:</v>
      </c>
      <c r="D4212" s="6" t="str">
        <f>IFERROR(__xludf.DUMMYFUNCTION("GOOGLETRANSLATE(B4212,""en"",""hy"")"),"Ֆե")</f>
        <v>Ֆե</v>
      </c>
    </row>
    <row r="4213">
      <c r="A4213" s="5" t="s">
        <v>7939</v>
      </c>
      <c r="B4213" s="5" t="s">
        <v>7940</v>
      </c>
      <c r="C4213" s="5" t="str">
        <f>IFERROR(__xludf.DUMMYFUNCTION("GOOGLETRANSLATE(A4213,""en"",""hy"")"),"Քանի՞ մայրցամաք կա աշխարհում:")</f>
        <v>Քանի՞ մայրցամաք կա աշխարհում:</v>
      </c>
      <c r="D4213" s="6" t="str">
        <f>IFERROR(__xludf.DUMMYFUNCTION("GOOGLETRANSLATE(B4213,""en"",""hy"")"),"Աշխարհում կան յոթ մայրցամաքներ։")</f>
        <v>Աշխարհում կան յոթ մայրցամաքներ։</v>
      </c>
    </row>
    <row r="4214">
      <c r="A4214" s="5" t="s">
        <v>7773</v>
      </c>
      <c r="B4214" s="5" t="s">
        <v>7941</v>
      </c>
      <c r="C4214" s="5" t="str">
        <f>IFERROR(__xludf.DUMMYFUNCTION("GOOGLETRANSLATE(A4214,""en"",""hy"")"),"Ո՞վ է հայտնաբերել պենիցիլինը:")</f>
        <v>Ո՞վ է հայտնաբերել պենիցիլինը:</v>
      </c>
      <c r="D4214" s="6" t="str">
        <f>IFERROR(__xludf.DUMMYFUNCTION("GOOGLETRANSLATE(B4214,""en"",""hy"")"),"Ալեքսանդր Ֆլեմինգ")</f>
        <v>Ալեքսանդր Ֆլեմինգ</v>
      </c>
    </row>
    <row r="4215">
      <c r="A4215" s="5" t="s">
        <v>7942</v>
      </c>
      <c r="B4215" s="5" t="s">
        <v>7943</v>
      </c>
      <c r="C4215" s="5" t="str">
        <f>IFERROR(__xludf.DUMMYFUNCTION("GOOGLETRANSLATE(A4215,""en"",""hy"")"),"Ո՞րն է մարդու մարմնի ամենամեծ մկանը:")</f>
        <v>Ո՞րն է մարդու մարմնի ամենամեծ մկանը:</v>
      </c>
      <c r="D4215" s="6" t="str">
        <f>IFERROR(__xludf.DUMMYFUNCTION("GOOGLETRANSLATE(B4215,""en"",""hy"")"),"Մարդու մարմնի ամենամեծ մկանը gluteus maximus-ն է:")</f>
        <v>Մարդու մարմնի ամենամեծ մկանը gluteus maximus-ն է:</v>
      </c>
    </row>
    <row r="4216">
      <c r="A4216" s="5" t="s">
        <v>7552</v>
      </c>
      <c r="B4216" s="5" t="s">
        <v>7181</v>
      </c>
      <c r="C4216" s="5" t="str">
        <f>IFERROR(__xludf.DUMMYFUNCTION("GOOGLETRANSLATE(A4216,""en"",""hy"")"),"Ո՞ր երկիրն է հայտնի Մեծ արգելախութով:")</f>
        <v>Ո՞ր երկիրն է հայտնի Մեծ արգելախութով:</v>
      </c>
      <c r="D4216" s="6" t="str">
        <f>IFERROR(__xludf.DUMMYFUNCTION("GOOGLETRANSLATE(B4216,""en"",""hy"")"),"Ավստրալիա")</f>
        <v>Ավստրալիա</v>
      </c>
    </row>
    <row r="4217">
      <c r="A4217" s="5" t="s">
        <v>7849</v>
      </c>
      <c r="B4217" s="5" t="s">
        <v>7541</v>
      </c>
      <c r="C4217" s="5" t="str">
        <f>IFERROR(__xludf.DUMMYFUNCTION("GOOGLETRANSLATE(A4217,""en"",""hy"")"),"Ո՞վ է գրել «Սպանել ծաղրող թռչունին» վեպը:")</f>
        <v>Ո՞վ է գրել «Սպանել ծաղրող թռչունին» վեպը:</v>
      </c>
      <c r="D4217" s="6" t="str">
        <f>IFERROR(__xludf.DUMMYFUNCTION("GOOGLETRANSLATE(B4217,""en"",""hy"")"),"Հարփեր Լի.")</f>
        <v>Հարփեր Լի.</v>
      </c>
    </row>
    <row r="4218">
      <c r="A4218" s="5" t="s">
        <v>7469</v>
      </c>
      <c r="B4218" s="7">
        <v>1945.0</v>
      </c>
      <c r="C4218" s="5" t="str">
        <f>IFERROR(__xludf.DUMMYFUNCTION("GOOGLETRANSLATE(A4218,""en"",""hy"")"),"Ո՞ր տարում ավարտվեց Երկրորդ համաշխարհային պատերազմը:")</f>
        <v>Ո՞ր տարում ավարտվեց Երկրորդ համաշխարհային պատերազմը:</v>
      </c>
      <c r="D4218" s="6" t="str">
        <f>IFERROR(__xludf.DUMMYFUNCTION("GOOGLETRANSLATE(B4218,""en"",""hy"")"),"1945 թ")</f>
        <v>1945 թ</v>
      </c>
    </row>
    <row r="4219">
      <c r="A4219" s="5" t="s">
        <v>7944</v>
      </c>
      <c r="B4219" s="5" t="s">
        <v>7945</v>
      </c>
      <c r="C4219" s="5" t="str">
        <f>IFERROR(__xludf.DUMMYFUNCTION("GOOGLETRANSLATE(A4219,""en"",""hy"")"),"Ինչպե՞ս է կոչվում հեղուկի գազի վերածվելու գործընթացը:")</f>
        <v>Ինչպե՞ս է կոչվում հեղուկի գազի վերածվելու գործընթացը:</v>
      </c>
      <c r="D4219" s="6" t="str">
        <f>IFERROR(__xludf.DUMMYFUNCTION("GOOGLETRANSLATE(B4219,""en"",""hy"")"),"Հեղուկի գազի վերածվելու գործընթացը կոչվում է գոլորշիացում կամ գոլորշիացում:")</f>
        <v>Հեղուկի գազի վերածվելու գործընթացը կոչվում է գոլորշիացում կամ գոլորշիացում:</v>
      </c>
    </row>
    <row r="4220">
      <c r="A4220" s="5" t="s">
        <v>7858</v>
      </c>
      <c r="B4220" s="5" t="s">
        <v>7448</v>
      </c>
      <c r="C4220" s="5" t="str">
        <f>IFERROR(__xludf.DUMMYFUNCTION("GOOGLETRANSLATE(A4220,""en"",""hy"")"),"Ո՞վ է նկարել «Մոնա Լիզան»:")</f>
        <v>Ո՞վ է նկարել «Մոնա Լիզան»:</v>
      </c>
      <c r="D4220" s="6" t="str">
        <f>IFERROR(__xludf.DUMMYFUNCTION("GOOGLETRANSLATE(B4220,""en"",""hy"")"),"Լեոնարդո դա Վինչի.")</f>
        <v>Լեոնարդո դա Վինչի.</v>
      </c>
    </row>
    <row r="4221">
      <c r="A4221" s="5" t="s">
        <v>7500</v>
      </c>
      <c r="B4221" s="5" t="s">
        <v>7501</v>
      </c>
      <c r="C4221" s="5" t="str">
        <f>IFERROR(__xludf.DUMMYFUNCTION("GOOGLETRANSLATE(A4221,""en"",""hy"")"),"Ո՞րն է Ֆրանսիայի մայրաքաղաքը:")</f>
        <v>Ո՞րն է Ֆրանսիայի մայրաքաղաքը:</v>
      </c>
      <c r="D4221" s="6" t="str">
        <f>IFERROR(__xludf.DUMMYFUNCTION("GOOGLETRANSLATE(B4221,""en"",""hy"")"),"Փարիզ.")</f>
        <v>Փարիզ.</v>
      </c>
    </row>
    <row r="4222">
      <c r="A4222" s="5" t="s">
        <v>7665</v>
      </c>
      <c r="B4222" s="5" t="s">
        <v>7666</v>
      </c>
      <c r="C4222" s="5" t="str">
        <f>IFERROR(__xludf.DUMMYFUNCTION("GOOGLETRANSLATE(A4222,""en"",""hy"")"),"Ո՞րն է նատրիումի քիմիական նշանը:")</f>
        <v>Ո՞րն է նատրիումի քիմիական նշանը:</v>
      </c>
      <c r="D4222" s="6" t="str">
        <f>IFERROR(__xludf.DUMMYFUNCTION("GOOGLETRANSLATE(B4222,""en"",""hy"")"),"Նա")</f>
        <v>Նա</v>
      </c>
    </row>
    <row r="4223">
      <c r="A4223" s="5" t="s">
        <v>7946</v>
      </c>
      <c r="B4223" s="5" t="s">
        <v>7947</v>
      </c>
      <c r="C4223" s="5" t="str">
        <f>IFERROR(__xludf.DUMMYFUNCTION("GOOGLETRANSLATE(A4223,""en"",""hy"")"),"Քանի՞ խաղացող կա ֆուտբոլային թիմում:")</f>
        <v>Քանի՞ խաղացող կա ֆուտբոլային թիմում:</v>
      </c>
      <c r="D4223" s="6" t="str">
        <f>IFERROR(__xludf.DUMMYFUNCTION("GOOGLETRANSLATE(B4223,""en"",""hy"")"),"Ֆուտբոլային թիմում սովորաբար լինում է 11 խաղացող:")</f>
        <v>Ֆուտբոլային թիմում սովորաբար լինում է 11 խաղացող:</v>
      </c>
    </row>
    <row r="4224">
      <c r="A4224" s="5" t="s">
        <v>7854</v>
      </c>
      <c r="B4224" s="5" t="s">
        <v>7458</v>
      </c>
      <c r="C4224" s="5" t="str">
        <f>IFERROR(__xludf.DUMMYFUNCTION("GOOGLETRANSLATE(A4224,""en"",""hy"")"),"Ո՞վ էր Միացյալ Նահանգների առաջին նախագահը:")</f>
        <v>Ո՞վ էր Միացյալ Նահանգների առաջին նախագահը:</v>
      </c>
      <c r="D4224" s="6" t="str">
        <f>IFERROR(__xludf.DUMMYFUNCTION("GOOGLETRANSLATE(B4224,""en"",""hy"")"),"Ջորջ Վաշինգտոն.")</f>
        <v>Ջորջ Վաշինգտոն.</v>
      </c>
    </row>
    <row r="4225">
      <c r="A4225" s="5" t="s">
        <v>7513</v>
      </c>
      <c r="B4225" s="5" t="s">
        <v>7514</v>
      </c>
      <c r="C4225" s="5" t="str">
        <f>IFERROR(__xludf.DUMMYFUNCTION("GOOGLETRANSLATE(A4225,""en"",""hy"")"),"Ո՞րն է աշխարհի ամենամեծ անապատը:")</f>
        <v>Ո՞րն է աշխարհի ամենամեծ անապատը:</v>
      </c>
      <c r="D4225" s="6" t="str">
        <f>IFERROR(__xludf.DUMMYFUNCTION("GOOGLETRANSLATE(B4225,""en"",""hy"")"),"Աշխարհի ամենամեծ անապատը Սահարա անապատն է։")</f>
        <v>Աշխարհի ամենամեծ անապատը Սահարա անապատն է։</v>
      </c>
    </row>
    <row r="4226">
      <c r="A4226" s="5" t="s">
        <v>7683</v>
      </c>
      <c r="B4226" s="5" t="s">
        <v>1016</v>
      </c>
      <c r="C4226" s="5" t="str">
        <f>IFERROR(__xludf.DUMMYFUNCTION("GOOGLETRANSLATE(A4226,""en"",""hy"")"),"Ո՞վ է գրել «Համլետ» պիեսը։")</f>
        <v>Ո՞վ է գրել «Համլետ» պիեսը։</v>
      </c>
      <c r="D4226" s="6" t="str">
        <f>IFERROR(__xludf.DUMMYFUNCTION("GOOGLETRANSLATE(B4226,""en"",""hy"")"),"Ուիլյամ Շեքսպիր.")</f>
        <v>Ուիլյամ Շեքսպիր.</v>
      </c>
    </row>
    <row r="4227">
      <c r="A4227" s="5" t="s">
        <v>7948</v>
      </c>
      <c r="B4227" s="5" t="s">
        <v>2930</v>
      </c>
      <c r="C4227" s="5" t="str">
        <f>IFERROR(__xludf.DUMMYFUNCTION("GOOGLETRANSLATE(A4227,""en"",""hy"")"),"Ո՞րն է Ռուսաստանում խոսվող հիմնական լեզուն:")</f>
        <v>Ո՞րն է Ռուսաստանում խոսվող հիմնական լեզուն:</v>
      </c>
      <c r="D4227" s="6" t="str">
        <f>IFERROR(__xludf.DUMMYFUNCTION("GOOGLETRANSLATE(B4227,""en"",""hy"")"),"ռուսերեն.")</f>
        <v>ռուսերեն.</v>
      </c>
    </row>
    <row r="4228">
      <c r="A4228" s="5" t="s">
        <v>7699</v>
      </c>
      <c r="B4228" s="5" t="s">
        <v>7700</v>
      </c>
      <c r="C4228" s="5" t="str">
        <f>IFERROR(__xludf.DUMMYFUNCTION("GOOGLETRANSLATE(A4228,""en"",""hy"")"),"Ո՞րն է ածխածնի քիմիական նշանը:")</f>
        <v>Ո՞րն է ածխածնի քիմիական նշանը:</v>
      </c>
      <c r="D4228" s="6" t="str">
        <f>IFERROR(__xludf.DUMMYFUNCTION("GOOGLETRANSLATE(B4228,""en"",""hy"")"),"Ածխածնի քիմիական նշանը C է:")</f>
        <v>Ածխածնի քիմիական նշանը C է:</v>
      </c>
    </row>
    <row r="4229">
      <c r="A4229" s="5" t="s">
        <v>7949</v>
      </c>
      <c r="B4229" s="5" t="s">
        <v>7950</v>
      </c>
      <c r="C4229" s="5" t="str">
        <f>IFERROR(__xludf.DUMMYFUNCTION("GOOGLETRANSLATE(A4229,""en"",""hy"")"),"Քանի՞ ատամ ունի մեծահասակ մարդը:")</f>
        <v>Քանի՞ ատամ ունի մեծահասակ մարդը:</v>
      </c>
      <c r="D4229" s="6" t="str">
        <f>IFERROR(__xludf.DUMMYFUNCTION("GOOGLETRANSLATE(B4229,""en"",""hy"")"),"Մեծահասակ մարդը սովորաբար ունի 32 ատամ:")</f>
        <v>Մեծահասակ մարդը սովորաբար ունի 32 ատամ:</v>
      </c>
    </row>
    <row r="4230">
      <c r="A4230" s="5" t="s">
        <v>7805</v>
      </c>
      <c r="B4230" s="5" t="s">
        <v>7951</v>
      </c>
      <c r="C4230" s="5" t="str">
        <f>IFERROR(__xludf.DUMMYFUNCTION("GOOGLETRANSLATE(A4230,""en"",""hy"")"),"Ո՞ր մոլորակն է հայտնի որպես «Կապույտ մոլորակ»:")</f>
        <v>Ո՞ր մոլորակն է հայտնի որպես «Կապույտ մոլորակ»:</v>
      </c>
      <c r="D4230" s="6" t="str">
        <f>IFERROR(__xludf.DUMMYFUNCTION("GOOGLETRANSLATE(B4230,""en"",""hy"")"),"Երկիր")</f>
        <v>Երկիր</v>
      </c>
    </row>
    <row r="4231">
      <c r="A4231" s="5" t="s">
        <v>7952</v>
      </c>
      <c r="B4231" s="5" t="s">
        <v>7448</v>
      </c>
      <c r="C4231" s="5" t="str">
        <f>IFERROR(__xludf.DUMMYFUNCTION("GOOGLETRANSLATE(A4231,""en"",""hy"")"),"Ո՞վ է նկարել հայտնի «Վերջին ընթրիքը» կտավը:")</f>
        <v>Ո՞վ է նկարել հայտնի «Վերջին ընթրիքը» կտավը:</v>
      </c>
      <c r="D4231" s="6" t="str">
        <f>IFERROR(__xludf.DUMMYFUNCTION("GOOGLETRANSLATE(B4231,""en"",""hy"")"),"Լեոնարդո դա Վինչի.")</f>
        <v>Լեոնարդո դա Վինչի.</v>
      </c>
    </row>
    <row r="4232">
      <c r="A4232" s="5" t="s">
        <v>7953</v>
      </c>
      <c r="B4232" s="5" t="s">
        <v>7954</v>
      </c>
      <c r="C4232" s="5" t="str">
        <f>IFERROR(__xludf.DUMMYFUNCTION("GOOGLETRANSLATE(A4232,""en"",""hy"")"),"Ո՞րն է աշխարհի երկրորդ ամենամեծ երկիրը ցամաքային տարածքով:")</f>
        <v>Ո՞րն է աշխարհի երկրորդ ամենամեծ երկիրը ցամաքային տարածքով:</v>
      </c>
      <c r="D4232" s="6" t="str">
        <f>IFERROR(__xludf.DUMMYFUNCTION("GOOGLETRANSLATE(B4232,""en"",""hy"")"),"Կանադա")</f>
        <v>Կանադա</v>
      </c>
    </row>
    <row r="4233">
      <c r="A4233" s="5" t="s">
        <v>7955</v>
      </c>
      <c r="B4233" s="5" t="s">
        <v>7956</v>
      </c>
      <c r="C4233" s="5" t="str">
        <f>IFERROR(__xludf.DUMMYFUNCTION("GOOGLETRANSLATE(A4233,""en"",""hy"")"),"Ո՞վ է հայտնաբերել գրավիտացիան:")</f>
        <v>Ո՞վ է հայտնաբերել գրավիտացիան:</v>
      </c>
      <c r="D4233" s="6" t="str">
        <f>IFERROR(__xludf.DUMMYFUNCTION("GOOGLETRANSLATE(B4233,""en"",""hy"")"),"Իսահակ Նյուտոն.")</f>
        <v>Իսահակ Նյուտոն.</v>
      </c>
    </row>
    <row r="4234">
      <c r="A4234" s="5" t="s">
        <v>7957</v>
      </c>
      <c r="B4234" s="5" t="s">
        <v>2790</v>
      </c>
      <c r="C4234" s="5" t="str">
        <f>IFERROR(__xludf.DUMMYFUNCTION("GOOGLETRANSLATE(A4234,""en"",""hy"")"),"Ո՞ր երկրում է գտնվում Մեծ պարիսպը:")</f>
        <v>Ո՞ր երկրում է գտնվում Մեծ պարիսպը:</v>
      </c>
      <c r="D4234" s="6" t="str">
        <f>IFERROR(__xludf.DUMMYFUNCTION("GOOGLETRANSLATE(B4234,""en"",""hy"")"),"Չինաստան.")</f>
        <v>Չինաստան.</v>
      </c>
    </row>
    <row r="4235">
      <c r="A4235" s="5" t="s">
        <v>7958</v>
      </c>
      <c r="B4235" s="5" t="s">
        <v>4928</v>
      </c>
      <c r="C4235" s="5" t="str">
        <f>IFERROR(__xludf.DUMMYFUNCTION("GOOGLETRANSLATE(A4235,""en"",""hy"")"),"Ո՞րն է Գերմանիայում խոսվող հիմնական լեզուն:")</f>
        <v>Ո՞րն է Գերմանիայում խոսվող հիմնական լեզուն:</v>
      </c>
      <c r="D4235" s="6" t="str">
        <f>IFERROR(__xludf.DUMMYFUNCTION("GOOGLETRANSLATE(B4235,""en"",""hy"")"),"գերմաներեն.")</f>
        <v>գերմաներեն.</v>
      </c>
    </row>
    <row r="4236">
      <c r="A4236" s="5" t="s">
        <v>7959</v>
      </c>
      <c r="B4236" s="5" t="s">
        <v>7496</v>
      </c>
      <c r="C4236" s="5" t="str">
        <f>IFERROR(__xludf.DUMMYFUNCTION("GOOGLETRANSLATE(A4236,""en"",""hy"")"),"Ո՞ր մոլորակն է հայտնի օղակների համակարգով:")</f>
        <v>Ո՞ր մոլորակն է հայտնի օղակների համակարգով:</v>
      </c>
      <c r="D4236" s="6" t="str">
        <f>IFERROR(__xludf.DUMMYFUNCTION("GOOGLETRANSLATE(B4236,""en"",""hy"")"),"Սատուրն.")</f>
        <v>Սատուրն.</v>
      </c>
    </row>
    <row r="4237">
      <c r="A4237" s="5" t="s">
        <v>7443</v>
      </c>
      <c r="B4237" s="5" t="s">
        <v>7444</v>
      </c>
      <c r="C4237" s="5" t="str">
        <f>IFERROR(__xludf.DUMMYFUNCTION("GOOGLETRANSLATE(A4237,""en"",""hy"")"),"Ո՞վ է գրել «1984» վեպը։")</f>
        <v>Ո՞վ է գրել «1984» վեպը։</v>
      </c>
      <c r="D4237" s="6" t="str">
        <f>IFERROR(__xludf.DUMMYFUNCTION("GOOGLETRANSLATE(B4237,""en"",""hy"")"),"Ջորջ Օրուել.")</f>
        <v>Ջորջ Օրուել.</v>
      </c>
    </row>
    <row r="4238">
      <c r="A4238" s="5" t="s">
        <v>7960</v>
      </c>
      <c r="B4238" s="5" t="s">
        <v>7961</v>
      </c>
      <c r="C4238" s="5" t="str">
        <f>IFERROR(__xludf.DUMMYFUNCTION("GOOGLETRANSLATE(A4238,""en"",""hy"")"),"Ո՞ր տարում է խորտակվել Տիտանիկը:")</f>
        <v>Ո՞ր տարում է խորտակվել Տիտանիկը:</v>
      </c>
      <c r="D4238" s="6" t="str">
        <f>IFERROR(__xludf.DUMMYFUNCTION("GOOGLETRANSLATE(B4238,""en"",""hy"")"),"Տիտանիկը խորտակվել է 1912 թվականին։")</f>
        <v>Տիտանիկը խորտակվել է 1912 թվականին։</v>
      </c>
    </row>
    <row r="4239">
      <c r="A4239" s="5" t="s">
        <v>7962</v>
      </c>
      <c r="B4239" s="5" t="s">
        <v>7914</v>
      </c>
      <c r="C4239" s="5" t="str">
        <f>IFERROR(__xludf.DUMMYFUNCTION("GOOGLETRANSLATE(A4239,""en"",""hy"")"),"Ինչպե՞ս է կոչվում բույսերի ածխաթթու գազը թթվածնի վերածելու գործընթացը:")</f>
        <v>Ինչպե՞ս է կոչվում բույսերի ածխաթթու գազը թթվածնի վերածելու գործընթացը:</v>
      </c>
      <c r="D4239" s="6" t="str">
        <f>IFERROR(__xludf.DUMMYFUNCTION("GOOGLETRANSLATE(B4239,""en"",""hy"")"),"Ֆոտոսինթեզ.")</f>
        <v>Ֆոտոսինթեզ.</v>
      </c>
    </row>
    <row r="4240">
      <c r="A4240" s="5" t="s">
        <v>7963</v>
      </c>
      <c r="B4240" s="5" t="s">
        <v>7878</v>
      </c>
      <c r="C4240" s="5" t="str">
        <f>IFERROR(__xludf.DUMMYFUNCTION("GOOGLETRANSLATE(A4240,""en"",""hy"")"),"Ո՞վ է նկարել «Սիքստինյան կապելլան»:")</f>
        <v>Ո՞վ է նկարել «Սիքստինյան կապելլան»:</v>
      </c>
      <c r="D4240" s="6" t="str">
        <f>IFERROR(__xludf.DUMMYFUNCTION("GOOGLETRANSLATE(B4240,""en"",""hy"")"),"Միքելանջելո")</f>
        <v>Միքելանջելո</v>
      </c>
    </row>
    <row r="4241">
      <c r="A4241" s="5" t="s">
        <v>7589</v>
      </c>
      <c r="B4241" s="5" t="s">
        <v>7545</v>
      </c>
      <c r="C4241" s="5" t="str">
        <f>IFERROR(__xludf.DUMMYFUNCTION("GOOGLETRANSLATE(A4241,""en"",""hy"")"),"Ո՞րն է Իտալիայի մայրաքաղաքը:")</f>
        <v>Ո՞րն է Իտալիայի մայրաքաղաքը:</v>
      </c>
      <c r="D4241" s="6" t="str">
        <f>IFERROR(__xludf.DUMMYFUNCTION("GOOGLETRANSLATE(B4241,""en"",""hy"")"),"Հռոմ.")</f>
        <v>Հռոմ.</v>
      </c>
    </row>
    <row r="4242">
      <c r="A4242" s="5" t="s">
        <v>7509</v>
      </c>
      <c r="B4242" s="5" t="s">
        <v>7684</v>
      </c>
      <c r="C4242" s="5" t="str">
        <f>IFERROR(__xludf.DUMMYFUNCTION("GOOGLETRANSLATE(A4242,""en"",""hy"")"),"Ո՞րն է արծաթի քիմիական նշանը:")</f>
        <v>Ո՞րն է արծաթի քիմիական նշանը:</v>
      </c>
      <c r="D4242" s="6" t="str">
        <f>IFERROR(__xludf.DUMMYFUNCTION("GOOGLETRANSLATE(B4242,""en"",""hy"")"),"Արծաթի քիմիական խորհրդանիշն է Ag.")</f>
        <v>Արծաթի քիմիական խորհրդանիշն է Ag.</v>
      </c>
    </row>
    <row r="4243">
      <c r="A4243" s="5" t="s">
        <v>7964</v>
      </c>
      <c r="B4243" s="5" t="s">
        <v>7965</v>
      </c>
      <c r="C4243" s="5" t="str">
        <f>IFERROR(__xludf.DUMMYFUNCTION("GOOGLETRANSLATE(A4243,""en"",""hy"")"),"Քանի՞ խաղացող կա բեյսբոլի թիմում:")</f>
        <v>Քանի՞ խաղացող կա բեյսբոլի թիմում:</v>
      </c>
      <c r="D4243" s="6" t="str">
        <f>IFERROR(__xludf.DUMMYFUNCTION("GOOGLETRANSLATE(B4243,""en"",""hy"")"),"Բեյսբոլի թիմում 9 խաղացող կա։")</f>
        <v>Բեյսբոլի թիմում 9 խաղացող կա։</v>
      </c>
    </row>
    <row r="4244">
      <c r="A4244" s="5" t="s">
        <v>7966</v>
      </c>
      <c r="B4244" s="5" t="s">
        <v>7967</v>
      </c>
      <c r="C4244" s="5" t="str">
        <f>IFERROR(__xludf.DUMMYFUNCTION("GOOGLETRANSLATE(A4244,""en"",""hy"")"),"Ո՞վ է եղել առաջին կինը, ով Նոբելյան մրցանակ է ստացել:")</f>
        <v>Ո՞վ է եղել առաջին կինը, ով Նոբելյան մրցանակ է ստացել:</v>
      </c>
      <c r="D4244" s="6" t="str">
        <f>IFERROR(__xludf.DUMMYFUNCTION("GOOGLETRANSLATE(B4244,""en"",""hy"")"),"Մարի Կյուրի.")</f>
        <v>Մարի Կյուրի.</v>
      </c>
    </row>
    <row r="4245">
      <c r="A4245" s="5" t="s">
        <v>7526</v>
      </c>
      <c r="B4245" s="5" t="s">
        <v>7527</v>
      </c>
      <c r="C4245" s="5" t="str">
        <f>IFERROR(__xludf.DUMMYFUNCTION("GOOGLETRANSLATE(A4245,""en"",""hy"")"),"Ո՞րն է աշխարհի ամենամեծ կղզին:")</f>
        <v>Ո՞րն է աշխարհի ամենամեծ կղզին:</v>
      </c>
      <c r="D4245" s="6" t="str">
        <f>IFERROR(__xludf.DUMMYFUNCTION("GOOGLETRANSLATE(B4245,""en"",""hy"")"),"Գրենլանդիա.")</f>
        <v>Գրենլանդիա.</v>
      </c>
    </row>
    <row r="4246">
      <c r="A4246" s="5" t="s">
        <v>7890</v>
      </c>
      <c r="B4246" s="5" t="s">
        <v>7661</v>
      </c>
      <c r="C4246" s="5" t="str">
        <f>IFERROR(__xludf.DUMMYFUNCTION("GOOGLETRANSLATE(A4246,""en"",""hy"")"),"Ո՞վ է գրել «Մեծն Գեթսբի» վեպը:")</f>
        <v>Ո՞վ է գրել «Մեծն Գեթսբի» վեպը:</v>
      </c>
      <c r="D4246" s="6" t="str">
        <f>IFERROR(__xludf.DUMMYFUNCTION("GOOGLETRANSLATE(B4246,""en"",""hy"")"),"F. Scott Fitzgerald.")</f>
        <v>F. Scott Fitzgerald.</v>
      </c>
    </row>
    <row r="4247">
      <c r="A4247" s="5" t="s">
        <v>7968</v>
      </c>
      <c r="B4247" s="5" t="s">
        <v>831</v>
      </c>
      <c r="C4247" s="5" t="str">
        <f>IFERROR(__xludf.DUMMYFUNCTION("GOOGLETRANSLATE(A4247,""en"",""hy"")"),"Ո՞րն է Չինաստանում խոսվող հիմնական լեզուն:")</f>
        <v>Ո՞րն է Չինաստանում խոսվող հիմնական լեզուն:</v>
      </c>
      <c r="D4247" s="6" t="str">
        <f>IFERROR(__xludf.DUMMYFUNCTION("GOOGLETRANSLATE(B4247,""en"",""hy"")"),"Մանդարին չինարեն.")</f>
        <v>Մանդարին չինարեն.</v>
      </c>
    </row>
    <row r="4248">
      <c r="A4248" s="5" t="s">
        <v>7761</v>
      </c>
      <c r="B4248" s="5" t="s">
        <v>7762</v>
      </c>
      <c r="C4248" s="5" t="str">
        <f>IFERROR(__xludf.DUMMYFUNCTION("GOOGLETRANSLATE(A4248,""en"",""hy"")"),"Ո՞րն է ջրածնի քիմիական նշանը:")</f>
        <v>Ո՞րն է ջրածնի քիմիական նշանը:</v>
      </c>
      <c r="D4248" s="6" t="str">
        <f>IFERROR(__xludf.DUMMYFUNCTION("GOOGLETRANSLATE(B4248,""en"",""hy"")"),"Հ")</f>
        <v>Հ</v>
      </c>
    </row>
    <row r="4249">
      <c r="A4249" s="5" t="s">
        <v>7969</v>
      </c>
      <c r="B4249" s="5" t="s">
        <v>7970</v>
      </c>
      <c r="C4249" s="5" t="str">
        <f>IFERROR(__xludf.DUMMYFUNCTION("GOOGLETRANSLATE(A4249,""en"",""hy"")"),"Քանի՞ ոսկոր կա մարդու գանգում:")</f>
        <v>Քանի՞ ոսկոր կա մարդու գանգում:</v>
      </c>
      <c r="D4249" s="6" t="str">
        <f>IFERROR(__xludf.DUMMYFUNCTION("GOOGLETRANSLATE(B4249,""en"",""hy"")"),"Մարդու գանգում կա 22 ոսկոր։")</f>
        <v>Մարդու գանգում կա 22 ոսկոր։</v>
      </c>
    </row>
    <row r="4250">
      <c r="A4250" s="5" t="s">
        <v>7971</v>
      </c>
      <c r="B4250" s="5" t="s">
        <v>7972</v>
      </c>
      <c r="C4250" s="5" t="str">
        <f>IFERROR(__xludf.DUMMYFUNCTION("GOOGLETRANSLATE(A4250,""en"",""hy"")"),"Ո՞ր երկիրն է հայտնի Էյֆելյան աշտարակով:")</f>
        <v>Ո՞ր երկիրն է հայտնի Էյֆելյան աշտարակով:</v>
      </c>
      <c r="D4250" s="6" t="str">
        <f>IFERROR(__xludf.DUMMYFUNCTION("GOOGLETRANSLATE(B4250,""en"",""hy"")"),"Ֆրանսիա.")</f>
        <v>Ֆրանսիա.</v>
      </c>
    </row>
    <row r="4251">
      <c r="A4251" s="5" t="s">
        <v>7726</v>
      </c>
      <c r="B4251" s="5" t="s">
        <v>1016</v>
      </c>
      <c r="C4251" s="5" t="str">
        <f>IFERROR(__xludf.DUMMYFUNCTION("GOOGLETRANSLATE(A4251,""en"",""hy"")"),"Ո՞վ է գրել «Մակբեթ» պիեսը։")</f>
        <v>Ո՞վ է գրել «Մակբեթ» պիեսը։</v>
      </c>
      <c r="D4251" s="6" t="str">
        <f>IFERROR(__xludf.DUMMYFUNCTION("GOOGLETRANSLATE(B4251,""en"",""hy"")"),"Ուիլյամ Շեքսպիր.")</f>
        <v>Ուիլյամ Շեքսպիր.</v>
      </c>
    </row>
    <row r="4252">
      <c r="A4252" s="5" t="s">
        <v>7973</v>
      </c>
      <c r="B4252" s="5" t="s">
        <v>7974</v>
      </c>
      <c r="C4252" s="5" t="str">
        <f>IFERROR(__xludf.DUMMYFUNCTION("GOOGLETRANSLATE(A4252,""en"",""hy"")"),"Ո՞րն է աշխարհի ամենափոքր օվկիանոսը:")</f>
        <v>Ո՞րն է աշխարհի ամենափոքր օվկիանոսը:</v>
      </c>
      <c r="D4252" s="6" t="str">
        <f>IFERROR(__xludf.DUMMYFUNCTION("GOOGLETRANSLATE(B4252,""en"",""hy"")"),"Աշխարհի ամենափոքր օվկիանոսը Հյուսիսային Սառուցյալ օվկիանոսն է:")</f>
        <v>Աշխարհի ամենափոքր օվկիանոսը Հյուսիսային Սառուցյալ օվկիանոսն է:</v>
      </c>
    </row>
    <row r="4253">
      <c r="A4253" s="5" t="s">
        <v>7975</v>
      </c>
      <c r="B4253" s="5" t="s">
        <v>7976</v>
      </c>
      <c r="C4253" s="5" t="str">
        <f>IFERROR(__xludf.DUMMYFUNCTION("GOOGLETRANSLATE(A4253,""en"",""hy"")"),"Ո՞ր թվականին է սկսվել Առաջին համաշխարհային պատերազմը:")</f>
        <v>Ո՞ր թվականին է սկսվել Առաջին համաշխարհային պատերազմը:</v>
      </c>
      <c r="D4253" s="6" t="str">
        <f>IFERROR(__xludf.DUMMYFUNCTION("GOOGLETRANSLATE(B4253,""en"",""hy"")"),"Առաջին համաշխարհային պատերազմը սկսվել է 1914 թ.")</f>
        <v>Առաջին համաշխարհային պատերազմը սկսվել է 1914 թ.</v>
      </c>
    </row>
    <row r="4254">
      <c r="A4254" s="5" t="s">
        <v>7977</v>
      </c>
      <c r="B4254" s="5" t="s">
        <v>7914</v>
      </c>
      <c r="C4254" s="5" t="str">
        <f>IFERROR(__xludf.DUMMYFUNCTION("GOOGLETRANSLATE(A4254,""en"",""hy"")"),"Ի՞նչ է կոչվում բույսերի ջուրը թթվածնի և գլյուկոզայի փոխակերպման գործընթացը:")</f>
        <v>Ի՞նչ է կոչվում բույսերի ջուրը թթվածնի և գլյուկոզայի փոխակերպման գործընթացը:</v>
      </c>
      <c r="D4254" s="6" t="str">
        <f>IFERROR(__xludf.DUMMYFUNCTION("GOOGLETRANSLATE(B4254,""en"",""hy"")"),"Ֆոտոսինթեզ.")</f>
        <v>Ֆոտոսինթեզ.</v>
      </c>
    </row>
    <row r="4255">
      <c r="A4255" s="5" t="s">
        <v>7978</v>
      </c>
      <c r="B4255" s="5" t="s">
        <v>7549</v>
      </c>
      <c r="C4255" s="5" t="str">
        <f>IFERROR(__xludf.DUMMYFUNCTION("GOOGLETRANSLATE(A4255,""en"",""hy"")"),"Ո՞վ է նկարել «Մարգարտյա ականջօղով աղջիկը».")</f>
        <v>Ո՞վ է նկարել «Մարգարտյա ականջօղով աղջիկը».</v>
      </c>
      <c r="D4255" s="6" t="str">
        <f>IFERROR(__xludf.DUMMYFUNCTION("GOOGLETRANSLATE(B4255,""en"",""hy"")"),"Յոհաննես Վերմեեր.")</f>
        <v>Յոհաննես Վերմեեր.</v>
      </c>
    </row>
    <row r="4256">
      <c r="A4256" s="5" t="s">
        <v>7626</v>
      </c>
      <c r="B4256" s="5" t="s">
        <v>6980</v>
      </c>
      <c r="C4256" s="5" t="str">
        <f>IFERROR(__xludf.DUMMYFUNCTION("GOOGLETRANSLATE(A4256,""en"",""hy"")"),"Ո՞րն է Գերմանիայի մայրաքաղաքը:")</f>
        <v>Ո՞րն է Գերմանիայի մայրաքաղաքը:</v>
      </c>
      <c r="D4256" s="6" t="str">
        <f>IFERROR(__xludf.DUMMYFUNCTION("GOOGLETRANSLATE(B4256,""en"",""hy"")"),"Բեռլին")</f>
        <v>Բեռլին</v>
      </c>
    </row>
    <row r="4257">
      <c r="A4257" s="5" t="s">
        <v>7809</v>
      </c>
      <c r="B4257" s="5" t="s">
        <v>7810</v>
      </c>
      <c r="C4257" s="5" t="str">
        <f>IFERROR(__xludf.DUMMYFUNCTION("GOOGLETRANSLATE(A4257,""en"",""hy"")"),"Ո՞րն է հելիումի քիմիական նշանը:")</f>
        <v>Ո՞րն է հելիումի քիմիական նշանը:</v>
      </c>
      <c r="D4257" s="6" t="str">
        <f>IFERROR(__xludf.DUMMYFUNCTION("GOOGLETRANSLATE(B4257,""en"",""hy"")"),"Նա")</f>
        <v>Նա</v>
      </c>
    </row>
    <row r="4258">
      <c r="A4258" s="5" t="s">
        <v>7979</v>
      </c>
      <c r="B4258" s="5" t="s">
        <v>7980</v>
      </c>
      <c r="C4258" s="5" t="str">
        <f>IFERROR(__xludf.DUMMYFUNCTION("GOOGLETRANSLATE(A4258,""en"",""hy"")"),"Քանի՞ խաղացող կա հոկեյի թիմում:")</f>
        <v>Քանի՞ խաղացող կա հոկեյի թիմում:</v>
      </c>
      <c r="D4258" s="6" t="str">
        <f>IFERROR(__xludf.DUMMYFUNCTION("GOOGLETRANSLATE(B4258,""en"",""hy"")"),"Հոկեյի թիմում սովորաբար վեց խաղացող կա:")</f>
        <v>Հոկեյի թիմում սովորաբար վեց խաղացող կա:</v>
      </c>
    </row>
    <row r="4259">
      <c r="A4259" s="5" t="s">
        <v>7981</v>
      </c>
      <c r="B4259" s="5" t="s">
        <v>7982</v>
      </c>
      <c r="C4259" s="5" t="str">
        <f>IFERROR(__xludf.DUMMYFUNCTION("GOOGLETRANSLATE(A4259,""en"",""hy"")"),"Ո՞վ էր առաջին մարդը, ով հասավ Հյուսիսային բևեռ:")</f>
        <v>Ո՞վ էր առաջին մարդը, ով հասավ Հյուսիսային բևեռ:</v>
      </c>
      <c r="D4259" s="6" t="str">
        <f>IFERROR(__xludf.DUMMYFUNCTION("GOOGLETRANSLATE(B4259,""en"",""hy"")"),"Ռոբերտ Փիրի.")</f>
        <v>Ռոբերտ Փիրի.</v>
      </c>
    </row>
    <row r="4260">
      <c r="A4260" s="5" t="s">
        <v>7983</v>
      </c>
      <c r="B4260" s="5" t="s">
        <v>7984</v>
      </c>
      <c r="C4260" s="5" t="str">
        <f>IFERROR(__xludf.DUMMYFUNCTION("GOOGLETRANSLATE(A4260,""en"",""hy"")"),"Ո՞րն է աշխարհի ամենամեծ անձրևային անտառը:")</f>
        <v>Ո՞րն է աշխարհի ամենամեծ անձրևային անտառը:</v>
      </c>
      <c r="D4260" s="6" t="str">
        <f>IFERROR(__xludf.DUMMYFUNCTION("GOOGLETRANSLATE(B4260,""en"",""hy"")"),"Ամազոնի անձրևային անտառը.")</f>
        <v>Ամազոնի անձրևային անտառը.</v>
      </c>
    </row>
    <row r="4261">
      <c r="A4261" s="5" t="s">
        <v>7737</v>
      </c>
      <c r="B4261" s="5" t="s">
        <v>7560</v>
      </c>
      <c r="C4261" s="5" t="str">
        <f>IFERROR(__xludf.DUMMYFUNCTION("GOOGLETRANSLATE(A4261,""en"",""hy"")"),"Ո՞վ է գրել «Շորայի մեջ բռնողը» վեպը:")</f>
        <v>Ո՞վ է գրել «Շորայի մեջ բռնողը» վեպը:</v>
      </c>
      <c r="D4261" s="6" t="str">
        <f>IFERROR(__xludf.DUMMYFUNCTION("GOOGLETRANSLATE(B4261,""en"",""hy"")"),"Ջ.Դ.Սելինջեր.")</f>
        <v>Ջ.Դ.Սելինջեր.</v>
      </c>
    </row>
    <row r="4262">
      <c r="A4262" s="5" t="s">
        <v>7985</v>
      </c>
      <c r="B4262" s="5" t="s">
        <v>7986</v>
      </c>
      <c r="C4262" s="5" t="str">
        <f>IFERROR(__xludf.DUMMYFUNCTION("GOOGLETRANSLATE(A4262,""en"",""hy"")"),"Ո՞րն է Հնդկաստանում խոսվող հիմնական լեզուն:")</f>
        <v>Ո՞րն է Հնդկաստանում խոսվող հիմնական լեզուն:</v>
      </c>
      <c r="D4262" s="6" t="str">
        <f>IFERROR(__xludf.DUMMYFUNCTION("GOOGLETRANSLATE(B4262,""en"",""hy"")"),"հինդի.")</f>
        <v>հինդի.</v>
      </c>
    </row>
    <row r="4263">
      <c r="A4263" s="5" t="s">
        <v>7987</v>
      </c>
      <c r="B4263" s="5" t="s">
        <v>7633</v>
      </c>
      <c r="C4263" s="5" t="str">
        <f>IFERROR(__xludf.DUMMYFUNCTION("GOOGLETRANSLATE(A4263,""en"",""hy"")"),"Ո՞ր մոլորակն է հայտնի որպես «Հսկա»:")</f>
        <v>Ո՞ր մոլորակն է հայտնի որպես «Հսկա»:</v>
      </c>
      <c r="D4263" s="6" t="str">
        <f>IFERROR(__xludf.DUMMYFUNCTION("GOOGLETRANSLATE(B4263,""en"",""hy"")"),"Յուպիտեր.")</f>
        <v>Յուպիտեր.</v>
      </c>
    </row>
    <row r="4264">
      <c r="A4264" s="5" t="s">
        <v>7988</v>
      </c>
      <c r="B4264" s="5" t="s">
        <v>7710</v>
      </c>
      <c r="C4264" s="5" t="str">
        <f>IFERROR(__xludf.DUMMYFUNCTION("GOOGLETRANSLATE(A4264,""en"",""hy"")"),"Ո՞վ է նկարել հայտնի «Գերնիկա» կտավը:")</f>
        <v>Ո՞վ է նկարել հայտնի «Գերնիկա» կտավը:</v>
      </c>
      <c r="D4264" s="6" t="str">
        <f>IFERROR(__xludf.DUMMYFUNCTION("GOOGLETRANSLATE(B4264,""en"",""hy"")"),"Պաբլո Պիկասո.")</f>
        <v>Պաբլո Պիկասո.</v>
      </c>
    </row>
    <row r="4265">
      <c r="A4265" s="5" t="s">
        <v>7989</v>
      </c>
      <c r="B4265" s="5" t="s">
        <v>7990</v>
      </c>
      <c r="C4265" s="5" t="str">
        <f>IFERROR(__xludf.DUMMYFUNCTION("GOOGLETRANSLATE(A4265,""en"",""hy"")"),"Ո՞րն է աշխարհում ամենամեծ օվկիանոսը:")</f>
        <v>Ո՞րն է աշխարհում ամենամեծ օվկիանոսը:</v>
      </c>
      <c r="D4265" s="6" t="str">
        <f>IFERROR(__xludf.DUMMYFUNCTION("GOOGLETRANSLATE(B4265,""en"",""hy"")"),"Աշխարհի երկրորդ ամենամեծ օվկիանոսը Ատլանտյան օվկիանոսն է։")</f>
        <v>Աշխարհի երկրորդ ամենամեծ օվկիանոսը Ատլանտյան օվկիանոսն է։</v>
      </c>
    </row>
    <row r="4266">
      <c r="A4266" s="5" t="s">
        <v>7850</v>
      </c>
      <c r="B4266" s="5" t="s">
        <v>7991</v>
      </c>
      <c r="C4266" s="5" t="str">
        <f>IFERROR(__xludf.DUMMYFUNCTION("GOOGLETRANSLATE(A4266,""en"",""hy"")"),"Ո՞րն է մեր արեգակնային համակարգի ամենափոքր մոլորակը:")</f>
        <v>Ո՞րն է մեր արեգակնային համակարգի ամենափոքր մոլորակը:</v>
      </c>
      <c r="D4266" s="6" t="str">
        <f>IFERROR(__xludf.DUMMYFUNCTION("GOOGLETRANSLATE(B4266,""en"",""hy"")"),"Մերկուրի")</f>
        <v>Մերկուրի</v>
      </c>
    </row>
    <row r="4267">
      <c r="A4267" s="5" t="s">
        <v>7992</v>
      </c>
      <c r="B4267" s="5" t="s">
        <v>7607</v>
      </c>
      <c r="C4267" s="5" t="str">
        <f>IFERROR(__xludf.DUMMYFUNCTION("GOOGLETRANSLATE(A4267,""en"",""hy"")"),"Ո՞վ է հայտնաբերել էվոլյուցիայի տեսությունը:")</f>
        <v>Ո՞վ է հայտնաբերել էվոլյուցիայի տեսությունը:</v>
      </c>
      <c r="D4267" s="6" t="str">
        <f>IFERROR(__xludf.DUMMYFUNCTION("GOOGLETRANSLATE(B4267,""en"",""hy"")"),"Չարլզ Դարվին.")</f>
        <v>Չարլզ Դարվին.</v>
      </c>
    </row>
    <row r="4268">
      <c r="A4268" s="5" t="s">
        <v>7993</v>
      </c>
      <c r="B4268" s="5" t="s">
        <v>7994</v>
      </c>
      <c r="C4268" s="5" t="str">
        <f>IFERROR(__xludf.DUMMYFUNCTION("GOOGLETRANSLATE(A4268,""en"",""hy"")"),"Ո՞ր երկրում է գտնվում Ազատության արձանը:")</f>
        <v>Ո՞ր երկրում է գտնվում Ազատության արձանը:</v>
      </c>
      <c r="D4268" s="6" t="str">
        <f>IFERROR(__xludf.DUMMYFUNCTION("GOOGLETRANSLATE(B4268,""en"",""hy"")"),"Ազատության արձանը գտնվում է ԱՄՆ-ում։")</f>
        <v>Ազատության արձանը գտնվում է ԱՄՆ-ում։</v>
      </c>
    </row>
    <row r="4269">
      <c r="A4269" s="5" t="s">
        <v>7995</v>
      </c>
      <c r="B4269" s="5" t="s">
        <v>3894</v>
      </c>
      <c r="C4269" s="5" t="str">
        <f>IFERROR(__xludf.DUMMYFUNCTION("GOOGLETRANSLATE(A4269,""en"",""hy"")"),"Ո՞րն է Իտալիայում խոսվող հիմնական լեզուն:")</f>
        <v>Ո՞րն է Իտալիայում խոսվող հիմնական լեզուն:</v>
      </c>
      <c r="D4269" s="6" t="str">
        <f>IFERROR(__xludf.DUMMYFUNCTION("GOOGLETRANSLATE(B4269,""en"",""hy"")"),"Իտալական.")</f>
        <v>Իտալական.</v>
      </c>
    </row>
    <row r="4270">
      <c r="A4270" s="5" t="s">
        <v>7875</v>
      </c>
      <c r="B4270" s="5" t="s">
        <v>7876</v>
      </c>
      <c r="C4270" s="5" t="str">
        <f>IFERROR(__xludf.DUMMYFUNCTION("GOOGLETRANSLATE(A4270,""en"",""hy"")"),"Ո՞րն է ազոտի քիմիական նշանը:")</f>
        <v>Ո՞րն է ազոտի քիմիական նշանը:</v>
      </c>
      <c r="D4270" s="6" t="str">
        <f>IFERROR(__xludf.DUMMYFUNCTION("GOOGLETRANSLATE(B4270,""en"",""hy"")"),"Ազոտի քիմիական նշանն է N.")</f>
        <v>Ազոտի քիմիական նշանն է N.</v>
      </c>
    </row>
    <row r="4271">
      <c r="A4271" s="5" t="s">
        <v>7996</v>
      </c>
      <c r="B4271" s="5" t="s">
        <v>7997</v>
      </c>
      <c r="C4271" s="5" t="str">
        <f>IFERROR(__xludf.DUMMYFUNCTION("GOOGLETRANSLATE(A4271,""en"",""hy"")"),"Քանի՞ խաղացող կա վոլեյբոլի թիմում:")</f>
        <v>Քանի՞ խաղացող կա վոլեյբոլի թիմում:</v>
      </c>
      <c r="D4271" s="6" t="str">
        <f>IFERROR(__xludf.DUMMYFUNCTION("GOOGLETRANSLATE(B4271,""en"",""hy"")"),"Վոլեյբոլի թիմում վեց խաղացող կա:")</f>
        <v>Վոլեյբոլի թիմում վեց խաղացող կա:</v>
      </c>
    </row>
    <row r="4272">
      <c r="A4272" s="5" t="s">
        <v>7998</v>
      </c>
      <c r="B4272" s="5" t="s">
        <v>7999</v>
      </c>
      <c r="C4272" s="5" t="str">
        <f>IFERROR(__xludf.DUMMYFUNCTION("GOOGLETRANSLATE(A4272,""en"",""hy"")"),"Ո՞վ էր առաջին կինը, ով արժանացավ ֆիզիկայի Նոբելյան մրցանակի:")</f>
        <v>Ո՞վ էր առաջին կինը, ով արժանացավ ֆիզիկայի Նոբելյան մրցանակի:</v>
      </c>
      <c r="D4272" s="6" t="str">
        <f>IFERROR(__xludf.DUMMYFUNCTION("GOOGLETRANSLATE(B4272,""en"",""hy"")"),"Մարի Կյուրի")</f>
        <v>Մարի Կյուրի</v>
      </c>
    </row>
    <row r="4273">
      <c r="A4273" s="5" t="s">
        <v>8000</v>
      </c>
      <c r="B4273" s="5" t="s">
        <v>8001</v>
      </c>
      <c r="C4273" s="5" t="str">
        <f>IFERROR(__xludf.DUMMYFUNCTION("GOOGLETRANSLATE(A4273,""en"",""hy"")"),"Ո՞րն է աշխարհի ամենամեծ թերակղզին:")</f>
        <v>Ո՞րն է աշխարհի ամենամեծ թերակղզին:</v>
      </c>
      <c r="D4273" s="6" t="str">
        <f>IFERROR(__xludf.DUMMYFUNCTION("GOOGLETRANSLATE(B4273,""en"",""hy"")"),"Աշխարհի ամենամեծ թերակղզին Արաբական թերակղզին է։")</f>
        <v>Աշխարհի ամենամեծ թերակղզին Արաբական թերակղզին է։</v>
      </c>
    </row>
    <row r="4274">
      <c r="A4274" s="5" t="s">
        <v>8002</v>
      </c>
      <c r="B4274" s="5" t="s">
        <v>8003</v>
      </c>
      <c r="C4274" s="5" t="str">
        <f>IFERROR(__xludf.DUMMYFUNCTION("GOOGLETRANSLATE(A4274,""en"",""hy"")"),"Ո՞վ է գրել «The Crucible» պիեսը:")</f>
        <v>Ո՞վ է գրել «The Crucible» պիեսը:</v>
      </c>
      <c r="D4274" s="6" t="str">
        <f>IFERROR(__xludf.DUMMYFUNCTION("GOOGLETRANSLATE(B4274,""en"",""hy"")"),"Արթուր Միլլեր.")</f>
        <v>Արթուր Միլլեր.</v>
      </c>
    </row>
    <row r="4275">
      <c r="A4275" s="5" t="s">
        <v>7574</v>
      </c>
      <c r="B4275" s="5" t="s">
        <v>7525</v>
      </c>
      <c r="C4275" s="5" t="str">
        <f>IFERROR(__xludf.DUMMYFUNCTION("GOOGLETRANSLATE(A4275,""en"",""hy"")"),"Ո՞րն է Չինաստանի մայրաքաղաքը:")</f>
        <v>Ո՞րն է Չինաստանի մայրաքաղաքը:</v>
      </c>
      <c r="D4275" s="6" t="str">
        <f>IFERROR(__xludf.DUMMYFUNCTION("GOOGLETRANSLATE(B4275,""en"",""hy"")"),"Պեկին.")</f>
        <v>Պեկին.</v>
      </c>
    </row>
    <row r="4276">
      <c r="A4276" s="5" t="s">
        <v>7738</v>
      </c>
      <c r="B4276" s="5" t="s">
        <v>8004</v>
      </c>
      <c r="C4276" s="5" t="str">
        <f>IFERROR(__xludf.DUMMYFUNCTION("GOOGLETRANSLATE(A4276,""en"",""hy"")"),"Ո՞րն է կալցիումի քիմիական նշանը:")</f>
        <v>Ո՞րն է կալցիումի քիմիական նշանը:</v>
      </c>
      <c r="D4276" s="6" t="str">
        <f>IFERROR(__xludf.DUMMYFUNCTION("GOOGLETRANSLATE(B4276,""en"",""hy"")"),"Ք.ա")</f>
        <v>Ք.ա</v>
      </c>
    </row>
    <row r="4277">
      <c r="A4277" s="5" t="s">
        <v>8005</v>
      </c>
      <c r="B4277" s="5" t="s">
        <v>8006</v>
      </c>
      <c r="C4277" s="5" t="str">
        <f>IFERROR(__xludf.DUMMYFUNCTION("GOOGLETRANSLATE(A4277,""en"",""hy"")"),"Քանի՞ խաղացող կա ռեգբիի թիմում:")</f>
        <v>Քանի՞ խաղացող կա ռեգբիի թիմում:</v>
      </c>
      <c r="D4277" s="6" t="str">
        <f>IFERROR(__xludf.DUMMYFUNCTION("GOOGLETRANSLATE(B4277,""en"",""hy"")"),"Ռեգբիի թիմում 15 խաղացող կա։")</f>
        <v>Ռեգբիի թիմում 15 խաղացող կա։</v>
      </c>
    </row>
    <row r="4278">
      <c r="A4278" s="5" t="s">
        <v>8007</v>
      </c>
      <c r="B4278" s="5" t="s">
        <v>8008</v>
      </c>
      <c r="C4278" s="5" t="str">
        <f>IFERROR(__xludf.DUMMYFUNCTION("GOOGLETRANSLATE(A4278,""en"",""hy"")"),"Ո՞վ էր առաջին մարդը, ով հասավ Հարավային բևեռ:")</f>
        <v>Ո՞վ էր առաջին մարդը, ով հասավ Հարավային բևեռ:</v>
      </c>
      <c r="D4278" s="6" t="str">
        <f>IFERROR(__xludf.DUMMYFUNCTION("GOOGLETRANSLATE(B4278,""en"",""hy"")"),"Ռոալդ Ամունդսենն առաջին մարդն էր, ով հասավ Հարավային բևեռ:")</f>
        <v>Ռոալդ Ամունդսենն առաջին մարդն էր, ով հասավ Հարավային բևեռ:</v>
      </c>
    </row>
    <row r="4279">
      <c r="A4279" s="5" t="s">
        <v>7618</v>
      </c>
      <c r="B4279" s="5" t="s">
        <v>8009</v>
      </c>
      <c r="C4279" s="5" t="str">
        <f>IFERROR(__xludf.DUMMYFUNCTION("GOOGLETRANSLATE(A4279,""en"",""hy"")"),"Ո՞րն է աշխարհի ամենամեծ ջրվեժը:")</f>
        <v>Ո՞րն է աշխարհի ամենամեծ ջրվեժը:</v>
      </c>
      <c r="D4279" s="6" t="str">
        <f>IFERROR(__xludf.DUMMYFUNCTION("GOOGLETRANSLATE(B4279,""en"",""hy"")"),"Աշխարհի ամենամեծ ջրվեժը Angel Falls-ն է:")</f>
        <v>Աշխարհի ամենամեծ ջրվեժը Angel Falls-ն է:</v>
      </c>
    </row>
    <row r="4280">
      <c r="A4280" s="5" t="s">
        <v>8010</v>
      </c>
      <c r="B4280" s="5" t="s">
        <v>7578</v>
      </c>
      <c r="C4280" s="5" t="str">
        <f>IFERROR(__xludf.DUMMYFUNCTION("GOOGLETRANSLATE(A4280,""en"",""hy"")"),"Ո՞վ է գրել «Մոբի-Դիկ» վեպը:")</f>
        <v>Ո՞վ է գրել «Մոբի-Դիկ» վեպը:</v>
      </c>
      <c r="D4280" s="6" t="str">
        <f>IFERROR(__xludf.DUMMYFUNCTION("GOOGLETRANSLATE(B4280,""en"",""hy"")"),"Հերման Մելվիլ.")</f>
        <v>Հերման Մելվիլ.</v>
      </c>
    </row>
    <row r="4281">
      <c r="A4281" s="5" t="s">
        <v>7461</v>
      </c>
      <c r="B4281" s="5" t="s">
        <v>7639</v>
      </c>
      <c r="C4281" s="5" t="str">
        <f>IFERROR(__xludf.DUMMYFUNCTION("GOOGLETRANSLATE(A4281,""en"",""hy"")"),"Ո՞րն է մարդու մարմնի ամենամեծ օրգանը:")</f>
        <v>Ո՞րն է մարդու մարմնի ամենամեծ օրգանը:</v>
      </c>
      <c r="D4281" s="6" t="str">
        <f>IFERROR(__xludf.DUMMYFUNCTION("GOOGLETRANSLATE(B4281,""en"",""hy"")"),"Մարդու մարմնի ամենամեծ օրգանը մաշկն է։")</f>
        <v>Մարդու մարմնի ամենամեծ օրգանը մաշկն է։</v>
      </c>
    </row>
    <row r="4282">
      <c r="A4282" s="5" t="s">
        <v>7454</v>
      </c>
      <c r="B4282" s="5" t="s">
        <v>1016</v>
      </c>
      <c r="C4282" s="5" t="str">
        <f>IFERROR(__xludf.DUMMYFUNCTION("GOOGLETRANSLATE(A4282,""en"",""hy"")"),"Ո՞վ է գրել Ռոմեո և Ջուլիետ պիեսը:")</f>
        <v>Ո՞վ է գրել Ռոմեո և Ջուլիետ պիեսը:</v>
      </c>
      <c r="D4282" s="6" t="str">
        <f>IFERROR(__xludf.DUMMYFUNCTION("GOOGLETRANSLATE(B4282,""en"",""hy"")"),"Ուիլյամ Շեքսպիր.")</f>
        <v>Ուիլյամ Շեքսպիր.</v>
      </c>
    </row>
    <row r="4283">
      <c r="A4283" s="5" t="s">
        <v>7642</v>
      </c>
      <c r="B4283" s="5" t="s">
        <v>2951</v>
      </c>
      <c r="C4283" s="5" t="str">
        <f>IFERROR(__xludf.DUMMYFUNCTION("GOOGLETRANSLATE(A4283,""en"",""hy"")"),"Ո՞րն է Կանադայի մայրաքաղաքը:")</f>
        <v>Ո՞րն է Կանադայի մայրաքաղաքը:</v>
      </c>
      <c r="D4283" s="6" t="str">
        <f>IFERROR(__xludf.DUMMYFUNCTION("GOOGLETRANSLATE(B4283,""en"",""hy"")"),"Օտտավա.")</f>
        <v>Օտտավա.</v>
      </c>
    </row>
    <row r="4284">
      <c r="A4284" s="5" t="s">
        <v>7452</v>
      </c>
      <c r="B4284" s="5" t="s">
        <v>7631</v>
      </c>
      <c r="C4284" s="5" t="str">
        <f>IFERROR(__xludf.DUMMYFUNCTION("GOOGLETRANSLATE(A4284,""en"",""hy"")"),"Ո՞րն է ոսկու քիմիական նշանը:")</f>
        <v>Ո՞րն է ոսկու քիմիական նշանը:</v>
      </c>
      <c r="D4284" s="6" t="str">
        <f>IFERROR(__xludf.DUMMYFUNCTION("GOOGLETRANSLATE(B4284,""en"",""hy"")"),"Ավ")</f>
        <v>Ավ</v>
      </c>
    </row>
    <row r="4285">
      <c r="A4285" s="5" t="s">
        <v>8011</v>
      </c>
      <c r="B4285" s="5" t="s">
        <v>7470</v>
      </c>
      <c r="C4285" s="5" t="str">
        <f>IFERROR(__xludf.DUMMYFUNCTION("GOOGLETRANSLATE(A4285,""en"",""hy"")"),"Ո՞ր թվականին ավարտվեց Երկրորդ համաշխարհային պատերազմը:")</f>
        <v>Ո՞ր թվականին ավարտվեց Երկրորդ համաշխարհային պատերազմը:</v>
      </c>
      <c r="D4285" s="6" t="str">
        <f>IFERROR(__xludf.DUMMYFUNCTION("GOOGLETRANSLATE(B4285,""en"",""hy"")"),"Երկրորդ համաշխարհային պատերազմն ավարտվեց 1945 թվականին։")</f>
        <v>Երկրորդ համաշխարհային պատերազմն ավարտվեց 1945 թվականին։</v>
      </c>
    </row>
    <row r="4286">
      <c r="A4286" s="5" t="s">
        <v>7939</v>
      </c>
      <c r="B4286" s="5" t="s">
        <v>7940</v>
      </c>
      <c r="C4286" s="5" t="str">
        <f>IFERROR(__xludf.DUMMYFUNCTION("GOOGLETRANSLATE(A4286,""en"",""hy"")"),"Քանի՞ մայրցամաք կա աշխարհում:")</f>
        <v>Քանի՞ մայրցամաք կա աշխարհում:</v>
      </c>
      <c r="D4286" s="6" t="str">
        <f>IFERROR(__xludf.DUMMYFUNCTION("GOOGLETRANSLATE(B4286,""en"",""hy"")"),"Աշխարհում կան յոթ մայրցամաքներ։")</f>
        <v>Աշխարհում կան յոթ մայրցամաքներ։</v>
      </c>
    </row>
    <row r="4287">
      <c r="A4287" s="5" t="s">
        <v>7447</v>
      </c>
      <c r="B4287" s="5" t="s">
        <v>7448</v>
      </c>
      <c r="C4287" s="5" t="str">
        <f>IFERROR(__xludf.DUMMYFUNCTION("GOOGLETRANSLATE(A4287,""en"",""hy"")"),"Ո՞վ է նկարել Մոնա Լիզան:")</f>
        <v>Ո՞վ է նկարել Մոնա Լիզան:</v>
      </c>
      <c r="D4287" s="6" t="str">
        <f>IFERROR(__xludf.DUMMYFUNCTION("GOOGLETRANSLATE(B4287,""en"",""hy"")"),"Լեոնարդո դա Վինչի.")</f>
        <v>Լեոնարդո դա Վինչի.</v>
      </c>
    </row>
    <row r="4288">
      <c r="A4288" s="5" t="s">
        <v>7463</v>
      </c>
      <c r="B4288" s="5" t="s">
        <v>7464</v>
      </c>
      <c r="C4288" s="5" t="str">
        <f>IFERROR(__xludf.DUMMYFUNCTION("GOOGLETRANSLATE(A4288,""en"",""hy"")"),"Ո՞րն է աշխարհի ամենաբարձր լեռը:")</f>
        <v>Ո՞րն է աշխարհի ամենաբարձր լեռը:</v>
      </c>
      <c r="D4288" s="6" t="str">
        <f>IFERROR(__xludf.DUMMYFUNCTION("GOOGLETRANSLATE(B4288,""en"",""hy"")"),"Էվերեստ լեռ.")</f>
        <v>Էվերեստ լեռ.</v>
      </c>
    </row>
    <row r="4289">
      <c r="A4289" s="5" t="s">
        <v>7467</v>
      </c>
      <c r="B4289" s="5" t="s">
        <v>7766</v>
      </c>
      <c r="C4289" s="5" t="str">
        <f>IFERROR(__xludf.DUMMYFUNCTION("GOOGLETRANSLATE(A4289,""en"",""hy"")"),"Ո՞րն է Ճապոնիայի արժույթը:")</f>
        <v>Ո՞րն է Ճապոնիայի արժույթը:</v>
      </c>
      <c r="D4289" s="6" t="str">
        <f>IFERROR(__xludf.DUMMYFUNCTION("GOOGLETRANSLATE(B4289,""en"",""hy"")"),"Ճապոնիայի արժույթը ճապոնական իենն է։")</f>
        <v>Ճապոնիայի արժույթը ճապոնական իենն է։</v>
      </c>
    </row>
    <row r="4290">
      <c r="A4290" s="5" t="s">
        <v>7926</v>
      </c>
      <c r="B4290" s="5" t="s">
        <v>7635</v>
      </c>
      <c r="C4290" s="5" t="str">
        <f>IFERROR(__xludf.DUMMYFUNCTION("GOOGLETRANSLATE(A4290,""en"",""hy"")"),"Ո՞վ էր առաջին մարդը, ով քայլեց լուսնի վրա:")</f>
        <v>Ո՞վ էր առաջին մարդը, ով քայլեց լուսնի վրա:</v>
      </c>
      <c r="D4290" s="6" t="str">
        <f>IFERROR(__xludf.DUMMYFUNCTION("GOOGLETRANSLATE(B4290,""en"",""hy"")"),"Նիլ Արմսթրոնգ.")</f>
        <v>Նիլ Արմսթրոնգ.</v>
      </c>
    </row>
    <row r="4291">
      <c r="A4291" s="5" t="s">
        <v>7483</v>
      </c>
      <c r="B4291" s="5" t="s">
        <v>7641</v>
      </c>
      <c r="C4291" s="5" t="str">
        <f>IFERROR(__xludf.DUMMYFUNCTION("GOOGLETRANSLATE(A4291,""en"",""hy"")"),"Ո՞րն է ջրի քիմիական բանաձևը:")</f>
        <v>Ո՞րն է ջրի քիմիական բանաձևը:</v>
      </c>
      <c r="D4291" s="6" t="str">
        <f>IFERROR(__xludf.DUMMYFUNCTION("GOOGLETRANSLATE(B4291,""en"",""hy"")"),"Ջրի քիմիական բանաձևը H2O է:")</f>
        <v>Ջրի քիմիական բանաձևը H2O է:</v>
      </c>
    </row>
    <row r="4292">
      <c r="A4292" s="5" t="s">
        <v>8012</v>
      </c>
      <c r="B4292" s="5" t="s">
        <v>7446</v>
      </c>
      <c r="C4292" s="5" t="str">
        <f>IFERROR(__xludf.DUMMYFUNCTION("GOOGLETRANSLATE(A4292,""en"",""hy"")"),"Ո՞ր մոլորակն է հայտնի որպես Կարմիր մոլորակ:")</f>
        <v>Ո՞ր մոլորակն է հայտնի որպես Կարմիր մոլորակ:</v>
      </c>
      <c r="D4292" s="6" t="str">
        <f>IFERROR(__xludf.DUMMYFUNCTION("GOOGLETRANSLATE(B4292,""en"",""hy"")"),"Մարս.")</f>
        <v>Մարս.</v>
      </c>
    </row>
    <row r="4293">
      <c r="A4293" s="5" t="s">
        <v>7465</v>
      </c>
      <c r="B4293" s="5" t="s">
        <v>7466</v>
      </c>
      <c r="C4293" s="5" t="str">
        <f>IFERROR(__xludf.DUMMYFUNCTION("GOOGLETRANSLATE(A4293,""en"",""hy"")"),"Ո՞վ է գրել «Հպարտություն և նախապաշարմունք» վեպը:")</f>
        <v>Ո՞վ է գրել «Հպարտություն և նախապաշարմունք» վեպը:</v>
      </c>
      <c r="D4293" s="6" t="str">
        <f>IFERROR(__xludf.DUMMYFUNCTION("GOOGLETRANSLATE(B4293,""en"",""hy"")"),"Ջեյն Օսթին")</f>
        <v>Ջեյն Օսթին</v>
      </c>
    </row>
    <row r="4294">
      <c r="A4294" s="5" t="s">
        <v>7791</v>
      </c>
      <c r="B4294" s="5" t="s">
        <v>7792</v>
      </c>
      <c r="C4294" s="5" t="str">
        <f>IFERROR(__xludf.DUMMYFUNCTION("GOOGLETRANSLATE(A4294,""en"",""hy"")"),"Ո՞րն է Ավստրալիայի ազգային կենդանին:")</f>
        <v>Ո՞րն է Ավստրալիայի ազգային կենդանին:</v>
      </c>
      <c r="D4294" s="6" t="str">
        <f>IFERROR(__xludf.DUMMYFUNCTION("GOOGLETRANSLATE(B4294,""en"",""hy"")"),"Ավստրալիայի ազգային կենդանին կենգուրուն է։")</f>
        <v>Ավստրալիայի ազգային կենդանին կենգուրուն է։</v>
      </c>
    </row>
    <row r="4295">
      <c r="A4295" s="5" t="s">
        <v>7515</v>
      </c>
      <c r="B4295" s="5" t="s">
        <v>8013</v>
      </c>
      <c r="C4295" s="5" t="str">
        <f>IFERROR(__xludf.DUMMYFUNCTION("GOOGLETRANSLATE(A4295,""en"",""hy"")"),"Ո՞րն է Բրազիլիայի մայրաքաղաքը:")</f>
        <v>Ո՞րն է Բրազիլիայի մայրաքաղաքը:</v>
      </c>
      <c r="D4295" s="6" t="str">
        <f>IFERROR(__xludf.DUMMYFUNCTION("GOOGLETRANSLATE(B4295,""en"",""hy"")"),"Բրազիլիայի մայրաքաղաքը Բրազիլիան է։")</f>
        <v>Բրազիլիայի մայրաքաղաքը Բրազիլիան է։</v>
      </c>
    </row>
    <row r="4296">
      <c r="A4296" s="5" t="s">
        <v>7572</v>
      </c>
      <c r="B4296" s="5" t="s">
        <v>7573</v>
      </c>
      <c r="C4296" s="5" t="str">
        <f>IFERROR(__xludf.DUMMYFUNCTION("GOOGLETRANSLATE(A4296,""en"",""hy"")"),"Ո՞վ է հորինել լամպը:")</f>
        <v>Ո՞վ է հորինել լամպը:</v>
      </c>
      <c r="D4296" s="6" t="str">
        <f>IFERROR(__xludf.DUMMYFUNCTION("GOOGLETRANSLATE(B4296,""en"",""hy"")"),"Թոմաս Էդիսոն.")</f>
        <v>Թոմաս Էդիսոն.</v>
      </c>
    </row>
    <row r="4297">
      <c r="A4297" s="5" t="s">
        <v>8014</v>
      </c>
      <c r="B4297" s="5" t="s">
        <v>8015</v>
      </c>
      <c r="C4297" s="5" t="str">
        <f>IFERROR(__xludf.DUMMYFUNCTION("GOOGLETRANSLATE(A4297,""en"",""hy"")"),"Քանի՞ խաղացող կա բասկետբոլի թիմում:")</f>
        <v>Քանի՞ խաղացող կա բասկետբոլի թիմում:</v>
      </c>
      <c r="D4297" s="6" t="str">
        <f>IFERROR(__xludf.DUMMYFUNCTION("GOOGLETRANSLATE(B4297,""en"",""hy"")"),"Բասկետբոլի թիմում սովորաբար 5 խաղացող կա:")</f>
        <v>Բասկետբոլի թիմում սովորաբար 5 խաղացող կա:</v>
      </c>
    </row>
    <row r="4298">
      <c r="A4298" s="5" t="s">
        <v>7455</v>
      </c>
      <c r="B4298" s="5" t="s">
        <v>7646</v>
      </c>
      <c r="C4298" s="5" t="str">
        <f>IFERROR(__xludf.DUMMYFUNCTION("GOOGLETRANSLATE(A4298,""en"",""hy"")"),"Ո՞րն է աշխարհի ամենամեծ օվկիանոսը:")</f>
        <v>Ո՞րն է աշխարհի ամենամեծ օվկիանոսը:</v>
      </c>
      <c r="D4298" s="6" t="str">
        <f>IFERROR(__xludf.DUMMYFUNCTION("GOOGLETRANSLATE(B4298,""en"",""hy"")"),"Խաղաղ օվկիանոս.")</f>
        <v>Խաղաղ օվկիանոս.</v>
      </c>
    </row>
    <row r="4299">
      <c r="A4299" s="5" t="s">
        <v>7654</v>
      </c>
      <c r="B4299" s="5" t="s">
        <v>7556</v>
      </c>
      <c r="C4299" s="5" t="str">
        <f>IFERROR(__xludf.DUMMYFUNCTION("GOOGLETRANSLATE(A4299,""en"",""hy"")"),"Ո՞վ է հայտնի որպես «Ժամանակակից ֆիզիկայի հայր»:")</f>
        <v>Ո՞վ է հայտնի որպես «Ժամանակակից ֆիզիկայի հայր»:</v>
      </c>
      <c r="D4299" s="6" t="str">
        <f>IFERROR(__xludf.DUMMYFUNCTION("GOOGLETRANSLATE(B4299,""en"",""hy"")"),"Albert Einstein.")</f>
        <v>Albert Einstein.</v>
      </c>
    </row>
    <row r="4300">
      <c r="A4300" s="5" t="s">
        <v>8016</v>
      </c>
      <c r="B4300" s="5" t="s">
        <v>8017</v>
      </c>
      <c r="C4300" s="5" t="str">
        <f>IFERROR(__xludf.DUMMYFUNCTION("GOOGLETRANSLATE(A4300,""en"",""hy"")"),"Ո՞րն է Անգլիայի ազգային ծաղիկը:")</f>
        <v>Ո՞րն է Անգլիայի ազգային ծաղիկը:</v>
      </c>
      <c r="D4300" s="6" t="str">
        <f>IFERROR(__xludf.DUMMYFUNCTION("GOOGLETRANSLATE(B4300,""en"",""hy"")"),"Անգլիայի ազգային ծաղիկը վարդն է։")</f>
        <v>Անգլիայի ազգային ծաղիկը վարդն է։</v>
      </c>
    </row>
    <row r="4301">
      <c r="A4301" s="5" t="s">
        <v>8018</v>
      </c>
      <c r="B4301" s="5" t="s">
        <v>7972</v>
      </c>
      <c r="C4301" s="5" t="str">
        <f>IFERROR(__xludf.DUMMYFUNCTION("GOOGLETRANSLATE(A4301,""en"",""hy"")"),"Ո՞ր երկրում է գտնվում Էյֆելյան աշտարակը:")</f>
        <v>Ո՞ր երկրում է գտնվում Էյֆելյան աշտարակը:</v>
      </c>
      <c r="D4301" s="6" t="str">
        <f>IFERROR(__xludf.DUMMYFUNCTION("GOOGLETRANSLATE(B4301,""en"",""hy"")"),"Ֆրանսիա.")</f>
        <v>Ֆրանսիա.</v>
      </c>
    </row>
    <row r="4302">
      <c r="A4302" s="5" t="s">
        <v>8019</v>
      </c>
      <c r="B4302" s="5" t="s">
        <v>7648</v>
      </c>
      <c r="C4302" s="5" t="str">
        <f>IFERROR(__xludf.DUMMYFUNCTION("GOOGLETRANSLATE(A4302,""en"",""hy"")"),"Ո՞վ է նկարել հայտնի «Աստղային գիշեր» արվեստի գործը:")</f>
        <v>Ո՞վ է նկարել հայտնի «Աստղային գիշեր» արվեստի գործը:</v>
      </c>
      <c r="D4302" s="6" t="str">
        <f>IFERROR(__xludf.DUMMYFUNCTION("GOOGLETRANSLATE(B4302,""en"",""hy"")"),"Վինսենթ վան Գոգ.")</f>
        <v>Վինսենթ վան Գոգ.</v>
      </c>
    </row>
    <row r="4303">
      <c r="A4303" s="5" t="s">
        <v>7557</v>
      </c>
      <c r="B4303" s="5" t="s">
        <v>7558</v>
      </c>
      <c r="C4303" s="5" t="str">
        <f>IFERROR(__xludf.DUMMYFUNCTION("GOOGLETRANSLATE(A4303,""en"",""hy"")"),"Ո՞րն է երկաթի քիմիական նշանը:")</f>
        <v>Ո՞րն է երկաթի քիմիական նշանը:</v>
      </c>
      <c r="D4303" s="6" t="str">
        <f>IFERROR(__xludf.DUMMYFUNCTION("GOOGLETRANSLATE(B4303,""en"",""hy"")"),"Ֆե")</f>
        <v>Ֆե</v>
      </c>
    </row>
    <row r="4304">
      <c r="A4304" s="5" t="s">
        <v>8020</v>
      </c>
      <c r="B4304" s="5" t="s">
        <v>7961</v>
      </c>
      <c r="C4304" s="5" t="str">
        <f>IFERROR(__xludf.DUMMYFUNCTION("GOOGLETRANSLATE(A4304,""en"",""hy"")"),"Ո՞ր թվականին է խորտակվել Տիտանիկը:")</f>
        <v>Ո՞ր թվականին է խորտակվել Տիտանիկը:</v>
      </c>
      <c r="D4304" s="6" t="str">
        <f>IFERROR(__xludf.DUMMYFUNCTION("GOOGLETRANSLATE(B4304,""en"",""hy"")"),"Տիտանիկը խորտակվել է 1912 թվականին։")</f>
        <v>Տիտանիկը խորտակվել է 1912 թվականին։</v>
      </c>
    </row>
    <row r="4305">
      <c r="A4305" s="5" t="s">
        <v>7915</v>
      </c>
      <c r="B4305" s="5" t="s">
        <v>7916</v>
      </c>
      <c r="C4305" s="5" t="str">
        <f>IFERROR(__xludf.DUMMYFUNCTION("GOOGLETRANSLATE(A4305,""en"",""hy"")"),"Քանի՞ ոսկոր կա մարդու մարմնում:")</f>
        <v>Քանի՞ ոսկոր կա մարդու մարմնում:</v>
      </c>
      <c r="D4305" s="6" t="str">
        <f>IFERROR(__xludf.DUMMYFUNCTION("GOOGLETRANSLATE(B4305,""en"",""hy"")"),"Մարդու մարմնում կա 206 ոսկոր։")</f>
        <v>Մարդու մարմնում կա 206 ոսկոր։</v>
      </c>
    </row>
    <row r="4306">
      <c r="A4306" s="5" t="s">
        <v>7485</v>
      </c>
      <c r="B4306" s="5" t="s">
        <v>7486</v>
      </c>
      <c r="C4306" s="5" t="str">
        <f>IFERROR(__xludf.DUMMYFUNCTION("GOOGLETRANSLATE(A4306,""en"",""hy"")"),"Ո՞վ է Հարի Փոթերի շարքի հեղինակը:")</f>
        <v>Ո՞վ է Հարի Փոթերի շարքի հեղինակը:</v>
      </c>
      <c r="D4306" s="6" t="str">
        <f>IFERROR(__xludf.DUMMYFUNCTION("GOOGLETRANSLATE(B4306,""en"",""hy"")"),"Ջ.Կ. Ռոուլինգ.")</f>
        <v>Ջ.Կ. Ռոուլինգ.</v>
      </c>
    </row>
    <row r="4307">
      <c r="A4307" s="5" t="s">
        <v>7553</v>
      </c>
      <c r="B4307" s="5" t="s">
        <v>7554</v>
      </c>
      <c r="C4307" s="5" t="str">
        <f>IFERROR(__xludf.DUMMYFUNCTION("GOOGLETRANSLATE(A4307,""en"",""hy"")"),"Ո՞րն է Հարավային Աֆրիկայի մայրաքաղաքը:")</f>
        <v>Ո՞րն է Հարավային Աֆրիկայի մայրաքաղաքը:</v>
      </c>
      <c r="D4307" s="6" t="str">
        <f>IFERROR(__xludf.DUMMYFUNCTION("GOOGLETRANSLATE(B4307,""en"",""hy"")"),"Պրետորիա.")</f>
        <v>Պրետորիա.</v>
      </c>
    </row>
    <row r="4308">
      <c r="A4308" s="5" t="s">
        <v>7513</v>
      </c>
      <c r="B4308" s="5" t="s">
        <v>7783</v>
      </c>
      <c r="C4308" s="5" t="str">
        <f>IFERROR(__xludf.DUMMYFUNCTION("GOOGLETRANSLATE(A4308,""en"",""hy"")"),"Ո՞րն է աշխարհի ամենամեծ անապատը:")</f>
        <v>Ո՞րն է աշխարհի ամենամեծ անապատը:</v>
      </c>
      <c r="D4308" s="6" t="str">
        <f>IFERROR(__xludf.DUMMYFUNCTION("GOOGLETRANSLATE(B4308,""en"",""hy"")"),"Սահարա անապատ.")</f>
        <v>Սահարա անապատ.</v>
      </c>
    </row>
    <row r="4309">
      <c r="A4309" s="5" t="s">
        <v>8021</v>
      </c>
      <c r="B4309" s="5" t="s">
        <v>8022</v>
      </c>
      <c r="C4309" s="5" t="str">
        <f>IFERROR(__xludf.DUMMYFUNCTION("GOOGLETRANSLATE(A4309,""en"",""hy"")"),"Ո՞վ է հայտնի որպես «Սոուլի թագուհի»:")</f>
        <v>Ո՞վ է հայտնի որպես «Սոուլի թագուհի»:</v>
      </c>
      <c r="D4309" s="6" t="str">
        <f>IFERROR(__xludf.DUMMYFUNCTION("GOOGLETRANSLATE(B4309,""en"",""hy"")"),"Արետա Ֆրանկլին.")</f>
        <v>Արետա Ֆրանկլին.</v>
      </c>
    </row>
    <row r="4310">
      <c r="A4310" s="5" t="s">
        <v>7508</v>
      </c>
      <c r="B4310" s="5" t="s">
        <v>7444</v>
      </c>
      <c r="C4310" s="5" t="str">
        <f>IFERROR(__xludf.DUMMYFUNCTION("GOOGLETRANSLATE(A4310,""en"",""hy"")"),"Ո՞վ է գրել վեպը 1984 թ.")</f>
        <v>Ո՞վ է գրել վեպը 1984 թ.</v>
      </c>
      <c r="D4310" s="6" t="str">
        <f>IFERROR(__xludf.DUMMYFUNCTION("GOOGLETRANSLATE(B4310,""en"",""hy"")"),"Ջորջ Օրուել.")</f>
        <v>Ջորջ Օրուել.</v>
      </c>
    </row>
    <row r="4311">
      <c r="A4311" s="5" t="s">
        <v>8023</v>
      </c>
      <c r="B4311" s="5" t="s">
        <v>8024</v>
      </c>
      <c r="C4311" s="5" t="str">
        <f>IFERROR(__xludf.DUMMYFUNCTION("GOOGLETRANSLATE(A4311,""en"",""hy"")"),"Ո՞րն է աշխարհի ամենաբարձր կենդանին:")</f>
        <v>Ո՞րն է աշխարհի ամենաբարձր կենդանին:</v>
      </c>
      <c r="D4311" s="6" t="str">
        <f>IFERROR(__xludf.DUMMYFUNCTION("GOOGLETRANSLATE(B4311,""en"",""hy"")"),"Ընձուղտը.")</f>
        <v>Ընձուղտը.</v>
      </c>
    </row>
    <row r="4312">
      <c r="A4312" s="5" t="s">
        <v>8025</v>
      </c>
      <c r="B4312" s="5" t="s">
        <v>8026</v>
      </c>
      <c r="C4312" s="5" t="str">
        <f>IFERROR(__xludf.DUMMYFUNCTION("GOOGLETRANSLATE(A4312,""en"",""hy"")"),"Ո՞րն է Չինաստանի պաշտոնական լեզուն:")</f>
        <v>Ո՞րն է Չինաստանի պաշտոնական լեզուն:</v>
      </c>
      <c r="D4312" s="6" t="str">
        <f>IFERROR(__xludf.DUMMYFUNCTION("GOOGLETRANSLATE(B4312,""en"",""hy"")"),"Չինաստանի պաշտոնական լեզուն մանդարին չինարենն է։")</f>
        <v>Չինաստանի պաշտոնական լեզուն մանդարին չինարենն է։</v>
      </c>
    </row>
    <row r="4313">
      <c r="A4313" s="5" t="s">
        <v>8027</v>
      </c>
      <c r="B4313" s="5" t="s">
        <v>2143</v>
      </c>
      <c r="C4313" s="5" t="str">
        <f>IFERROR(__xludf.DUMMYFUNCTION("GOOGLETRANSLATE(A4313,""en"",""hy"")"),"Ո՞վ է Facebook-ի հիմնադիրը.")</f>
        <v>Ո՞վ է Facebook-ի հիմնադիրը.</v>
      </c>
      <c r="D4313" s="6" t="str">
        <f>IFERROR(__xludf.DUMMYFUNCTION("GOOGLETRANSLATE(B4313,""en"",""hy"")"),"Մարկ Ցուկերբերգը.")</f>
        <v>Մարկ Ցուկերբերգը.</v>
      </c>
    </row>
    <row r="4314">
      <c r="A4314" s="5" t="s">
        <v>7502</v>
      </c>
      <c r="B4314" s="5" t="s">
        <v>7503</v>
      </c>
      <c r="C4314" s="5" t="str">
        <f>IFERROR(__xludf.DUMMYFUNCTION("GOOGLETRANSLATE(A4314,""en"",""hy"")"),"Քանի՞ կողմ ունի վեցանկյունը:")</f>
        <v>Քանի՞ կողմ ունի վեցանկյունը:</v>
      </c>
      <c r="D4314" s="6" t="str">
        <f>IFERROR(__xludf.DUMMYFUNCTION("GOOGLETRANSLATE(B4314,""en"",""hy"")"),"Վեցանկյունն ունի վեց կողմ:")</f>
        <v>Վեցանկյունն ունի վեց կողմ:</v>
      </c>
    </row>
    <row r="4315">
      <c r="A4315" s="5" t="s">
        <v>7509</v>
      </c>
      <c r="B4315" s="5" t="s">
        <v>7684</v>
      </c>
      <c r="C4315" s="5" t="str">
        <f>IFERROR(__xludf.DUMMYFUNCTION("GOOGLETRANSLATE(A4315,""en"",""hy"")"),"Ո՞րն է արծաթի քիմիական նշանը:")</f>
        <v>Ո՞րն է արծաթի քիմիական նշանը:</v>
      </c>
      <c r="D4315" s="6" t="str">
        <f>IFERROR(__xludf.DUMMYFUNCTION("GOOGLETRANSLATE(B4315,""en"",""hy"")"),"Արծաթի քիմիական խորհրդանիշն է Ag.")</f>
        <v>Արծաթի քիմիական խորհրդանիշն է Ag.</v>
      </c>
    </row>
    <row r="4316">
      <c r="A4316" s="5" t="s">
        <v>8028</v>
      </c>
      <c r="B4316" s="5" t="s">
        <v>79</v>
      </c>
      <c r="C4316" s="5" t="str">
        <f>IFERROR(__xludf.DUMMYFUNCTION("GOOGLETRANSLATE(A4316,""en"",""hy"")"),"Ո՞րն է Կանադայի ազգային սպորտը:")</f>
        <v>Ո՞րն է Կանադայի ազգային սպորտը:</v>
      </c>
      <c r="D4316" s="6" t="str">
        <f>IFERROR(__xludf.DUMMYFUNCTION("GOOGLETRANSLATE(B4316,""en"",""hy"")"),"Հոկեյ.")</f>
        <v>Հոկեյ.</v>
      </c>
    </row>
    <row r="4317">
      <c r="A4317" s="5" t="s">
        <v>8029</v>
      </c>
      <c r="B4317" s="5" t="s">
        <v>8030</v>
      </c>
      <c r="C4317" s="5" t="str">
        <f>IFERROR(__xludf.DUMMYFUNCTION("GOOGLETRANSLATE(A4317,""en"",""hy"")"),"Ո՞վ է հայտնի որպես «Փոփի արքա»:")</f>
        <v>Ո՞վ է հայտնի որպես «Փոփի արքա»:</v>
      </c>
      <c r="D4317" s="6" t="str">
        <f>IFERROR(__xludf.DUMMYFUNCTION("GOOGLETRANSLATE(B4317,""en"",""hy"")"),"Մայքլ Ջեքսոն.")</f>
        <v>Մայքլ Ջեքսոն.</v>
      </c>
    </row>
    <row r="4318">
      <c r="A4318" s="5" t="s">
        <v>7473</v>
      </c>
      <c r="B4318" s="5" t="s">
        <v>7474</v>
      </c>
      <c r="C4318" s="5" t="str">
        <f>IFERROR(__xludf.DUMMYFUNCTION("GOOGLETRANSLATE(A4318,""en"",""hy"")"),"Ո՞վ է նկարել Սիքստինյան կապելլայի առաստաղը:")</f>
        <v>Ո՞վ է նկարել Սիքստինյան կապելլայի առաստաղը:</v>
      </c>
      <c r="D4318" s="6" t="str">
        <f>IFERROR(__xludf.DUMMYFUNCTION("GOOGLETRANSLATE(B4318,""en"",""hy"")"),"Միքելանջելո.")</f>
        <v>Միքելանջելո.</v>
      </c>
    </row>
    <row r="4319">
      <c r="A4319" s="5" t="s">
        <v>7536</v>
      </c>
      <c r="B4319" s="5" t="s">
        <v>7870</v>
      </c>
      <c r="C4319" s="5" t="str">
        <f>IFERROR(__xludf.DUMMYFUNCTION("GOOGLETRANSLATE(A4319,""en"",""hy"")"),"Ո՞րն է Ռուսաստանի մայրաքաղաքը:")</f>
        <v>Ո՞րն է Ռուսաստանի մայրաքաղաքը:</v>
      </c>
      <c r="D4319" s="6" t="str">
        <f>IFERROR(__xludf.DUMMYFUNCTION("GOOGLETRANSLATE(B4319,""en"",""hy"")"),"Մոսկվա.")</f>
        <v>Մոսկվա.</v>
      </c>
    </row>
    <row r="4320">
      <c r="A4320" s="5" t="s">
        <v>8031</v>
      </c>
      <c r="B4320" s="5" t="s">
        <v>8032</v>
      </c>
      <c r="C4320" s="5" t="str">
        <f>IFERROR(__xludf.DUMMYFUNCTION("GOOGLETRANSLATE(A4320,""en"",""hy"")"),"Ո՞րն է աշխարհի ամենամեծ թռչունը:")</f>
        <v>Ո՞րն է աշխարհի ամենամեծ թռչունը:</v>
      </c>
      <c r="D4320" s="6" t="str">
        <f>IFERROR(__xludf.DUMMYFUNCTION("GOOGLETRANSLATE(B4320,""en"",""hy"")"),"Ջայլամը.")</f>
        <v>Ջայլամը.</v>
      </c>
    </row>
    <row r="4321">
      <c r="A4321" s="5" t="s">
        <v>7592</v>
      </c>
      <c r="B4321" s="5" t="s">
        <v>7593</v>
      </c>
      <c r="C4321" s="5" t="str">
        <f>IFERROR(__xludf.DUMMYFUNCTION("GOOGLETRANSLATE(A4321,""en"",""hy"")"),"Ո՞րն է թթվածնի քիմիական նշանը:")</f>
        <v>Ո՞րն է թթվածնի քիմիական նշանը:</v>
      </c>
      <c r="D4321" s="6" t="str">
        <f>IFERROR(__xludf.DUMMYFUNCTION("GOOGLETRANSLATE(B4321,""en"",""hy"")"),"Թթվածնի քիմիական նշանը O է:")</f>
        <v>Թթվածնի քիմիական նշանը O է:</v>
      </c>
    </row>
    <row r="4322">
      <c r="A4322" s="5" t="s">
        <v>7521</v>
      </c>
      <c r="B4322" s="5" t="s">
        <v>1016</v>
      </c>
      <c r="C4322" s="5" t="str">
        <f>IFERROR(__xludf.DUMMYFUNCTION("GOOGLETRANSLATE(A4322,""en"",""hy"")"),"Ո՞վ է գրել Համլետ պիեսը:")</f>
        <v>Ո՞վ է գրել Համլետ պիեսը:</v>
      </c>
      <c r="D4322" s="6" t="str">
        <f>IFERROR(__xludf.DUMMYFUNCTION("GOOGLETRANSLATE(B4322,""en"",""hy"")"),"Ուիլյամ Շեքսպիր.")</f>
        <v>Ուիլյամ Շեքսպիր.</v>
      </c>
    </row>
    <row r="4323">
      <c r="A4323" s="5" t="s">
        <v>8033</v>
      </c>
      <c r="B4323" s="5" t="s">
        <v>8034</v>
      </c>
      <c r="C4323" s="5" t="str">
        <f>IFERROR(__xludf.DUMMYFUNCTION("GOOGLETRANSLATE(A4323,""en"",""hy"")"),"Քանի՞ խաղացող կա բեյսբոլի թիմում:")</f>
        <v>Քանի՞ խաղացող կա բեյսբոլի թիմում:</v>
      </c>
      <c r="D4323" s="6" t="str">
        <f>IFERROR(__xludf.DUMMYFUNCTION("GOOGLETRANSLATE(B4323,""en"",""hy"")"),"Բեյսբոլի թիմում ինը խաղացող կա:")</f>
        <v>Բեյսբոլի թիմում ինը խաղացող կա:</v>
      </c>
    </row>
    <row r="4324">
      <c r="A4324" s="5" t="s">
        <v>7579</v>
      </c>
      <c r="B4324" s="5" t="s">
        <v>8035</v>
      </c>
      <c r="C4324" s="5" t="str">
        <f>IFERROR(__xludf.DUMMYFUNCTION("GOOGLETRANSLATE(A4324,""en"",""hy"")"),"Ո՞րն է Գերմանիայի արժույթը:")</f>
        <v>Ո՞րն է Գերմանիայի արժույթը:</v>
      </c>
      <c r="D4324" s="6" t="str">
        <f>IFERROR(__xludf.DUMMYFUNCTION("GOOGLETRANSLATE(B4324,""en"",""hy"")"),"եվրո.")</f>
        <v>եվրո.</v>
      </c>
    </row>
    <row r="4325">
      <c r="A4325" s="5" t="s">
        <v>7966</v>
      </c>
      <c r="B4325" s="5" t="s">
        <v>7967</v>
      </c>
      <c r="C4325" s="5" t="str">
        <f>IFERROR(__xludf.DUMMYFUNCTION("GOOGLETRANSLATE(A4325,""en"",""hy"")"),"Ո՞վ է եղել առաջին կինը, ով Նոբելյան մրցանակ է ստացել:")</f>
        <v>Ո՞վ է եղել առաջին կինը, ով Նոբելյան մրցանակ է ստացել:</v>
      </c>
      <c r="D4325" s="6" t="str">
        <f>IFERROR(__xludf.DUMMYFUNCTION("GOOGLETRANSLATE(B4325,""en"",""hy"")"),"Մարի Կյուրի.")</f>
        <v>Մարի Կյուրի.</v>
      </c>
    </row>
    <row r="4326">
      <c r="A4326" s="5" t="s">
        <v>7450</v>
      </c>
      <c r="B4326" s="5" t="s">
        <v>7451</v>
      </c>
      <c r="C4326" s="5" t="str">
        <f>IFERROR(__xludf.DUMMYFUNCTION("GOOGLETRANSLATE(A4326,""en"",""hy"")"),"Ո՞րն է Ավստրալիայի մայրաքաղաքը:")</f>
        <v>Ո՞րն է Ավստրալիայի մայրաքաղաքը:</v>
      </c>
      <c r="D4326" s="6" t="str">
        <f>IFERROR(__xludf.DUMMYFUNCTION("GOOGLETRANSLATE(B4326,""en"",""hy"")"),"Կանբերա.")</f>
        <v>Կանբերա.</v>
      </c>
    </row>
    <row r="4327">
      <c r="A4327" s="5" t="s">
        <v>8036</v>
      </c>
      <c r="B4327" s="5" t="s">
        <v>7743</v>
      </c>
      <c r="C4327" s="5" t="str">
        <f>IFERROR(__xludf.DUMMYFUNCTION("GOOGLETRANSLATE(A4327,""en"",""hy"")"),"Ո՞րն է աշխարհի ամենախորը օվկիանոսային խրամատը:")</f>
        <v>Ո՞րն է աշխարհի ամենախորը օվկիանոսային խրամատը:</v>
      </c>
      <c r="D4327" s="6" t="str">
        <f>IFERROR(__xludf.DUMMYFUNCTION("GOOGLETRANSLATE(B4327,""en"",""hy"")"),"Մարիանայի խրամատ.")</f>
        <v>Մարիանայի խրամատ.</v>
      </c>
    </row>
    <row r="4328">
      <c r="A4328" s="5" t="s">
        <v>8037</v>
      </c>
      <c r="B4328" s="5" t="s">
        <v>8038</v>
      </c>
      <c r="C4328" s="5" t="str">
        <f>IFERROR(__xludf.DUMMYFUNCTION("GOOGLETRANSLATE(A4328,""en"",""hy"")"),"Ո՞վ է ստեղծել թիվ 5 սիմֆոնիան:")</f>
        <v>Ո՞վ է ստեղծել թիվ 5 սիմֆոնիան:</v>
      </c>
      <c r="D4328" s="6" t="str">
        <f>IFERROR(__xludf.DUMMYFUNCTION("GOOGLETRANSLATE(B4328,""en"",""hy"")"),"Լյուդվիգ վան Բեթհովեն.")</f>
        <v>Լյուդվիգ վան Բեթհովեն.</v>
      </c>
    </row>
    <row r="4329">
      <c r="A4329" s="5" t="s">
        <v>8039</v>
      </c>
      <c r="B4329" s="5" t="s">
        <v>8040</v>
      </c>
      <c r="C4329" s="5" t="str">
        <f>IFERROR(__xludf.DUMMYFUNCTION("GOOGLETRANSLATE(A4329,""en"",""hy"")"),"Ո՞ր երկիրն է հայտնի Թաջ Մահալով:")</f>
        <v>Ո՞ր երկիրն է հայտնի Թաջ Մահալով:</v>
      </c>
      <c r="D4329" s="6" t="str">
        <f>IFERROR(__xludf.DUMMYFUNCTION("GOOGLETRANSLATE(B4329,""en"",""hy"")"),"Հնդկաստան")</f>
        <v>Հնդկաստան</v>
      </c>
    </row>
    <row r="4330">
      <c r="A4330" s="5" t="s">
        <v>7699</v>
      </c>
      <c r="B4330" s="5" t="s">
        <v>7700</v>
      </c>
      <c r="C4330" s="5" t="str">
        <f>IFERROR(__xludf.DUMMYFUNCTION("GOOGLETRANSLATE(A4330,""en"",""hy"")"),"Ո՞րն է ածխածնի քիմիական նշանը:")</f>
        <v>Ո՞րն է ածխածնի քիմիական նշանը:</v>
      </c>
      <c r="D4330" s="6" t="str">
        <f>IFERROR(__xludf.DUMMYFUNCTION("GOOGLETRANSLATE(B4330,""en"",""hy"")"),"Ածխածնի քիմիական նշանը C է:")</f>
        <v>Ածխածնի քիմիական նշանը C է:</v>
      </c>
    </row>
    <row r="4331">
      <c r="A4331" s="5" t="s">
        <v>7540</v>
      </c>
      <c r="B4331" s="5" t="s">
        <v>7541</v>
      </c>
      <c r="C4331" s="5" t="str">
        <f>IFERROR(__xludf.DUMMYFUNCTION("GOOGLETRANSLATE(A4331,""en"",""hy"")"),"Ո՞վ է գրել «Սպանել ծաղրող թռչունին» վեպը:")</f>
        <v>Ո՞վ է գրել «Սպանել ծաղրող թռչունին» վեպը:</v>
      </c>
      <c r="D4331" s="6" t="str">
        <f>IFERROR(__xludf.DUMMYFUNCTION("GOOGLETRANSLATE(B4331,""en"",""hy"")"),"Հարփեր Լի.")</f>
        <v>Հարփեր Լի.</v>
      </c>
    </row>
    <row r="4332">
      <c r="A4332" s="5" t="s">
        <v>8041</v>
      </c>
      <c r="B4332" s="7">
        <v>1776.0</v>
      </c>
      <c r="C4332" s="5" t="str">
        <f>IFERROR(__xludf.DUMMYFUNCTION("GOOGLETRANSLATE(A4332,""en"",""hy"")"),"Ո՞ր թվականին է Միացյալ Նահանգները հռչակել անկախությունը:")</f>
        <v>Ո՞ր թվականին է Միացյալ Նահանգները հռչակել անկախությունը:</v>
      </c>
      <c r="D4332" s="6" t="str">
        <f>IFERROR(__xludf.DUMMYFUNCTION("GOOGLETRANSLATE(B4332,""en"",""hy"")"),"1776 թ")</f>
        <v>1776 թ</v>
      </c>
    </row>
    <row r="4333">
      <c r="A4333" s="5" t="s">
        <v>7932</v>
      </c>
      <c r="B4333" s="5" t="s">
        <v>7933</v>
      </c>
      <c r="C4333" s="5" t="str">
        <f>IFERROR(__xludf.DUMMYFUNCTION("GOOGLETRANSLATE(A4333,""en"",""hy"")"),"Քանի՞ խցիկ կա մարդու սրտում:")</f>
        <v>Քանի՞ խցիկ կա մարդու սրտում:</v>
      </c>
      <c r="D4333" s="6" t="str">
        <f>IFERROR(__xludf.DUMMYFUNCTION("GOOGLETRANSLATE(B4333,""en"",""hy"")"),"Մարդու սրտում չորս պալատ կա.")</f>
        <v>Մարդու սրտում չորս պալատ կա.</v>
      </c>
    </row>
    <row r="4334">
      <c r="A4334" s="5" t="s">
        <v>7817</v>
      </c>
      <c r="B4334" s="5" t="s">
        <v>7818</v>
      </c>
      <c r="C4334" s="5" t="str">
        <f>IFERROR(__xludf.DUMMYFUNCTION("GOOGLETRANSLATE(A4334,""en"",""hy"")"),"Ո՞րն է Կանադայի ազգային կենդանին:")</f>
        <v>Ո՞րն է Կանադայի ազգային կենդանին:</v>
      </c>
      <c r="D4334" s="6" t="str">
        <f>IFERROR(__xludf.DUMMYFUNCTION("GOOGLETRANSLATE(B4334,""en"",""hy"")"),"Կանադայի ազգային կենդանին կեղևն է:")</f>
        <v>Կանադայի ազգային կենդանին կեղևն է:</v>
      </c>
    </row>
    <row r="4335">
      <c r="A4335" s="5" t="s">
        <v>8021</v>
      </c>
      <c r="B4335" s="5" t="s">
        <v>8022</v>
      </c>
      <c r="C4335" s="5" t="str">
        <f>IFERROR(__xludf.DUMMYFUNCTION("GOOGLETRANSLATE(A4335,""en"",""hy"")"),"Ո՞վ է հայտնի որպես «Սոուլի թագուհի»:")</f>
        <v>Ո՞վ է հայտնի որպես «Սոուլի թագուհի»:</v>
      </c>
      <c r="D4335" s="6" t="str">
        <f>IFERROR(__xludf.DUMMYFUNCTION("GOOGLETRANSLATE(B4335,""en"",""hy"")"),"Արետա Ֆրանկլին.")</f>
        <v>Արետա Ֆրանկլին.</v>
      </c>
    </row>
    <row r="4336">
      <c r="A4336" s="5" t="s">
        <v>8042</v>
      </c>
      <c r="B4336" s="5" t="s">
        <v>8043</v>
      </c>
      <c r="C4336" s="5" t="str">
        <f>IFERROR(__xludf.DUMMYFUNCTION("GOOGLETRANSLATE(A4336,""en"",""hy"")"),"Ո՞վ է նկարել «Հիշողության համառություն» ստեղծագործությունը:")</f>
        <v>Ո՞վ է նկարել «Հիշողության համառություն» ստեղծագործությունը:</v>
      </c>
      <c r="D4336" s="6" t="str">
        <f>IFERROR(__xludf.DUMMYFUNCTION("GOOGLETRANSLATE(B4336,""en"",""hy"")"),"Սալվադոր Դալի.")</f>
        <v>Սալվադոր Դալի.</v>
      </c>
    </row>
    <row r="4337">
      <c r="A4337" s="5" t="s">
        <v>7665</v>
      </c>
      <c r="B4337" s="5" t="s">
        <v>7666</v>
      </c>
      <c r="C4337" s="5" t="str">
        <f>IFERROR(__xludf.DUMMYFUNCTION("GOOGLETRANSLATE(A4337,""en"",""hy"")"),"Ո՞րն է նատրիումի քիմիական նշանը:")</f>
        <v>Ո՞րն է նատրիումի քիմիական նշանը:</v>
      </c>
      <c r="D4337" s="6" t="str">
        <f>IFERROR(__xludf.DUMMYFUNCTION("GOOGLETRANSLATE(B4337,""en"",""hy"")"),"Նա")</f>
        <v>Նա</v>
      </c>
    </row>
    <row r="4338">
      <c r="A4338" s="5" t="s">
        <v>8044</v>
      </c>
      <c r="B4338" s="5" t="s">
        <v>8045</v>
      </c>
      <c r="C4338" s="5" t="str">
        <f>IFERROR(__xludf.DUMMYFUNCTION("GOOGLETRANSLATE(A4338,""en"",""hy"")"),"Ո՞րն է Անգլիայի ազգային սպորտը:")</f>
        <v>Ո՞րն է Անգլիայի ազգային սպորտը:</v>
      </c>
      <c r="D4338" s="6" t="str">
        <f>IFERROR(__xludf.DUMMYFUNCTION("GOOGLETRANSLATE(B4338,""en"",""hy"")"),"Անգլիայի ազգային սպորտը կրիկետն է։")</f>
        <v>Անգլիայի ազգային սպորտը կրիկետն է։</v>
      </c>
    </row>
    <row r="4339">
      <c r="A4339" s="5" t="s">
        <v>8046</v>
      </c>
      <c r="B4339" s="5" t="s">
        <v>8047</v>
      </c>
      <c r="C4339" s="5" t="str">
        <f>IFERROR(__xludf.DUMMYFUNCTION("GOOGLETRANSLATE(A4339,""en"",""hy"")"),"Ո՞վ է հայտնի որպես «Ռոքն-Ռոլի արքա»:")</f>
        <v>Ո՞վ է հայտնի որպես «Ռոքն-Ռոլի արքա»:</v>
      </c>
      <c r="D4339" s="6" t="str">
        <f>IFERROR(__xludf.DUMMYFUNCTION("GOOGLETRANSLATE(B4339,""en"",""hy"")"),"Էլվիս Փրեսլի.")</f>
        <v>Էլվիս Փրեսլի.</v>
      </c>
    </row>
    <row r="4340">
      <c r="A4340" s="5" t="s">
        <v>7594</v>
      </c>
      <c r="B4340" s="5" t="s">
        <v>1016</v>
      </c>
      <c r="C4340" s="5" t="str">
        <f>IFERROR(__xludf.DUMMYFUNCTION("GOOGLETRANSLATE(A4340,""en"",""hy"")"),"Ո՞վ է գրել «Մակբեթ» պիեսը:")</f>
        <v>Ո՞վ է գրել «Մակբեթ» պիեսը:</v>
      </c>
      <c r="D4340" s="6" t="str">
        <f>IFERROR(__xludf.DUMMYFUNCTION("GOOGLETRANSLATE(B4340,""en"",""hy"")"),"Ուիլյամ Շեքսպիր.")</f>
        <v>Ուիլյամ Շեքսպիր.</v>
      </c>
    </row>
    <row r="4341">
      <c r="A4341" s="5" t="s">
        <v>7582</v>
      </c>
      <c r="B4341" s="5" t="s">
        <v>8048</v>
      </c>
      <c r="C4341" s="5" t="str">
        <f>IFERROR(__xludf.DUMMYFUNCTION("GOOGLETRANSLATE(A4341,""en"",""hy"")"),"Ո՞րն է աշխարհի ամենաբարձր ծառը:")</f>
        <v>Ո՞րն է աշխարհի ամենաբարձր ծառը:</v>
      </c>
      <c r="D4341" s="6" t="str">
        <f>IFERROR(__xludf.DUMMYFUNCTION("GOOGLETRANSLATE(B4341,""en"",""hy"")"),"Աշխարհի ամենաբարձր ծառը ծովափնյա կարմիր փայտն է:")</f>
        <v>Աշխարհի ամենաբարձր ծառը ծովափնյա կարմիր փայտն է:</v>
      </c>
    </row>
    <row r="4342">
      <c r="A4342" s="5" t="s">
        <v>8049</v>
      </c>
      <c r="B4342" s="5" t="s">
        <v>8050</v>
      </c>
      <c r="C4342" s="5" t="str">
        <f>IFERROR(__xludf.DUMMYFUNCTION("GOOGLETRANSLATE(A4342,""en"",""hy"")"),"Ո՞րն է Մեքսիկայի պաշտոնական լեզուն:")</f>
        <v>Ո՞րն է Մեքսիկայի պաշտոնական լեզուն:</v>
      </c>
      <c r="D4342" s="6" t="str">
        <f>IFERROR(__xludf.DUMMYFUNCTION("GOOGLETRANSLATE(B4342,""en"",""hy"")"),"Մեքսիկայի պաշտոնական լեզուն իսպաներենն է։")</f>
        <v>Մեքսիկայի պաշտոնական լեզուն իսպաներենն է։</v>
      </c>
    </row>
    <row r="4343">
      <c r="A4343" s="5" t="s">
        <v>8051</v>
      </c>
      <c r="B4343" s="5" t="s">
        <v>8052</v>
      </c>
      <c r="C4343" s="5" t="str">
        <f>IFERROR(__xludf.DUMMYFUNCTION("GOOGLETRANSLATE(A4343,""en"",""hy"")"),"Ո՞վ է Microsoft-ի հիմնադիրը:")</f>
        <v>Ո՞վ է Microsoft-ի հիմնադիրը:</v>
      </c>
      <c r="D4343" s="6" t="str">
        <f>IFERROR(__xludf.DUMMYFUNCTION("GOOGLETRANSLATE(B4343,""en"",""hy"")"),"Բիլ Գեյթս.")</f>
        <v>Բիլ Գեյթս.</v>
      </c>
    </row>
    <row r="4344">
      <c r="A4344" s="5" t="s">
        <v>8053</v>
      </c>
      <c r="B4344" s="5" t="s">
        <v>8054</v>
      </c>
      <c r="C4344" s="5" t="str">
        <f>IFERROR(__xludf.DUMMYFUNCTION("GOOGLETRANSLATE(A4344,""en"",""hy"")"),"Քանի՞ կողմ ունի ութանկյունը:")</f>
        <v>Քանի՞ կողմ ունի ութանկյունը:</v>
      </c>
      <c r="D4344" s="6" t="str">
        <f>IFERROR(__xludf.DUMMYFUNCTION("GOOGLETRANSLATE(B4344,""en"",""hy"")"),"Ութանկյունն ունի ութ կողմ:")</f>
        <v>Ութանկյունն ունի ութ կողմ:</v>
      </c>
    </row>
    <row r="4345">
      <c r="A4345" s="5" t="s">
        <v>7452</v>
      </c>
      <c r="B4345" s="5" t="s">
        <v>7631</v>
      </c>
      <c r="C4345" s="5" t="str">
        <f>IFERROR(__xludf.DUMMYFUNCTION("GOOGLETRANSLATE(A4345,""en"",""hy"")"),"Ո՞րն է ոսկու քիմիական նշանը:")</f>
        <v>Ո՞րն է ոսկու քիմիական նշանը:</v>
      </c>
      <c r="D4345" s="6" t="str">
        <f>IFERROR(__xludf.DUMMYFUNCTION("GOOGLETRANSLATE(B4345,""en"",""hy"")"),"Ավ")</f>
        <v>Ավ</v>
      </c>
    </row>
    <row r="4346">
      <c r="A4346" s="5" t="s">
        <v>8055</v>
      </c>
      <c r="B4346" s="5" t="s">
        <v>8056</v>
      </c>
      <c r="C4346" s="5" t="str">
        <f>IFERROR(__xludf.DUMMYFUNCTION("GOOGLETRANSLATE(A4346,""en"",""hy"")"),"Ո՞րն է Ճապոնիայի ազգային սպորտը:")</f>
        <v>Ո՞րն է Ճապոնիայի ազգային սպորտը:</v>
      </c>
      <c r="D4346" s="6" t="str">
        <f>IFERROR(__xludf.DUMMYFUNCTION("GOOGLETRANSLATE(B4346,""en"",""hy"")"),"Սումո ըմբշամարտ.")</f>
        <v>Սումո ըմբշամարտ.</v>
      </c>
    </row>
    <row r="4347">
      <c r="A4347" s="5" t="s">
        <v>8057</v>
      </c>
      <c r="B4347" s="5" t="s">
        <v>8058</v>
      </c>
      <c r="C4347" s="5" t="str">
        <f>IFERROR(__xludf.DUMMYFUNCTION("GOOGLETRANSLATE(A4347,""en"",""hy"")"),"Ո՞վ է հայտնի որպես «փոփի թագուհի»:")</f>
        <v>Ո՞վ է հայտնի որպես «փոփի թագուհի»:</v>
      </c>
      <c r="D4347" s="6" t="str">
        <f>IFERROR(__xludf.DUMMYFUNCTION("GOOGLETRANSLATE(B4347,""en"",""hy"")"),"Մադոննա")</f>
        <v>Մադոննա</v>
      </c>
    </row>
    <row r="4348">
      <c r="A4348" s="5" t="s">
        <v>7517</v>
      </c>
      <c r="B4348" s="5" t="s">
        <v>7828</v>
      </c>
      <c r="C4348" s="5" t="str">
        <f>IFERROR(__xludf.DUMMYFUNCTION("GOOGLETRANSLATE(A4348,""en"",""hy"")"),"Ո՞վ է նկարել Վերջին ընթրիքը:")</f>
        <v>Ո՞վ է նկարել Վերջին ընթրիքը:</v>
      </c>
      <c r="D4348" s="6" t="str">
        <f>IFERROR(__xludf.DUMMYFUNCTION("GOOGLETRANSLATE(B4348,""en"",""hy"")"),"Լեոնարդո դա Վինչի")</f>
        <v>Լեոնարդո դա Վինչի</v>
      </c>
    </row>
    <row r="4349">
      <c r="A4349" s="5" t="s">
        <v>7574</v>
      </c>
      <c r="B4349" s="5" t="s">
        <v>7525</v>
      </c>
      <c r="C4349" s="5" t="str">
        <f>IFERROR(__xludf.DUMMYFUNCTION("GOOGLETRANSLATE(A4349,""en"",""hy"")"),"Ո՞րն է Չինաստանի մայրաքաղաքը:")</f>
        <v>Ո՞րն է Չինաստանի մայրաքաղաքը:</v>
      </c>
      <c r="D4349" s="6" t="str">
        <f>IFERROR(__xludf.DUMMYFUNCTION("GOOGLETRANSLATE(B4349,""en"",""hy"")"),"Պեկին.")</f>
        <v>Պեկին.</v>
      </c>
    </row>
    <row r="4350">
      <c r="A4350" s="5" t="s">
        <v>8059</v>
      </c>
      <c r="B4350" s="5" t="s">
        <v>8060</v>
      </c>
      <c r="C4350" s="5" t="str">
        <f>IFERROR(__xludf.DUMMYFUNCTION("GOOGLETRANSLATE(A4350,""en"",""hy"")"),"Ո՞րն է աշխարհի ամենամեծ ձուկը:")</f>
        <v>Ո՞րն է աշխարհի ամենամեծ ձուկը:</v>
      </c>
      <c r="D4350" s="6" t="str">
        <f>IFERROR(__xludf.DUMMYFUNCTION("GOOGLETRANSLATE(B4350,""en"",""hy"")"),"Աշխարհի ամենամեծ ձուկը կետ շնաձուկն է։")</f>
        <v>Աշխարհի ամենամեծ ձուկը կետ շնաձուկն է։</v>
      </c>
    </row>
    <row r="4351">
      <c r="A4351" s="5" t="s">
        <v>7809</v>
      </c>
      <c r="B4351" s="5" t="s">
        <v>8061</v>
      </c>
      <c r="C4351" s="5" t="str">
        <f>IFERROR(__xludf.DUMMYFUNCTION("GOOGLETRANSLATE(A4351,""en"",""hy"")"),"Ո՞րն է հելիումի քիմիական նշանը:")</f>
        <v>Ո՞րն է հելիումի քիմիական նշանը:</v>
      </c>
      <c r="D4351" s="6" t="str">
        <f>IFERROR(__xludf.DUMMYFUNCTION("GOOGLETRANSLATE(B4351,""en"",""hy"")"),"Հելիումի քիմիական նշանը Նա է:")</f>
        <v>Հելիումի քիմիական նշանը Նա է:</v>
      </c>
    </row>
    <row r="4352">
      <c r="A4352" s="5" t="s">
        <v>7612</v>
      </c>
      <c r="B4352" s="5" t="s">
        <v>7613</v>
      </c>
      <c r="C4352" s="5" t="str">
        <f>IFERROR(__xludf.DUMMYFUNCTION("GOOGLETRANSLATE(A4352,""en"",""hy"")"),"Ո՞վ է գրել «Մեծն Գեթսբի» վեպը:")</f>
        <v>Ո՞վ է գրել «Մեծն Գեթսբի» վեպը:</v>
      </c>
      <c r="D4352" s="6" t="str">
        <f>IFERROR(__xludf.DUMMYFUNCTION("GOOGLETRANSLATE(B4352,""en"",""hy"")"),"F. Scott Fitzgerald")</f>
        <v>F. Scott Fitzgerald</v>
      </c>
    </row>
    <row r="4353">
      <c r="A4353" s="5" t="s">
        <v>8062</v>
      </c>
      <c r="B4353" s="5" t="s">
        <v>8063</v>
      </c>
      <c r="C4353" s="5" t="str">
        <f>IFERROR(__xludf.DUMMYFUNCTION("GOOGLETRANSLATE(A4353,""en"",""hy"")"),"Քանի՞ խաղացող կա ֆուտբոլային թիմում:")</f>
        <v>Քանի՞ խաղացող կա ֆուտբոլային թիմում:</v>
      </c>
      <c r="D4353" s="6" t="str">
        <f>IFERROR(__xludf.DUMMYFUNCTION("GOOGLETRANSLATE(B4353,""en"",""hy"")"),"Ֆուտբոլային թիմում կա 11 խաղացող։")</f>
        <v>Ֆուտբոլային թիմում կա 11 խաղացող։</v>
      </c>
    </row>
    <row r="4354">
      <c r="A4354" s="5" t="s">
        <v>7614</v>
      </c>
      <c r="B4354" s="5" t="s">
        <v>7721</v>
      </c>
      <c r="C4354" s="5" t="str">
        <f>IFERROR(__xludf.DUMMYFUNCTION("GOOGLETRANSLATE(A4354,""en"",""hy"")"),"Ո՞րն է Ֆրանսիայի արժույթը:")</f>
        <v>Ո՞րն է Ֆրանսիայի արժույթը:</v>
      </c>
      <c r="D4354" s="6" t="str">
        <f>IFERROR(__xludf.DUMMYFUNCTION("GOOGLETRANSLATE(B4354,""en"",""hy"")"),"Ֆրանսիայի արժույթը եվրոն է։")</f>
        <v>Ֆրանսիայի արժույթը եվրոն է։</v>
      </c>
    </row>
    <row r="4355">
      <c r="A4355" s="5" t="s">
        <v>8064</v>
      </c>
      <c r="B4355" s="5" t="s">
        <v>8065</v>
      </c>
      <c r="C4355" s="5" t="str">
        <f>IFERROR(__xludf.DUMMYFUNCTION("GOOGLETRANSLATE(A4355,""en"",""hy"")"),"Ո՞վ էր առաջին մարդը, ով ճանապարհորդեց տիեզերք:")</f>
        <v>Ո՞վ էր առաջին մարդը, ով ճանապարհորդեց տիեզերք:</v>
      </c>
      <c r="D4355" s="6" t="str">
        <f>IFERROR(__xludf.DUMMYFUNCTION("GOOGLETRANSLATE(B4355,""en"",""hy"")"),"Յուրի Գագարին.")</f>
        <v>Յուրի Գագարին.</v>
      </c>
    </row>
    <row r="4356">
      <c r="A4356" s="5" t="s">
        <v>7626</v>
      </c>
      <c r="B4356" s="5" t="s">
        <v>8066</v>
      </c>
      <c r="C4356" s="5" t="str">
        <f>IFERROR(__xludf.DUMMYFUNCTION("GOOGLETRANSLATE(A4356,""en"",""hy"")"),"Ո՞րն է Գերմանիայի մայրաքաղաքը:")</f>
        <v>Ո՞րն է Գերմանիայի մայրաքաղաքը:</v>
      </c>
      <c r="D4356" s="6" t="str">
        <f>IFERROR(__xludf.DUMMYFUNCTION("GOOGLETRANSLATE(B4356,""en"",""hy"")"),"Բեռլին.")</f>
        <v>Բեռլին.</v>
      </c>
    </row>
    <row r="4357">
      <c r="A4357" s="5" t="s">
        <v>8067</v>
      </c>
      <c r="B4357" s="5" t="s">
        <v>7472</v>
      </c>
      <c r="C4357" s="5" t="str">
        <f>IFERROR(__xludf.DUMMYFUNCTION("GOOGLETRANSLATE(A4357,""en"",""hy"")"),"Ո՞րն է աշխարհի ամենամեծ կաթնասունը:")</f>
        <v>Ո՞րն է աշխարհի ամենամեծ կաթնասունը:</v>
      </c>
      <c r="D4357" s="6" t="str">
        <f>IFERROR(__xludf.DUMMYFUNCTION("GOOGLETRANSLATE(B4357,""en"",""hy"")"),"Կապույտ կետը.")</f>
        <v>Կապույտ կետը.</v>
      </c>
    </row>
    <row r="4358">
      <c r="A4358" s="5" t="s">
        <v>8068</v>
      </c>
      <c r="B4358" s="5" t="s">
        <v>8069</v>
      </c>
      <c r="C4358" s="5" t="str">
        <f>IFERROR(__xludf.DUMMYFUNCTION("GOOGLETRANSLATE(A4358,""en"",""hy"")"),"Ո՞րն է պղնձի քիմիական նշանը:")</f>
        <v>Ո՞րն է պղնձի քիմիական նշանը:</v>
      </c>
      <c r="D4358" s="6" t="str">
        <f>IFERROR(__xludf.DUMMYFUNCTION("GOOGLETRANSLATE(B4358,""en"",""hy"")"),"Cu")</f>
        <v>Cu</v>
      </c>
    </row>
    <row r="4359">
      <c r="A4359" s="5" t="s">
        <v>8070</v>
      </c>
      <c r="B4359" s="5" t="s">
        <v>1016</v>
      </c>
      <c r="C4359" s="5" t="str">
        <f>IFERROR(__xludf.DUMMYFUNCTION("GOOGLETRANSLATE(A4359,""en"",""hy"")"),"Ո՞վ է գրել «Օթելլո» պիեսը:")</f>
        <v>Ո՞վ է գրել «Օթելլո» պիեսը:</v>
      </c>
      <c r="D4359" s="6" t="str">
        <f>IFERROR(__xludf.DUMMYFUNCTION("GOOGLETRANSLATE(B4359,""en"",""hy"")"),"Ուիլյամ Շեքսպիր.")</f>
        <v>Ուիլյամ Շեքսպիր.</v>
      </c>
    </row>
    <row r="4360">
      <c r="A4360" s="5" t="s">
        <v>8071</v>
      </c>
      <c r="B4360" s="5" t="s">
        <v>8072</v>
      </c>
      <c r="C4360" s="5" t="str">
        <f>IFERROR(__xludf.DUMMYFUNCTION("GOOGLETRANSLATE(A4360,""en"",""hy"")"),"Քանի՞ խաղացող կա կրիկետի թիմում:")</f>
        <v>Քանի՞ խաղացող կա կրիկետի թիմում:</v>
      </c>
      <c r="D4360" s="6" t="str">
        <f>IFERROR(__xludf.DUMMYFUNCTION("GOOGLETRANSLATE(B4360,""en"",""hy"")"),"Կրիկետի թիմում կա 11 խաղացող:")</f>
        <v>Կրիկետի թիմում կա 11 խաղացող:</v>
      </c>
    </row>
    <row r="4361">
      <c r="A4361" s="5" t="s">
        <v>7908</v>
      </c>
      <c r="B4361" s="5" t="s">
        <v>7909</v>
      </c>
      <c r="C4361" s="5" t="str">
        <f>IFERROR(__xludf.DUMMYFUNCTION("GOOGLETRANSLATE(A4361,""en"",""hy"")"),"Ո՞րն է Իտալիայի արժույթը:")</f>
        <v>Ո՞րն է Իտալիայի արժույթը:</v>
      </c>
      <c r="D4361" s="6" t="str">
        <f>IFERROR(__xludf.DUMMYFUNCTION("GOOGLETRANSLATE(B4361,""en"",""hy"")"),"Իտալիայի արժույթը եվրոն է։")</f>
        <v>Իտալիայի արժույթը եվրոն է։</v>
      </c>
    </row>
    <row r="4362">
      <c r="A4362" s="5" t="s">
        <v>8073</v>
      </c>
      <c r="B4362" s="5" t="s">
        <v>7967</v>
      </c>
      <c r="C4362" s="5" t="str">
        <f>IFERROR(__xludf.DUMMYFUNCTION("GOOGLETRANSLATE(A4362,""en"",""hy"")"),"Ո՞վ է եղել առաջին կինը, ով Նոբելյան մրցանակ է ստացել քիմիայի բնագավառում:")</f>
        <v>Ո՞վ է եղել առաջին կինը, ով Նոբելյան մրցանակ է ստացել քիմիայի բնագավառում:</v>
      </c>
      <c r="D4362" s="6" t="str">
        <f>IFERROR(__xludf.DUMMYFUNCTION("GOOGLETRANSLATE(B4362,""en"",""hy"")"),"Մարի Կյուրի.")</f>
        <v>Մարի Կյուրի.</v>
      </c>
    </row>
    <row r="4363">
      <c r="A4363" s="5" t="s">
        <v>8074</v>
      </c>
      <c r="B4363" s="5" t="s">
        <v>607</v>
      </c>
      <c r="C4363" s="5" t="str">
        <f>IFERROR(__xludf.DUMMYFUNCTION("GOOGLETRANSLATE(A4363,""en"",""hy"")"),"Ո՞րն է Անգլիայի մայրաքաղաքը:")</f>
        <v>Ո՞րն է Անգլիայի մայրաքաղաքը:</v>
      </c>
      <c r="D4363" s="6" t="str">
        <f>IFERROR(__xludf.DUMMYFUNCTION("GOOGLETRANSLATE(B4363,""en"",""hy"")"),"Լոնդոն.")</f>
        <v>Լոնդոն.</v>
      </c>
    </row>
    <row r="4364">
      <c r="A4364" s="5" t="s">
        <v>8075</v>
      </c>
      <c r="B4364" s="5" t="s">
        <v>8076</v>
      </c>
      <c r="C4364" s="5" t="str">
        <f>IFERROR(__xludf.DUMMYFUNCTION("GOOGLETRANSLATE(A4364,""en"",""hy"")"),"Ո՞րն է աշխարհի ամենամեծ հրաբուխը:")</f>
        <v>Ո՞րն է աշխարհի ամենամեծ հրաբուխը:</v>
      </c>
      <c r="D4364" s="6" t="str">
        <f>IFERROR(__xludf.DUMMYFUNCTION("GOOGLETRANSLATE(B4364,""en"",""hy"")"),"Մաունա Լոա.")</f>
        <v>Մաունա Լոա.</v>
      </c>
    </row>
    <row r="4365">
      <c r="A4365" s="5" t="s">
        <v>8077</v>
      </c>
      <c r="B4365" s="5" t="s">
        <v>8038</v>
      </c>
      <c r="C4365" s="5" t="str">
        <f>IFERROR(__xludf.DUMMYFUNCTION("GOOGLETRANSLATE(A4365,""en"",""hy"")"),"Ո՞վ է ստեղծել թիվ 9 սիմֆոնիան:")</f>
        <v>Ո՞վ է ստեղծել թիվ 9 սիմֆոնիան:</v>
      </c>
      <c r="D4365" s="6" t="str">
        <f>IFERROR(__xludf.DUMMYFUNCTION("GOOGLETRANSLATE(B4365,""en"",""hy"")"),"Լյուդվիգ վան Բեթհովեն.")</f>
        <v>Լյուդվիգ վան Բեթհովեն.</v>
      </c>
    </row>
    <row r="4366">
      <c r="A4366" s="5" t="s">
        <v>8078</v>
      </c>
      <c r="B4366" s="5" t="s">
        <v>7784</v>
      </c>
      <c r="C4366" s="5" t="str">
        <f>IFERROR(__xludf.DUMMYFUNCTION("GOOGLETRANSLATE(A4366,""en"",""hy"")"),"Ո՞ր երկիրն է հայտնի որպես Ծագող Արևի երկիր:")</f>
        <v>Ո՞ր երկիրն է հայտնի որպես Ծագող Արևի երկիր:</v>
      </c>
      <c r="D4366" s="6" t="str">
        <f>IFERROR(__xludf.DUMMYFUNCTION("GOOGLETRANSLATE(B4366,""en"",""hy"")"),"Ճապոնիա")</f>
        <v>Ճապոնիա</v>
      </c>
    </row>
    <row r="4367">
      <c r="A4367" s="5" t="s">
        <v>7875</v>
      </c>
      <c r="B4367" s="5" t="s">
        <v>7876</v>
      </c>
      <c r="C4367" s="5" t="str">
        <f>IFERROR(__xludf.DUMMYFUNCTION("GOOGLETRANSLATE(A4367,""en"",""hy"")"),"Ո՞րն է ազոտի քիմիական նշանը:")</f>
        <v>Ո՞րն է ազոտի քիմիական նշանը:</v>
      </c>
      <c r="D4367" s="6" t="str">
        <f>IFERROR(__xludf.DUMMYFUNCTION("GOOGLETRANSLATE(B4367,""en"",""hy"")"),"Ազոտի քիմիական նշանն է N.")</f>
        <v>Ազոտի քիմիական նշանն է N.</v>
      </c>
    </row>
    <row r="4368">
      <c r="A4368" s="5" t="s">
        <v>8079</v>
      </c>
      <c r="B4368" s="5" t="s">
        <v>8080</v>
      </c>
      <c r="C4368" s="5" t="str">
        <f>IFERROR(__xludf.DUMMYFUNCTION("GOOGLETRANSLATE(A4368,""en"",""hy"")"),"Ո՞րն է Ավստրալիայի ազգային սպորտը:")</f>
        <v>Ո՞րն է Ավստրալիայի ազգային սպորտը:</v>
      </c>
      <c r="D4368" s="6" t="str">
        <f>IFERROR(__xludf.DUMMYFUNCTION("GOOGLETRANSLATE(B4368,""en"",""hy"")"),"Ավստրալիայի ազգային սպորտաձևը ավստրալական կանոնների ֆուտբոլն է:")</f>
        <v>Ավստրալիայի ազգային սպորտաձևը ավստրալական կանոնների ֆուտբոլն է:</v>
      </c>
    </row>
    <row r="4369">
      <c r="A4369" s="5" t="s">
        <v>8081</v>
      </c>
      <c r="B4369" s="5" t="s">
        <v>8082</v>
      </c>
      <c r="C4369" s="5" t="str">
        <f>IFERROR(__xludf.DUMMYFUNCTION("GOOGLETRANSLATE(A4369,""en"",""hy"")"),"Ո՞վ է հայտնի որպես «Փոփ արվեստի արքա»:")</f>
        <v>Ո՞վ է հայտնի որպես «Փոփ արվեստի արքա»:</v>
      </c>
      <c r="D4369" s="6" t="str">
        <f>IFERROR(__xludf.DUMMYFUNCTION("GOOGLETRANSLATE(B4369,""en"",""hy"")"),"Էնդի Ուորհոլ.")</f>
        <v>Էնդի Ուորհոլ.</v>
      </c>
    </row>
    <row r="4370">
      <c r="A4370" s="5" t="s">
        <v>8083</v>
      </c>
      <c r="B4370" s="5" t="s">
        <v>7648</v>
      </c>
      <c r="C4370" s="5" t="str">
        <f>IFERROR(__xludf.DUMMYFUNCTION("GOOGLETRANSLATE(A4370,""en"",""hy"")"),"Ո՞վ է նկարել «Աստղային գիշեր» նկարը:")</f>
        <v>Ո՞վ է նկարել «Աստղային գիշեր» նկարը:</v>
      </c>
      <c r="D4370" s="6" t="str">
        <f>IFERROR(__xludf.DUMMYFUNCTION("GOOGLETRANSLATE(B4370,""en"",""hy"")"),"Վինսենթ վան Գոգ.")</f>
        <v>Վինսենթ վան Գոգ.</v>
      </c>
    </row>
    <row r="4371">
      <c r="A4371" s="5" t="s">
        <v>7780</v>
      </c>
      <c r="B4371" s="5" t="s">
        <v>2951</v>
      </c>
      <c r="C4371" s="5" t="str">
        <f>IFERROR(__xludf.DUMMYFUNCTION("GOOGLETRANSLATE(A4371,""en"",""hy"")"),"Ո՞րն է Կանադայի մայրաքաղաքը:")</f>
        <v>Ո՞րն է Կանադայի մայրաքաղաքը:</v>
      </c>
      <c r="D4371" s="6" t="str">
        <f>IFERROR(__xludf.DUMMYFUNCTION("GOOGLETRANSLATE(B4371,""en"",""hy"")"),"Օտտավա.")</f>
        <v>Օտտավա.</v>
      </c>
    </row>
    <row r="4372">
      <c r="A4372" s="5" t="s">
        <v>8084</v>
      </c>
      <c r="B4372" s="5" t="s">
        <v>7783</v>
      </c>
      <c r="C4372" s="5" t="str">
        <f>IFERROR(__xludf.DUMMYFUNCTION("GOOGLETRANSLATE(A4372,""en"",""hy"")"),"Ո՞րն է Աֆրիկայի ամենամեծ անապատը:")</f>
        <v>Ո՞րն է Աֆրիկայի ամենամեծ անապատը:</v>
      </c>
      <c r="D4372" s="6" t="str">
        <f>IFERROR(__xludf.DUMMYFUNCTION("GOOGLETRANSLATE(B4372,""en"",""hy"")"),"Սահարա անապատ.")</f>
        <v>Սահարա անապատ.</v>
      </c>
    </row>
    <row r="4373">
      <c r="A4373" s="5" t="s">
        <v>8085</v>
      </c>
      <c r="B4373" s="5" t="s">
        <v>8038</v>
      </c>
      <c r="C4373" s="5" t="str">
        <f>IFERROR(__xludf.DUMMYFUNCTION("GOOGLETRANSLATE(A4373,""en"",""hy"")"),"Ո՞վ է ստեղծել Լուսնի սոնատը:")</f>
        <v>Ո՞վ է ստեղծել Լուսնի սոնատը:</v>
      </c>
      <c r="D4373" s="6" t="str">
        <f>IFERROR(__xludf.DUMMYFUNCTION("GOOGLETRANSLATE(B4373,""en"",""hy"")"),"Լյուդվիգ վան Բեթհովեն.")</f>
        <v>Լյուդվիգ վան Բեթհովեն.</v>
      </c>
    </row>
    <row r="4374">
      <c r="A4374" s="5" t="s">
        <v>7845</v>
      </c>
      <c r="B4374" s="5" t="s">
        <v>3533</v>
      </c>
      <c r="C4374" s="5" t="str">
        <f>IFERROR(__xludf.DUMMYFUNCTION("GOOGLETRANSLATE(A4374,""en"",""hy"")"),"Ո՞րն է Բրազիլիայի պաշտոնական լեզուն:")</f>
        <v>Ո՞րն է Բրազիլիայի պաշտոնական լեզուն:</v>
      </c>
      <c r="D4374" s="6" t="str">
        <f>IFERROR(__xludf.DUMMYFUNCTION("GOOGLETRANSLATE(B4374,""en"",""hy"")"),"Բրազիլիայի պաշտոնական լեզուն պորտուգալերենն է։")</f>
        <v>Բրազիլիայի պաշտոնական լեզուն պորտուգալերենն է։</v>
      </c>
    </row>
    <row r="4375">
      <c r="A4375" s="5" t="s">
        <v>8086</v>
      </c>
      <c r="B4375" s="5" t="s">
        <v>8087</v>
      </c>
      <c r="C4375" s="5" t="str">
        <f>IFERROR(__xludf.DUMMYFUNCTION("GOOGLETRANSLATE(A4375,""en"",""hy"")"),"Ո՞վ է Amazon-ի հիմնադիրը:")</f>
        <v>Ո՞վ է Amazon-ի հիմնադիրը:</v>
      </c>
      <c r="D4375" s="6" t="str">
        <f>IFERROR(__xludf.DUMMYFUNCTION("GOOGLETRANSLATE(B4375,""en"",""hy"")"),"Ջեֆ Բեզոս.")</f>
        <v>Ջեֆ Բեզոս.</v>
      </c>
    </row>
    <row r="4376">
      <c r="A4376" s="5" t="s">
        <v>8088</v>
      </c>
      <c r="B4376" s="5" t="s">
        <v>8089</v>
      </c>
      <c r="C4376" s="5" t="str">
        <f>IFERROR(__xludf.DUMMYFUNCTION("GOOGLETRANSLATE(A4376,""en"",""hy"")"),"Քանի՞ կողմ ունի հնգանկյունը:")</f>
        <v>Քանի՞ կողմ ունի հնգանկյունը:</v>
      </c>
      <c r="D4376" s="6" t="str">
        <f>IFERROR(__xludf.DUMMYFUNCTION("GOOGLETRANSLATE(B4376,""en"",""hy"")"),"Պենտագոնն ունի 5 կողմ.")</f>
        <v>Պենտագոնն ունի 5 կողմ.</v>
      </c>
    </row>
    <row r="4377">
      <c r="A4377" s="5" t="s">
        <v>7727</v>
      </c>
      <c r="B4377" s="5" t="s">
        <v>8090</v>
      </c>
      <c r="C4377" s="5" t="str">
        <f>IFERROR(__xludf.DUMMYFUNCTION("GOOGLETRANSLATE(A4377,""en"",""hy"")"),"Ո՞րն է պլատինի քիմիական նշանը:")</f>
        <v>Ո՞րն է պլատինի քիմիական նշանը:</v>
      </c>
      <c r="D4377" s="6" t="str">
        <f>IFERROR(__xludf.DUMMYFUNCTION("GOOGLETRANSLATE(B4377,""en"",""hy"")"),"Պտ")</f>
        <v>Պտ</v>
      </c>
    </row>
    <row r="4378">
      <c r="A4378" s="5" t="s">
        <v>8091</v>
      </c>
      <c r="B4378" s="5" t="s">
        <v>8092</v>
      </c>
      <c r="C4378" s="5" t="str">
        <f>IFERROR(__xludf.DUMMYFUNCTION("GOOGLETRANSLATE(A4378,""en"",""hy"")"),"Ո՞րն է Բրազիլիայի ազգային սպորտը:")</f>
        <v>Ո՞րն է Բրազիլիայի ազգային սպորտը:</v>
      </c>
      <c r="D4378" s="6" t="str">
        <f>IFERROR(__xludf.DUMMYFUNCTION("GOOGLETRANSLATE(B4378,""en"",""hy"")"),"Բրազիլիայի ազգային սպորտը ֆուտբոլն է։")</f>
        <v>Բրազիլիայի ազգային սպորտը ֆուտբոլն է։</v>
      </c>
    </row>
    <row r="4379">
      <c r="A4379" s="5" t="s">
        <v>8093</v>
      </c>
      <c r="B4379" s="5" t="s">
        <v>8094</v>
      </c>
      <c r="C4379" s="5" t="str">
        <f>IFERROR(__xludf.DUMMYFUNCTION("GOOGLETRANSLATE(A4379,""en"",""hy"")"),"Ո՞վ է հայտնի որպես «Ռեգգի արքա»:")</f>
        <v>Ո՞վ է հայտնի որպես «Ռեգգի արքա»:</v>
      </c>
      <c r="D4379" s="6" t="str">
        <f>IFERROR(__xludf.DUMMYFUNCTION("GOOGLETRANSLATE(B4379,""en"",""hy"")"),"Բոբ Մարլի.")</f>
        <v>Բոբ Մարլի.</v>
      </c>
    </row>
    <row r="4380">
      <c r="A4380" s="5" t="s">
        <v>8095</v>
      </c>
      <c r="B4380" s="5" t="s">
        <v>7621</v>
      </c>
      <c r="C4380" s="5" t="str">
        <f>IFERROR(__xludf.DUMMYFUNCTION("GOOGLETRANSLATE(A4380,""en"",""hy"")"),"Ո՞վ է նկարել «Վեներայի ծնունդը» նկարը:")</f>
        <v>Ո՞վ է նկարել «Վեներայի ծնունդը» նկարը:</v>
      </c>
      <c r="D4380" s="6" t="str">
        <f>IFERROR(__xludf.DUMMYFUNCTION("GOOGLETRANSLATE(B4380,""en"",""hy"")"),"Սանդրո Բոտիչելի.")</f>
        <v>Սանդրո Բոտիչելի.</v>
      </c>
    </row>
    <row r="4381">
      <c r="A4381" s="5" t="s">
        <v>7500</v>
      </c>
      <c r="B4381" s="5" t="s">
        <v>8096</v>
      </c>
      <c r="C4381" s="5" t="str">
        <f>IFERROR(__xludf.DUMMYFUNCTION("GOOGLETRANSLATE(A4381,""en"",""hy"")"),"Ո՞րն է Ֆրանսիայի մայրաքաղաքը:")</f>
        <v>Ո՞րն է Ֆրանսիայի մայրաքաղաքը:</v>
      </c>
      <c r="D4381" s="6" t="str">
        <f>IFERROR(__xludf.DUMMYFUNCTION("GOOGLETRANSLATE(B4381,""en"",""hy"")"),"Ֆրանսիայի մայրաքաղաքը Փարիզն է։")</f>
        <v>Ֆրանսիայի մայրաքաղաքը Փարիզն է։</v>
      </c>
    </row>
    <row r="4382">
      <c r="A4382" s="5" t="s">
        <v>7504</v>
      </c>
      <c r="B4382" s="5" t="s">
        <v>8097</v>
      </c>
      <c r="C4382" s="5" t="str">
        <f>IFERROR(__xludf.DUMMYFUNCTION("GOOGLETRANSLATE(A4382,""en"",""hy"")"),"Ո՞վ է Միացյալ Նահանգների ներկայիս նախագահը:")</f>
        <v>Ո՞վ է Միացյալ Նահանգների ներկայիս նախագահը:</v>
      </c>
      <c r="D4382" s="6" t="str">
        <f>IFERROR(__xludf.DUMMYFUNCTION("GOOGLETRANSLATE(B4382,""en"",""hy"")"),"Ջո Բայդեն")</f>
        <v>Ջո Բայդեն</v>
      </c>
    </row>
    <row r="4383">
      <c r="A4383" s="5" t="s">
        <v>7645</v>
      </c>
      <c r="B4383" s="5" t="s">
        <v>7775</v>
      </c>
      <c r="C4383" s="5" t="str">
        <f>IFERROR(__xludf.DUMMYFUNCTION("GOOGLETRANSLATE(A4383,""en"",""hy"")"),"Ո՞րն է Երկրի ամենամեծ օվկիանոսը:")</f>
        <v>Ո՞րն է Երկրի ամենամեծ օվկիանոսը:</v>
      </c>
      <c r="D4383" s="6" t="str">
        <f>IFERROR(__xludf.DUMMYFUNCTION("GOOGLETRANSLATE(B4383,""en"",""hy"")"),"Խաղաղ օվկիանոսը Երկրի ամենամեծ օվկիանոսն է։")</f>
        <v>Խաղաղ օվկիանոսը Երկրի ամենամեծ օվկիանոսն է։</v>
      </c>
    </row>
    <row r="4384">
      <c r="A4384" s="5" t="s">
        <v>7447</v>
      </c>
      <c r="B4384" s="5" t="s">
        <v>7448</v>
      </c>
      <c r="C4384" s="5" t="str">
        <f>IFERROR(__xludf.DUMMYFUNCTION("GOOGLETRANSLATE(A4384,""en"",""hy"")"),"Ո՞վ է նկարել Մոնա Լիզան:")</f>
        <v>Ո՞վ է նկարել Մոնա Լիզան:</v>
      </c>
      <c r="D4384" s="6" t="str">
        <f>IFERROR(__xludf.DUMMYFUNCTION("GOOGLETRANSLATE(B4384,""en"",""hy"")"),"Լեոնարդո դա Վինչի.")</f>
        <v>Լեոնարդո դա Վինչի.</v>
      </c>
    </row>
    <row r="4385">
      <c r="A4385" s="5" t="s">
        <v>8098</v>
      </c>
      <c r="B4385" s="7">
        <v>1776.0</v>
      </c>
      <c r="C4385" s="5" t="str">
        <f>IFERROR(__xludf.DUMMYFUNCTION("GOOGLETRANSLATE(A4385,""en"",""hy"")"),"Ո՞ր թվականին է ԱՄՆ-ն անկախացել Մեծ Բրիտանիայից։")</f>
        <v>Ո՞ր թվականին է ԱՄՆ-ն անկախացել Մեծ Բրիտանիայից։</v>
      </c>
      <c r="D4385" s="6" t="str">
        <f>IFERROR(__xludf.DUMMYFUNCTION("GOOGLETRANSLATE(B4385,""en"",""hy"")"),"1776 թ")</f>
        <v>1776 թ</v>
      </c>
    </row>
    <row r="4386">
      <c r="A4386" s="5" t="s">
        <v>8099</v>
      </c>
      <c r="B4386" s="5" t="s">
        <v>8100</v>
      </c>
      <c r="C4386" s="5" t="str">
        <f>IFERROR(__xludf.DUMMYFUNCTION("GOOGLETRANSLATE(A4386,""en"",""hy"")"),"Քանի՞ մոլորակ կա մեր արեգակնային համակարգում:")</f>
        <v>Քանի՞ մոլորակ կա մեր արեգակնային համակարգում:</v>
      </c>
      <c r="D4386" s="6" t="str">
        <f>IFERROR(__xludf.DUMMYFUNCTION("GOOGLETRANSLATE(B4386,""en"",""hy"")"),"Մեր Արեգակնային համակարգում կա ութ մոլորակ:")</f>
        <v>Մեր Արեգակնային համակարգում կա ութ մոլորակ:</v>
      </c>
    </row>
    <row r="4387">
      <c r="A4387" s="5" t="s">
        <v>8101</v>
      </c>
      <c r="B4387" s="5" t="s">
        <v>8102</v>
      </c>
      <c r="C4387" s="5" t="str">
        <f>IFERROR(__xludf.DUMMYFUNCTION("GOOGLETRANSLATE(A4387,""en"",""hy"")"),"Ո՞րն է աշխարհի ամենաբարձր լեռը:")</f>
        <v>Ո՞րն է աշխարհի ամենաբարձր լեռը:</v>
      </c>
      <c r="D4387" s="6" t="str">
        <f>IFERROR(__xludf.DUMMYFUNCTION("GOOGLETRANSLATE(B4387,""en"",""hy"")"),"Էվերեստը աշխարհի ամենաբարձր լեռն է։")</f>
        <v>Էվերեստը աշխարհի ամենաբարձր լեռն է։</v>
      </c>
    </row>
    <row r="4388">
      <c r="A4388" s="5" t="s">
        <v>7698</v>
      </c>
      <c r="B4388" s="5" t="s">
        <v>7630</v>
      </c>
      <c r="C4388" s="5" t="str">
        <f>IFERROR(__xludf.DUMMYFUNCTION("GOOGLETRANSLATE(A4388,""en"",""hy"")"),"Ո՞վ է գրել «Հպարտություն և նախապաշարմունք» վեպը:")</f>
        <v>Ո՞վ է գրել «Հպարտություն և նախապաշարմունք» վեպը:</v>
      </c>
      <c r="D4388" s="6" t="str">
        <f>IFERROR(__xludf.DUMMYFUNCTION("GOOGLETRANSLATE(B4388,""en"",""hy"")"),"Ջեյն Օսթին.")</f>
        <v>Ջեյն Օսթին.</v>
      </c>
    </row>
    <row r="4389">
      <c r="A4389" s="5" t="s">
        <v>7452</v>
      </c>
      <c r="B4389" s="5" t="s">
        <v>7631</v>
      </c>
      <c r="C4389" s="5" t="str">
        <f>IFERROR(__xludf.DUMMYFUNCTION("GOOGLETRANSLATE(A4389,""en"",""hy"")"),"Ո՞րն է ոսկու քիմիական նշանը:")</f>
        <v>Ո՞րն է ոսկու քիմիական նշանը:</v>
      </c>
      <c r="D4389" s="6" t="str">
        <f>IFERROR(__xludf.DUMMYFUNCTION("GOOGLETRANSLATE(B4389,""en"",""hy"")"),"Ավ")</f>
        <v>Ավ</v>
      </c>
    </row>
    <row r="4390">
      <c r="A4390" s="5" t="s">
        <v>8103</v>
      </c>
      <c r="B4390" s="5" t="s">
        <v>7671</v>
      </c>
      <c r="C4390" s="5" t="str">
        <f>IFERROR(__xludf.DUMMYFUNCTION("GOOGLETRANSLATE(A4390,""en"",""hy"")"),"Ո՞րն է Աֆրիկայի ամենաերկար գետը:")</f>
        <v>Ո՞րն է Աֆրիկայի ամենաերկար գետը:</v>
      </c>
      <c r="D4390" s="6" t="str">
        <f>IFERROR(__xludf.DUMMYFUNCTION("GOOGLETRANSLATE(B4390,""en"",""hy"")"),"Նեղոս գետ.")</f>
        <v>Նեղոս գետ.</v>
      </c>
    </row>
    <row r="4391">
      <c r="A4391" s="5" t="s">
        <v>8104</v>
      </c>
      <c r="B4391" s="5" t="s">
        <v>7181</v>
      </c>
      <c r="C4391" s="5" t="str">
        <f>IFERROR(__xludf.DUMMYFUNCTION("GOOGLETRANSLATE(A4391,""en"",""hy"")"),"Ո՞ր երկիրն է հայտնի որպես Land Down Under:")</f>
        <v>Ո՞ր երկիրն է հայտնի որպես Land Down Under:</v>
      </c>
      <c r="D4391" s="6" t="str">
        <f>IFERROR(__xludf.DUMMYFUNCTION("GOOGLETRANSLATE(B4391,""en"",""hy"")"),"Ավստրալիա")</f>
        <v>Ավստրալիա</v>
      </c>
    </row>
    <row r="4392">
      <c r="A4392" s="5" t="s">
        <v>8105</v>
      </c>
      <c r="B4392" s="5" t="s">
        <v>7635</v>
      </c>
      <c r="C4392" s="5" t="str">
        <f>IFERROR(__xludf.DUMMYFUNCTION("GOOGLETRANSLATE(A4392,""en"",""hy"")"),"Ո՞վ էր առաջին մարդը, ով քայլեց լուսնի վրա:")</f>
        <v>Ո՞վ էր առաջին մարդը, ով քայլեց լուսնի վրա:</v>
      </c>
      <c r="D4392" s="6" t="str">
        <f>IFERROR(__xludf.DUMMYFUNCTION("GOOGLETRANSLATE(B4392,""en"",""hy"")"),"Նիլ Արմսթրոնգ.")</f>
        <v>Նիլ Արմսթրոնգ.</v>
      </c>
    </row>
    <row r="4393">
      <c r="A4393" s="5" t="s">
        <v>7817</v>
      </c>
      <c r="B4393" s="5" t="s">
        <v>7818</v>
      </c>
      <c r="C4393" s="5" t="str">
        <f>IFERROR(__xludf.DUMMYFUNCTION("GOOGLETRANSLATE(A4393,""en"",""hy"")"),"Ո՞րն է Կանադայի ազգային կենդանին:")</f>
        <v>Ո՞րն է Կանադայի ազգային կենդանին:</v>
      </c>
      <c r="D4393" s="6" t="str">
        <f>IFERROR(__xludf.DUMMYFUNCTION("GOOGLETRANSLATE(B4393,""en"",""hy"")"),"Կանադայի ազգային կենդանին կեղևն է:")</f>
        <v>Կանադայի ազգային կենդանին կեղևն է:</v>
      </c>
    </row>
    <row r="4394">
      <c r="A4394" s="5" t="s">
        <v>8106</v>
      </c>
      <c r="B4394" s="5" t="s">
        <v>7916</v>
      </c>
      <c r="C4394" s="5" t="str">
        <f>IFERROR(__xludf.DUMMYFUNCTION("GOOGLETRANSLATE(A4394,""en"",""hy"")"),"Քանի՞ ոսկոր կա մարդու մարմնում:")</f>
        <v>Քանի՞ ոսկոր կա մարդու մարմնում:</v>
      </c>
      <c r="D4394" s="6" t="str">
        <f>IFERROR(__xludf.DUMMYFUNCTION("GOOGLETRANSLATE(B4394,""en"",""hy"")"),"Մարդու մարմնում կա 206 ոսկոր։")</f>
        <v>Մարդու մարմնում կա 206 ոսկոր։</v>
      </c>
    </row>
    <row r="4395">
      <c r="A4395" s="5" t="s">
        <v>7640</v>
      </c>
      <c r="B4395" s="5" t="s">
        <v>8107</v>
      </c>
      <c r="C4395" s="5" t="str">
        <f>IFERROR(__xludf.DUMMYFUNCTION("GOOGLETRANSLATE(A4395,""en"",""hy"")"),"Ո՞վ է գրել «Ռոմեո և Ջուլիետ» պիեսը:")</f>
        <v>Ո՞վ է գրել «Ռոմեո և Ջուլիետ» պիեսը:</v>
      </c>
      <c r="D4395" s="6" t="str">
        <f>IFERROR(__xludf.DUMMYFUNCTION("GOOGLETRANSLATE(B4395,""en"",""hy"")"),"Ուիլյամ Շեքսպիր")</f>
        <v>Ուիլյամ Շեքսպիր</v>
      </c>
    </row>
    <row r="4396">
      <c r="A4396" s="5" t="s">
        <v>7513</v>
      </c>
      <c r="B4396" s="5" t="s">
        <v>7783</v>
      </c>
      <c r="C4396" s="5" t="str">
        <f>IFERROR(__xludf.DUMMYFUNCTION("GOOGLETRANSLATE(A4396,""en"",""hy"")"),"Ո՞րն է աշխարհի ամենամեծ անապատը:")</f>
        <v>Ո՞րն է աշխարհի ամենամեծ անապատը:</v>
      </c>
      <c r="D4396" s="6" t="str">
        <f>IFERROR(__xludf.DUMMYFUNCTION("GOOGLETRANSLATE(B4396,""en"",""hy"")"),"Սահարա անապատ.")</f>
        <v>Սահարա անապատ.</v>
      </c>
    </row>
    <row r="4397">
      <c r="A4397" s="5" t="s">
        <v>8108</v>
      </c>
      <c r="B4397" s="5" t="s">
        <v>7556</v>
      </c>
      <c r="C4397" s="5" t="str">
        <f>IFERROR(__xludf.DUMMYFUNCTION("GOOGLETRANSLATE(A4397,""en"",""hy"")"),"Ո՞ր հայտնի գիտնականն է մշակել հարաբերականության տեսությունը:")</f>
        <v>Ո՞ր հայտնի գիտնականն է մշակել հարաբերականության տեսությունը:</v>
      </c>
      <c r="D4397" s="6" t="str">
        <f>IFERROR(__xludf.DUMMYFUNCTION("GOOGLETRANSLATE(B4397,""en"",""hy"")"),"Albert Einstein.")</f>
        <v>Albert Einstein.</v>
      </c>
    </row>
    <row r="4398">
      <c r="A4398" s="5" t="s">
        <v>7515</v>
      </c>
      <c r="B4398" s="5" t="s">
        <v>7516</v>
      </c>
      <c r="C4398" s="5" t="str">
        <f>IFERROR(__xludf.DUMMYFUNCTION("GOOGLETRANSLATE(A4398,""en"",""hy"")"),"Ո՞րն է Բրազիլիայի մայրաքաղաքը:")</f>
        <v>Ո՞րն է Բրազիլիայի մայրաքաղաքը:</v>
      </c>
      <c r="D4398" s="6" t="str">
        <f>IFERROR(__xludf.DUMMYFUNCTION("GOOGLETRANSLATE(B4398,""en"",""hy"")"),"Բրազիլիա.")</f>
        <v>Բրազիլիա.</v>
      </c>
    </row>
    <row r="4399">
      <c r="A4399" s="5" t="s">
        <v>8023</v>
      </c>
      <c r="B4399" s="5" t="s">
        <v>8109</v>
      </c>
      <c r="C4399" s="5" t="str">
        <f>IFERROR(__xludf.DUMMYFUNCTION("GOOGLETRANSLATE(A4399,""en"",""hy"")"),"Ո՞րն է աշխարհի ամենաբարձր կենդանին:")</f>
        <v>Ո՞րն է աշխարհի ամենաբարձր կենդանին:</v>
      </c>
      <c r="D4399" s="6" t="str">
        <f>IFERROR(__xludf.DUMMYFUNCTION("GOOGLETRANSLATE(B4399,""en"",""hy"")"),"Ընձուղտ.")</f>
        <v>Ընձուղտ.</v>
      </c>
    </row>
    <row r="4400">
      <c r="A4400" s="5" t="s">
        <v>7769</v>
      </c>
      <c r="B4400" s="5" t="s">
        <v>8110</v>
      </c>
      <c r="C4400" s="5" t="str">
        <f>IFERROR(__xludf.DUMMYFUNCTION("GOOGLETRANSLATE(A4400,""en"",""hy"")"),"Ո՞վ է Հարրի Փոթերի գրքերի շարքի հեղինակը:")</f>
        <v>Ո՞վ է Հարրի Փոթերի գրքերի շարքի հեղինակը:</v>
      </c>
      <c r="D4400" s="6" t="str">
        <f>IFERROR(__xludf.DUMMYFUNCTION("GOOGLETRANSLATE(B4400,""en"",""hy"")"),"Ջ.Կ. Ռոուլինգ")</f>
        <v>Ջ.Կ. Ռոուլինգ</v>
      </c>
    </row>
    <row r="4401">
      <c r="A4401" s="5" t="s">
        <v>7672</v>
      </c>
      <c r="B4401" s="5" t="s">
        <v>7673</v>
      </c>
      <c r="C4401" s="5" t="str">
        <f>IFERROR(__xludf.DUMMYFUNCTION("GOOGLETRANSLATE(A4401,""en"",""hy"")"),"Ո՞րն է Հարավային Ամերիկայի ամենամեծ երկիրը:")</f>
        <v>Ո՞րն է Հարավային Ամերիկայի ամենամեծ երկիրը:</v>
      </c>
      <c r="D4401" s="6" t="str">
        <f>IFERROR(__xludf.DUMMYFUNCTION("GOOGLETRANSLATE(B4401,""en"",""hy"")"),"Բրազիլիա.")</f>
        <v>Բրազիլիա.</v>
      </c>
    </row>
    <row r="4402">
      <c r="A4402" s="5" t="s">
        <v>7946</v>
      </c>
      <c r="B4402" s="5" t="s">
        <v>8111</v>
      </c>
      <c r="C4402" s="5" t="str">
        <f>IFERROR(__xludf.DUMMYFUNCTION("GOOGLETRANSLATE(A4402,""en"",""hy"")"),"Քանի՞ խաղացող կա ֆուտբոլային թիմում:")</f>
        <v>Քանի՞ խաղացող կա ֆուտբոլային թիմում:</v>
      </c>
      <c r="D4402" s="6" t="str">
        <f>IFERROR(__xludf.DUMMYFUNCTION("GOOGLETRANSLATE(B4402,""en"",""hy"")"),"Ֆուտբոլային թիմում կա 11 խաղացող։")</f>
        <v>Ֆուտբոլային թիմում կա 11 խաղացող։</v>
      </c>
    </row>
    <row r="4403">
      <c r="A4403" s="5" t="s">
        <v>7838</v>
      </c>
      <c r="B4403" s="5" t="s">
        <v>7648</v>
      </c>
      <c r="C4403" s="5" t="str">
        <f>IFERROR(__xludf.DUMMYFUNCTION("GOOGLETRANSLATE(A4403,""en"",""hy"")"),"Ո՞վ է նկարել «Աստղային գիշերը»:")</f>
        <v>Ո՞վ է նկարել «Աստղային գիշերը»:</v>
      </c>
      <c r="D4403" s="6" t="str">
        <f>IFERROR(__xludf.DUMMYFUNCTION("GOOGLETRANSLATE(B4403,""en"",""hy"")"),"Վինսենթ վան Գոգ.")</f>
        <v>Վինսենթ վան Գոգ.</v>
      </c>
    </row>
    <row r="4404">
      <c r="A4404" s="5" t="s">
        <v>7467</v>
      </c>
      <c r="B4404" s="5" t="s">
        <v>7468</v>
      </c>
      <c r="C4404" s="5" t="str">
        <f>IFERROR(__xludf.DUMMYFUNCTION("GOOGLETRANSLATE(A4404,""en"",""hy"")"),"Ո՞րն է Ճապոնիայի արժույթը:")</f>
        <v>Ո՞րն է Ճապոնիայի արժույթը:</v>
      </c>
      <c r="D4404" s="6" t="str">
        <f>IFERROR(__xludf.DUMMYFUNCTION("GOOGLETRANSLATE(B4404,""en"",""hy"")"),"Ճապոնիայի արժույթը ճապոնական իենն է։")</f>
        <v>Ճապոնիայի արժույթը ճապոնական իենն է։</v>
      </c>
    </row>
    <row r="4405">
      <c r="A4405" s="5" t="s">
        <v>7787</v>
      </c>
      <c r="B4405" s="5" t="s">
        <v>7788</v>
      </c>
      <c r="C4405" s="5" t="str">
        <f>IFERROR(__xludf.DUMMYFUNCTION("GOOGLETRANSLATE(A4405,""en"",""hy"")"),"Ո՞րն է շնաձկան ամենամեծ տեսակը:")</f>
        <v>Ո՞րն է շնաձկան ամենամեծ տեսակը:</v>
      </c>
      <c r="D4405" s="6" t="str">
        <f>IFERROR(__xludf.DUMMYFUNCTION("GOOGLETRANSLATE(B4405,""en"",""hy"")"),"Շնաձկների ամենամեծ տեսակը կետ շնաձուկն է։")</f>
        <v>Շնաձկների ամենամեծ տեսակը կետ շնաձուկն է։</v>
      </c>
    </row>
    <row r="4406">
      <c r="A4406" s="5" t="s">
        <v>8112</v>
      </c>
      <c r="B4406" s="5" t="s">
        <v>8113</v>
      </c>
      <c r="C4406" s="5" t="str">
        <f>IFERROR(__xludf.DUMMYFUNCTION("GOOGLETRANSLATE(A4406,""en"",""hy"")"),"Ո՞րն է Հյուսիսային Ամերիկայի ամենաբարձր լեռը:")</f>
        <v>Ո՞րն է Հյուսիսային Ամերիկայի ամենաբարձր լեռը:</v>
      </c>
      <c r="D4406" s="6" t="str">
        <f>IFERROR(__xludf.DUMMYFUNCTION("GOOGLETRANSLATE(B4406,""en"",""hy"")"),"Դենալի.")</f>
        <v>Դենալի.</v>
      </c>
    </row>
    <row r="4407">
      <c r="A4407" s="5" t="s">
        <v>7852</v>
      </c>
      <c r="B4407" s="5" t="s">
        <v>7853</v>
      </c>
      <c r="C4407" s="5" t="str">
        <f>IFERROR(__xludf.DUMMYFUNCTION("GOOGLETRANSLATE(A4407,""en"",""hy"")"),"Ո՞վ է ներկայիս Անգլիայի թագուհին:")</f>
        <v>Ո՞վ է ներկայիս Անգլիայի թագուհին:</v>
      </c>
      <c r="D4407" s="6" t="str">
        <f>IFERROR(__xludf.DUMMYFUNCTION("GOOGLETRANSLATE(B4407,""en"",""hy"")"),"Եղիսաբեթ II թագուհին.")</f>
        <v>Եղիսաբեթ II թագուհին.</v>
      </c>
    </row>
    <row r="4408">
      <c r="A4408" s="5" t="s">
        <v>7557</v>
      </c>
      <c r="B4408" s="5" t="s">
        <v>7558</v>
      </c>
      <c r="C4408" s="5" t="str">
        <f>IFERROR(__xludf.DUMMYFUNCTION("GOOGLETRANSLATE(A4408,""en"",""hy"")"),"Ո՞րն է երկաթի քիմիական նշանը:")</f>
        <v>Ո՞րն է երկաթի քիմիական նշանը:</v>
      </c>
      <c r="D4408" s="6" t="str">
        <f>IFERROR(__xludf.DUMMYFUNCTION("GOOGLETRANSLATE(B4408,""en"",""hy"")"),"Ֆե")</f>
        <v>Ֆե</v>
      </c>
    </row>
    <row r="4409">
      <c r="A4409" s="5" t="s">
        <v>8114</v>
      </c>
      <c r="B4409" s="5" t="s">
        <v>1669</v>
      </c>
      <c r="C4409" s="5" t="str">
        <f>IFERROR(__xludf.DUMMYFUNCTION("GOOGLETRANSLATE(A4409,""en"",""hy"")"),"Ո՞րն է Չինաստանում խոսվող հիմնական լեզուն:")</f>
        <v>Ո՞րն է Չինաստանում խոսվող հիմնական լեզուն:</v>
      </c>
      <c r="D4409" s="6" t="str">
        <f>IFERROR(__xludf.DUMMYFUNCTION("GOOGLETRANSLATE(B4409,""en"",""hy"")"),"Չինաստանում խոսվող հիմնական լեզուն մանդարին չինարենն է։")</f>
        <v>Չինաստանում խոսվող հիմնական լեզուն մանդարին չինարենն է։</v>
      </c>
    </row>
    <row r="4410">
      <c r="A4410" s="5" t="s">
        <v>7450</v>
      </c>
      <c r="B4410" s="5" t="s">
        <v>7451</v>
      </c>
      <c r="C4410" s="5" t="str">
        <f>IFERROR(__xludf.DUMMYFUNCTION("GOOGLETRANSLATE(A4410,""en"",""hy"")"),"Ո՞րն է Ավստրալիայի մայրաքաղաքը:")</f>
        <v>Ո՞րն է Ավստրալիայի մայրաքաղաքը:</v>
      </c>
      <c r="D4410" s="6" t="str">
        <f>IFERROR(__xludf.DUMMYFUNCTION("GOOGLETRANSLATE(B4410,""en"",""hy"")"),"Կանբերա.")</f>
        <v>Կանբերա.</v>
      </c>
    </row>
    <row r="4411">
      <c r="A4411" s="5" t="s">
        <v>8115</v>
      </c>
      <c r="B4411" s="5" t="s">
        <v>8116</v>
      </c>
      <c r="C4411" s="5" t="str">
        <f>IFERROR(__xludf.DUMMYFUNCTION("GOOGLETRANSLATE(A4411,""en"",""hy"")"),"Ո՞վ է եղել Միացյալ Թագավորության առաջին կին վարչապետը:")</f>
        <v>Ո՞վ է եղել Միացյալ Թագավորության առաջին կին վարչապետը:</v>
      </c>
      <c r="D4411" s="6" t="str">
        <f>IFERROR(__xludf.DUMMYFUNCTION("GOOGLETRANSLATE(B4411,""en"",""hy"")"),"Մարգարեթ Թեթչեր")</f>
        <v>Մարգարեթ Թեթչեր</v>
      </c>
    </row>
    <row r="4412">
      <c r="A4412" s="5" t="s">
        <v>7526</v>
      </c>
      <c r="B4412" s="5" t="s">
        <v>8117</v>
      </c>
      <c r="C4412" s="5" t="str">
        <f>IFERROR(__xludf.DUMMYFUNCTION("GOOGLETRANSLATE(A4412,""en"",""hy"")"),"Ո՞րն է աշխարհի ամենամեծ կղզին:")</f>
        <v>Ո՞րն է աշխարհի ամենամեծ կղզին:</v>
      </c>
      <c r="D4412" s="6" t="str">
        <f>IFERROR(__xludf.DUMMYFUNCTION("GOOGLETRANSLATE(B4412,""en"",""hy"")"),"Գրենլանդիա")</f>
        <v>Գրենլանդիա</v>
      </c>
    </row>
    <row r="4413">
      <c r="A4413" s="5" t="s">
        <v>7473</v>
      </c>
      <c r="B4413" s="5" t="s">
        <v>7878</v>
      </c>
      <c r="C4413" s="5" t="str">
        <f>IFERROR(__xludf.DUMMYFUNCTION("GOOGLETRANSLATE(A4413,""en"",""hy"")"),"Ո՞վ է նկարել Սիքստինյան կապելլայի առաստաղը:")</f>
        <v>Ո՞վ է նկարել Սիքստինյան կապելլայի առաստաղը:</v>
      </c>
      <c r="D4413" s="6" t="str">
        <f>IFERROR(__xludf.DUMMYFUNCTION("GOOGLETRANSLATE(B4413,""en"",""hy"")"),"Միքելանջելո")</f>
        <v>Միքելանջելո</v>
      </c>
    </row>
    <row r="4414">
      <c r="A4414" s="5" t="s">
        <v>7872</v>
      </c>
      <c r="B4414" s="5" t="s">
        <v>1307</v>
      </c>
      <c r="C4414" s="5" t="str">
        <f>IFERROR(__xludf.DUMMYFUNCTION("GOOGLETRANSLATE(A4414,""en"",""hy"")"),"Ո՞րն է Իսպանիայի մայրաքաղաքը:")</f>
        <v>Ո՞րն է Իսպանիայի մայրաքաղաքը:</v>
      </c>
      <c r="D4414" s="6" t="str">
        <f>IFERROR(__xludf.DUMMYFUNCTION("GOOGLETRANSLATE(B4414,""en"",""hy"")"),"Մադրիդ.")</f>
        <v>Մադրիդ.</v>
      </c>
    </row>
    <row r="4415">
      <c r="A4415" s="5" t="s">
        <v>7480</v>
      </c>
      <c r="B4415" s="5" t="s">
        <v>7481</v>
      </c>
      <c r="C4415" s="5" t="str">
        <f>IFERROR(__xludf.DUMMYFUNCTION("GOOGLETRANSLATE(A4415,""en"",""hy"")"),"Ո՞րն է Միացյալ Նահանգների ազգային թռչունը:")</f>
        <v>Ո՞րն է Միացյալ Նահանգների ազգային թռչունը:</v>
      </c>
      <c r="D4415" s="6" t="str">
        <f>IFERROR(__xludf.DUMMYFUNCTION("GOOGLETRANSLATE(B4415,""en"",""hy"")"),"Միացյալ Նահանգների ազգային թռչունը ճաղատ արծիվն է։")</f>
        <v>Միացյալ Նահանգների ազգային թռչունը ճաղատ արծիվն է։</v>
      </c>
    </row>
    <row r="4416">
      <c r="A4416" s="5" t="s">
        <v>8118</v>
      </c>
      <c r="B4416" s="5" t="s">
        <v>8119</v>
      </c>
      <c r="C4416" s="5" t="str">
        <f>IFERROR(__xludf.DUMMYFUNCTION("GOOGLETRANSLATE(A4416,""en"",""hy"")"),"Քանի՞ սիրտ ունի ութոտնուկը:")</f>
        <v>Քանի՞ սիրտ ունի ութոտնուկը:</v>
      </c>
      <c r="D4416" s="6" t="str">
        <f>IFERROR(__xludf.DUMMYFUNCTION("GOOGLETRANSLATE(B4416,""en"",""hy"")"),"Ութոտնուկն ունի երեք սիրտ.")</f>
        <v>Ութոտնուկն ունի երեք սիրտ.</v>
      </c>
    </row>
    <row r="4417">
      <c r="A4417" s="5" t="s">
        <v>7849</v>
      </c>
      <c r="B4417" s="5" t="s">
        <v>7541</v>
      </c>
      <c r="C4417" s="5" t="str">
        <f>IFERROR(__xludf.DUMMYFUNCTION("GOOGLETRANSLATE(A4417,""en"",""hy"")"),"Ո՞վ է գրել «Սպանել ծաղրող թռչունին» վեպը:")</f>
        <v>Ո՞վ է գրել «Սպանել ծաղրող թռչունին» վեպը:</v>
      </c>
      <c r="D4417" s="6" t="str">
        <f>IFERROR(__xludf.DUMMYFUNCTION("GOOGLETRANSLATE(B4417,""en"",""hy"")"),"Հարփեր Լի.")</f>
        <v>Հարփեր Լի.</v>
      </c>
    </row>
    <row r="4418">
      <c r="A4418" s="5" t="s">
        <v>7746</v>
      </c>
      <c r="B4418" s="5" t="s">
        <v>7747</v>
      </c>
      <c r="C4418" s="5" t="str">
        <f>IFERROR(__xludf.DUMMYFUNCTION("GOOGLETRANSLATE(A4418,""en"",""hy"")"),"Ո՞րն է Աֆրիկայի ամենամեծ երկիրը:")</f>
        <v>Ո՞րն է Աֆրիկայի ամենամեծ երկիրը:</v>
      </c>
      <c r="D4418" s="6" t="str">
        <f>IFERROR(__xludf.DUMMYFUNCTION("GOOGLETRANSLATE(B4418,""en"",""hy"")"),"Ալժիր.")</f>
        <v>Ալժիր.</v>
      </c>
    </row>
    <row r="4419">
      <c r="A4419" s="5" t="s">
        <v>7592</v>
      </c>
      <c r="B4419" s="5" t="s">
        <v>7593</v>
      </c>
      <c r="C4419" s="5" t="str">
        <f>IFERROR(__xludf.DUMMYFUNCTION("GOOGLETRANSLATE(A4419,""en"",""hy"")"),"Ո՞րն է թթվածնի քիմիական նշանը:")</f>
        <v>Ո՞րն է թթվածնի քիմիական նշանը:</v>
      </c>
      <c r="D4419" s="6" t="str">
        <f>IFERROR(__xludf.DUMMYFUNCTION("GOOGLETRANSLATE(B4419,""en"",""hy"")"),"Թթվածնի քիմիական նշանը O է:")</f>
        <v>Թթվածնի քիմիական նշանը O է:</v>
      </c>
    </row>
    <row r="4420">
      <c r="A4420" s="5" t="s">
        <v>8120</v>
      </c>
      <c r="B4420" s="5" t="s">
        <v>7675</v>
      </c>
      <c r="C4420" s="5" t="str">
        <f>IFERROR(__xludf.DUMMYFUNCTION("GOOGLETRANSLATE(A4420,""en"",""hy"")"),"Ո՞վ էր հունական ծովի աստվածը:")</f>
        <v>Ո՞վ էր հունական ծովի աստվածը:</v>
      </c>
      <c r="D4420" s="6" t="str">
        <f>IFERROR(__xludf.DUMMYFUNCTION("GOOGLETRANSLATE(B4420,""en"",""hy"")"),"Պոսեյդոն.")</f>
        <v>Պոսեյդոն.</v>
      </c>
    </row>
    <row r="4421">
      <c r="A4421" s="5" t="s">
        <v>8016</v>
      </c>
      <c r="B4421" s="5" t="s">
        <v>8017</v>
      </c>
      <c r="C4421" s="5" t="str">
        <f>IFERROR(__xludf.DUMMYFUNCTION("GOOGLETRANSLATE(A4421,""en"",""hy"")"),"Ո՞րն է Անգլիայի ազգային ծաղիկը:")</f>
        <v>Ո՞րն է Անգլիայի ազգային ծաղիկը:</v>
      </c>
      <c r="D4421" s="6" t="str">
        <f>IFERROR(__xludf.DUMMYFUNCTION("GOOGLETRANSLATE(B4421,""en"",""hy"")"),"Անգլիայի ազգային ծաղիկը վարդն է։")</f>
        <v>Անգլիայի ազգային ծաղիկը վարդն է։</v>
      </c>
    </row>
    <row r="4422">
      <c r="A4422" s="5" t="s">
        <v>8121</v>
      </c>
      <c r="B4422" s="5" t="s">
        <v>8122</v>
      </c>
      <c r="C4422" s="5" t="str">
        <f>IFERROR(__xludf.DUMMYFUNCTION("GOOGLETRANSLATE(A4422,""en"",""hy"")"),"Քանի՞ աստղ կա ամերիկյան դրոշի վրա:")</f>
        <v>Քանի՞ աստղ կա ամերիկյան դրոշի վրա:</v>
      </c>
      <c r="D4422" s="6" t="str">
        <f>IFERROR(__xludf.DUMMYFUNCTION("GOOGLETRANSLATE(B4422,""en"",""hy"")"),"Ամերիկյան դրոշի վրա 50 աստղ կա։")</f>
        <v>Ամերիկյան դրոշի վրա 50 աստղ կա։</v>
      </c>
    </row>
    <row r="4423">
      <c r="A4423" s="5" t="s">
        <v>7528</v>
      </c>
      <c r="B4423" s="5" t="s">
        <v>7529</v>
      </c>
      <c r="C4423" s="5" t="str">
        <f>IFERROR(__xludf.DUMMYFUNCTION("GOOGLETRANSLATE(A4423,""en"",""hy"")"),"Ո՞վ է Գերմանիայի ներկայիս կանցլերը:")</f>
        <v>Ո՞վ է Գերմանիայի ներկայիս կանցլերը:</v>
      </c>
      <c r="D4423" s="6" t="str">
        <f>IFERROR(__xludf.DUMMYFUNCTION("GOOGLETRANSLATE(B4423,""en"",""hy"")"),"Անգելա Մերկել.")</f>
        <v>Անգելա Մերկել.</v>
      </c>
    </row>
    <row r="4424">
      <c r="A4424" s="5" t="s">
        <v>7506</v>
      </c>
      <c r="B4424" s="5" t="s">
        <v>7507</v>
      </c>
      <c r="C4424" s="5" t="str">
        <f>IFERROR(__xludf.DUMMYFUNCTION("GOOGLETRANSLATE(A4424,""en"",""hy"")"),"Ո՞րն է աշխարհի ամենափոքր երկիրը:")</f>
        <v>Ո՞րն է աշխարհի ամենափոքր երկիրը:</v>
      </c>
      <c r="D4424" s="6" t="str">
        <f>IFERROR(__xludf.DUMMYFUNCTION("GOOGLETRANSLATE(B4424,""en"",""hy"")"),"Քաղաք Վատիկան.")</f>
        <v>Քաղաք Վատիկան.</v>
      </c>
    </row>
    <row r="4425">
      <c r="A4425" s="5" t="s">
        <v>8123</v>
      </c>
      <c r="B4425" s="5" t="s">
        <v>7448</v>
      </c>
      <c r="C4425" s="5" t="str">
        <f>IFERROR(__xludf.DUMMYFUNCTION("GOOGLETRANSLATE(A4425,""en"",""hy"")"),"Ո՞վ է նկարել հայտնի «Վերջին ընթրիքը» ստեղծագործությունը:")</f>
        <v>Ո՞վ է նկարել հայտնի «Վերջին ընթրիքը» ստեղծագործությունը:</v>
      </c>
      <c r="D4425" s="6" t="str">
        <f>IFERROR(__xludf.DUMMYFUNCTION("GOOGLETRANSLATE(B4425,""en"",""hy"")"),"Լեոնարդո դա Վինչի.")</f>
        <v>Լեոնարդո դա Վինչի.</v>
      </c>
    </row>
    <row r="4426">
      <c r="A4426" s="5" t="s">
        <v>7561</v>
      </c>
      <c r="B4426" s="5" t="s">
        <v>7562</v>
      </c>
      <c r="C4426" s="5" t="str">
        <f>IFERROR(__xludf.DUMMYFUNCTION("GOOGLETRANSLATE(A4426,""en"",""hy"")"),"Ո՞րն է Մեքսիկայի արժույթը:")</f>
        <v>Ո՞րն է Մեքսիկայի արժույթը:</v>
      </c>
      <c r="D4426" s="6" t="str">
        <f>IFERROR(__xludf.DUMMYFUNCTION("GOOGLETRANSLATE(B4426,""en"",""hy"")"),"Մեքսիկայի արժույթը մեքսիկական պեսոն է։")</f>
        <v>Մեքսիկայի արժույթը մեքսիկական պեսոն է։</v>
      </c>
    </row>
    <row r="4427">
      <c r="A4427" s="5" t="s">
        <v>8124</v>
      </c>
      <c r="B4427" s="5" t="s">
        <v>1299</v>
      </c>
      <c r="C4427" s="5" t="str">
        <f>IFERROR(__xludf.DUMMYFUNCTION("GOOGLETRANSLATE(A4427,""en"",""hy"")"),"Ո՞րն է ամենամեծ մայրցամաքը ըստ ցամաքային տարածքի:")</f>
        <v>Ո՞րն է ամենամեծ մայրցամաքը ըստ ցամաքային տարածքի:</v>
      </c>
      <c r="D4427" s="6" t="str">
        <f>IFERROR(__xludf.DUMMYFUNCTION("GOOGLETRANSLATE(B4427,""en"",""hy"")"),"Ասիա.")</f>
        <v>Ասիա.</v>
      </c>
    </row>
    <row r="4428">
      <c r="A4428" s="5" t="s">
        <v>7566</v>
      </c>
      <c r="B4428" s="5" t="s">
        <v>7567</v>
      </c>
      <c r="C4428" s="5" t="str">
        <f>IFERROR(__xludf.DUMMYFUNCTION("GOOGLETRANSLATE(A4428,""en"",""hy"")"),"Ո՞վ է Կանադայի ներկայիս վարչապետը:")</f>
        <v>Ո՞վ է Կանադայի ներկայիս վարչապետը:</v>
      </c>
      <c r="D4428" s="6" t="str">
        <f>IFERROR(__xludf.DUMMYFUNCTION("GOOGLETRANSLATE(B4428,""en"",""hy"")"),"Ջասթին Թրյուդո")</f>
        <v>Ջասթին Թրյուդո</v>
      </c>
    </row>
    <row r="4429">
      <c r="A4429" s="5" t="s">
        <v>7699</v>
      </c>
      <c r="B4429" s="5" t="s">
        <v>7700</v>
      </c>
      <c r="C4429" s="5" t="str">
        <f>IFERROR(__xludf.DUMMYFUNCTION("GOOGLETRANSLATE(A4429,""en"",""hy"")"),"Ո՞րն է ածխածնի քիմիական նշանը:")</f>
        <v>Ո՞րն է ածխածնի քիմիական նշանը:</v>
      </c>
      <c r="D4429" s="6" t="str">
        <f>IFERROR(__xludf.DUMMYFUNCTION("GOOGLETRANSLATE(B4429,""en"",""hy"")"),"Ածխածնի քիմիական նշանը C է:")</f>
        <v>Ածխածնի քիմիական նշանը C է:</v>
      </c>
    </row>
    <row r="4430">
      <c r="A4430" s="5" t="s">
        <v>8125</v>
      </c>
      <c r="B4430" s="5" t="s">
        <v>8126</v>
      </c>
      <c r="C4430" s="5" t="str">
        <f>IFERROR(__xludf.DUMMYFUNCTION("GOOGLETRANSLATE(A4430,""en"",""hy"")"),"Ո՞րն է պինգվինի ամենամեծ տեսակը:")</f>
        <v>Ո՞րն է պինգվինի ամենամեծ տեսակը:</v>
      </c>
      <c r="D4430" s="6" t="str">
        <f>IFERROR(__xludf.DUMMYFUNCTION("GOOGLETRANSLATE(B4430,""en"",""hy"")"),"Պինգվինների ամենամեծ տեսակը կայսեր պինգվինն է:")</f>
        <v>Պինգվինների ամենամեծ տեսակը կայսեր պինգվինն է:</v>
      </c>
    </row>
    <row r="4431">
      <c r="A4431" s="5" t="s">
        <v>7443</v>
      </c>
      <c r="B4431" s="5" t="s">
        <v>7444</v>
      </c>
      <c r="C4431" s="5" t="str">
        <f>IFERROR(__xludf.DUMMYFUNCTION("GOOGLETRANSLATE(A4431,""en"",""hy"")"),"Ո՞վ է գրել «1984» վեպը։")</f>
        <v>Ո՞վ է գրել «1984» վեպը։</v>
      </c>
      <c r="D4431" s="6" t="str">
        <f>IFERROR(__xludf.DUMMYFUNCTION("GOOGLETRANSLATE(B4431,""en"",""hy"")"),"Ջորջ Օրուել.")</f>
        <v>Ջորջ Օրուել.</v>
      </c>
    </row>
    <row r="4432">
      <c r="A4432" s="5" t="s">
        <v>8127</v>
      </c>
      <c r="B4432" s="5" t="s">
        <v>6556</v>
      </c>
      <c r="C4432" s="5" t="str">
        <f>IFERROR(__xludf.DUMMYFUNCTION("GOOGLETRANSLATE(A4432,""en"",""hy"")"),"Ո՞րն է Ռուսաստանի պաշտոնական լեզուն:")</f>
        <v>Ո՞րն է Ռուսաստանի պաշտոնական լեզուն:</v>
      </c>
      <c r="D4432" s="6" t="str">
        <f>IFERROR(__xludf.DUMMYFUNCTION("GOOGLETRANSLATE(B4432,""en"",""hy"")"),"Ռուսաստանի պաշտոնական լեզուն ռուսերենն է։")</f>
        <v>Ռուսաստանի պաշտոնական լեզուն ռուսերենն է։</v>
      </c>
    </row>
    <row r="4433">
      <c r="A4433" s="5" t="s">
        <v>7589</v>
      </c>
      <c r="B4433" s="5" t="s">
        <v>7545</v>
      </c>
      <c r="C4433" s="5" t="str">
        <f>IFERROR(__xludf.DUMMYFUNCTION("GOOGLETRANSLATE(A4433,""en"",""hy"")"),"Ո՞րն է Իտալիայի մայրաքաղաքը:")</f>
        <v>Ո՞րն է Իտալիայի մայրաքաղաքը:</v>
      </c>
      <c r="D4433" s="6" t="str">
        <f>IFERROR(__xludf.DUMMYFUNCTION("GOOGLETRANSLATE(B4433,""en"",""hy"")"),"Հռոմ.")</f>
        <v>Հռոմ.</v>
      </c>
    </row>
    <row r="4434">
      <c r="A4434" s="5" t="s">
        <v>7791</v>
      </c>
      <c r="B4434" s="5" t="s">
        <v>8128</v>
      </c>
      <c r="C4434" s="5" t="str">
        <f>IFERROR(__xludf.DUMMYFUNCTION("GOOGLETRANSLATE(A4434,""en"",""hy"")"),"Ո՞րն է Ավստրալիայի ազգային կենդանին:")</f>
        <v>Ո՞րն է Ավստրալիայի ազգային կենդանին:</v>
      </c>
      <c r="D4434" s="6" t="str">
        <f>IFERROR(__xludf.DUMMYFUNCTION("GOOGLETRANSLATE(B4434,""en"",""hy"")"),"Կենգուրու.")</f>
        <v>Կենգուրու.</v>
      </c>
    </row>
    <row r="4435">
      <c r="A4435" s="5" t="s">
        <v>8129</v>
      </c>
      <c r="B4435" s="5" t="s">
        <v>8130</v>
      </c>
      <c r="C4435" s="5" t="str">
        <f>IFERROR(__xludf.DUMMYFUNCTION("GOOGLETRANSLATE(A4435,""en"",""hy"")"),"Քանի՞ ժամային գոտի կա աշխարհում:")</f>
        <v>Քանի՞ ժամային գոտի կա աշխարհում:</v>
      </c>
      <c r="D4435" s="6" t="str">
        <f>IFERROR(__xludf.DUMMYFUNCTION("GOOGLETRANSLATE(B4435,""en"",""hy"")"),"Աշխարհում կա 24 ժամային գոտի:")</f>
        <v>Աշխարհում կա 24 ժամային գոտի:</v>
      </c>
    </row>
    <row r="4436">
      <c r="A4436" s="5" t="s">
        <v>8131</v>
      </c>
      <c r="B4436" s="5" t="s">
        <v>7828</v>
      </c>
      <c r="C4436" s="5" t="str">
        <f>IFERROR(__xludf.DUMMYFUNCTION("GOOGLETRANSLATE(A4436,""en"",""hy"")"),"Ո՞վ է նկարել «Մոնա Լիզայի» դիմանկարը:")</f>
        <v>Ո՞վ է նկարել «Մոնա Լիզայի» դիմանկարը:</v>
      </c>
      <c r="D4436" s="6" t="str">
        <f>IFERROR(__xludf.DUMMYFUNCTION("GOOGLETRANSLATE(B4436,""en"",""hy"")"),"Լեոնարդո դա Վինչի")</f>
        <v>Լեոնարդո դա Վինչի</v>
      </c>
    </row>
    <row r="4437">
      <c r="A4437" s="5" t="s">
        <v>8132</v>
      </c>
      <c r="B4437" s="5" t="s">
        <v>8133</v>
      </c>
      <c r="C4437" s="5" t="str">
        <f>IFERROR(__xludf.DUMMYFUNCTION("GOOGLETRANSLATE(A4437,""en"",""hy"")"),"Ո՞րն է բնակչության թվով աշխարհի ամենամեծ քաղաքը:")</f>
        <v>Ո՞րն է բնակչության թվով աշխարհի ամենամեծ քաղաքը:</v>
      </c>
      <c r="D4437" s="6" t="str">
        <f>IFERROR(__xludf.DUMMYFUNCTION("GOOGLETRANSLATE(B4437,""en"",""hy"")"),"Տոկիո, Ճապոնիա")</f>
        <v>Տոկիո, Ճապոնիա</v>
      </c>
    </row>
    <row r="4438">
      <c r="A4438" s="5" t="s">
        <v>7509</v>
      </c>
      <c r="B4438" s="5" t="s">
        <v>7684</v>
      </c>
      <c r="C4438" s="5" t="str">
        <f>IFERROR(__xludf.DUMMYFUNCTION("GOOGLETRANSLATE(A4438,""en"",""hy"")"),"Ո՞րն է արծաթի քիմիական նշանը:")</f>
        <v>Ո՞րն է արծաթի քիմիական նշանը:</v>
      </c>
      <c r="D4438" s="6" t="str">
        <f>IFERROR(__xludf.DUMMYFUNCTION("GOOGLETRANSLATE(B4438,""en"",""hy"")"),"Արծաթի քիմիական խորհրդանիշն է Ag.")</f>
        <v>Արծաթի քիմիական խորհրդանիշն է Ag.</v>
      </c>
    </row>
    <row r="4439">
      <c r="A4439" s="5" t="s">
        <v>8134</v>
      </c>
      <c r="B4439" s="5" t="s">
        <v>8135</v>
      </c>
      <c r="C4439" s="5" t="str">
        <f>IFERROR(__xludf.DUMMYFUNCTION("GOOGLETRANSLATE(A4439,""en"",""hy"")"),"Ո՞վ է Չինաստանի ներկայիս նախագահը.")</f>
        <v>Ո՞վ է Չինաստանի ներկայիս նախագահը.</v>
      </c>
      <c r="D4439" s="6" t="str">
        <f>IFERROR(__xludf.DUMMYFUNCTION("GOOGLETRANSLATE(B4439,""en"",""hy"")"),"Չինաստանի ներկայիս նախագահը Սի Ցզինպինն է։")</f>
        <v>Չինաստանի ներկայիս նախագահը Սի Ցզինպինն է։</v>
      </c>
    </row>
    <row r="4440">
      <c r="A4440" s="5" t="s">
        <v>7608</v>
      </c>
      <c r="B4440" s="5" t="s">
        <v>7609</v>
      </c>
      <c r="C4440" s="5" t="str">
        <f>IFERROR(__xludf.DUMMYFUNCTION("GOOGLETRANSLATE(A4440,""en"",""hy"")"),"Ո՞րն է Հնդկաստանի մայրաքաղաքը:")</f>
        <v>Ո՞րն է Հնդկաստանի մայրաքաղաքը:</v>
      </c>
      <c r="D4440" s="6" t="str">
        <f>IFERROR(__xludf.DUMMYFUNCTION("GOOGLETRANSLATE(B4440,""en"",""hy"")"),"Նյու Դելի.")</f>
        <v>Նյու Դելի.</v>
      </c>
    </row>
    <row r="4441">
      <c r="A4441" s="5" t="s">
        <v>8136</v>
      </c>
      <c r="B4441" s="5" t="s">
        <v>8137</v>
      </c>
      <c r="C4441" s="5" t="str">
        <f>IFERROR(__xludf.DUMMYFUNCTION("GOOGLETRANSLATE(A4441,""en"",""hy"")"),"Ո՞րն է Ֆրանսիայի ազգային ծաղիկը:")</f>
        <v>Ո՞րն է Ֆրանսիայի ազգային ծաղիկը:</v>
      </c>
      <c r="D4441" s="6" t="str">
        <f>IFERROR(__xludf.DUMMYFUNCTION("GOOGLETRANSLATE(B4441,""en"",""hy"")"),"Ֆրանսիայի ազգային ծաղիկը ծիածանաթաղանթն է։")</f>
        <v>Ֆրանսիայի ազգային ծաղիկը ծիածանաթաղանթն է։</v>
      </c>
    </row>
    <row r="4442">
      <c r="A4442" s="5" t="s">
        <v>7575</v>
      </c>
      <c r="B4442" s="5" t="s">
        <v>7576</v>
      </c>
      <c r="C4442" s="5" t="str">
        <f>IFERROR(__xludf.DUMMYFUNCTION("GOOGLETRANSLATE(A4442,""en"",""hy"")"),"Քանի՞ գույն կա ծիածանի մեջ:")</f>
        <v>Քանի՞ գույն կա ծիածանի մեջ:</v>
      </c>
      <c r="D4442" s="6" t="str">
        <f>IFERROR(__xludf.DUMMYFUNCTION("GOOGLETRANSLATE(B4442,""en"",""hy"")"),"Ծիածանի մեջ յոթ գույն կա:")</f>
        <v>Ծիածանի մեջ յոթ գույն կա:</v>
      </c>
    </row>
    <row r="4443">
      <c r="A4443" s="5" t="s">
        <v>7683</v>
      </c>
      <c r="B4443" s="5" t="s">
        <v>1016</v>
      </c>
      <c r="C4443" s="5" t="str">
        <f>IFERROR(__xludf.DUMMYFUNCTION("GOOGLETRANSLATE(A4443,""en"",""hy"")"),"Ո՞վ է գրել «Համլետ» պիեսը։")</f>
        <v>Ո՞վ է գրել «Համլետ» պիեսը։</v>
      </c>
      <c r="D4443" s="6" t="str">
        <f>IFERROR(__xludf.DUMMYFUNCTION("GOOGLETRANSLATE(B4443,""en"",""hy"")"),"Ուիլյամ Շեքսպիր.")</f>
        <v>Ուիլյամ Շեքսպիր.</v>
      </c>
    </row>
    <row r="4444">
      <c r="A4444" s="5" t="s">
        <v>7691</v>
      </c>
      <c r="B4444" s="5" t="s">
        <v>7692</v>
      </c>
      <c r="C4444" s="5" t="str">
        <f>IFERROR(__xludf.DUMMYFUNCTION("GOOGLETRANSLATE(A4444,""en"",""hy"")"),"Ո՞րն է Աֆրիկայի ամենամեծ լիճը:")</f>
        <v>Ո՞րն է Աֆրիկայի ամենամեծ լիճը:</v>
      </c>
      <c r="D4444" s="6" t="str">
        <f>IFERROR(__xludf.DUMMYFUNCTION("GOOGLETRANSLATE(B4444,""en"",""hy"")"),"Վիկտորիա լիճ.")</f>
        <v>Վիկտորիա լիճ.</v>
      </c>
    </row>
    <row r="4445">
      <c r="A4445" s="5" t="s">
        <v>7542</v>
      </c>
      <c r="B4445" s="5" t="s">
        <v>7543</v>
      </c>
      <c r="C4445" s="5" t="str">
        <f>IFERROR(__xludf.DUMMYFUNCTION("GOOGLETRANSLATE(A4445,""en"",""hy"")"),"Ո՞րն է Կանադայի արժույթը:")</f>
        <v>Ո՞րն է Կանադայի արժույթը:</v>
      </c>
      <c r="D4445" s="6" t="str">
        <f>IFERROR(__xludf.DUMMYFUNCTION("GOOGLETRANSLATE(B4445,""en"",""hy"")"),"Կանադայի արժույթը կանադական դոլարն է։")</f>
        <v>Կանադայի արժույթը կանադական դոլարն է։</v>
      </c>
    </row>
    <row r="4446">
      <c r="A4446" s="5" t="s">
        <v>8078</v>
      </c>
      <c r="B4446" s="5" t="s">
        <v>7478</v>
      </c>
      <c r="C4446" s="5" t="str">
        <f>IFERROR(__xludf.DUMMYFUNCTION("GOOGLETRANSLATE(A4446,""en"",""hy"")"),"Ո՞ր երկիրն է հայտնի որպես Ծագող Արևի երկիր:")</f>
        <v>Ո՞ր երկիրն է հայտնի որպես Ծագող Արևի երկիր:</v>
      </c>
      <c r="D4446" s="6" t="str">
        <f>IFERROR(__xludf.DUMMYFUNCTION("GOOGLETRANSLATE(B4446,""en"",""hy"")"),"Ճապոնիա.")</f>
        <v>Ճապոնիա.</v>
      </c>
    </row>
    <row r="4447">
      <c r="A4447" s="5" t="s">
        <v>7854</v>
      </c>
      <c r="B4447" s="5" t="s">
        <v>7458</v>
      </c>
      <c r="C4447" s="5" t="str">
        <f>IFERROR(__xludf.DUMMYFUNCTION("GOOGLETRANSLATE(A4447,""en"",""hy"")"),"Ո՞վ էր Միացյալ Նահանգների առաջին նախագահը:")</f>
        <v>Ո՞վ էր Միացյալ Նահանգների առաջին նախագահը:</v>
      </c>
      <c r="D4447" s="6" t="str">
        <f>IFERROR(__xludf.DUMMYFUNCTION("GOOGLETRANSLATE(B4447,""en"",""hy"")"),"Ջորջ Վաշինգտոն.")</f>
        <v>Ջորջ Վաշինգտոն.</v>
      </c>
    </row>
    <row r="4448">
      <c r="A4448" s="5" t="s">
        <v>7665</v>
      </c>
      <c r="B4448" s="5" t="s">
        <v>7781</v>
      </c>
      <c r="C4448" s="5" t="str">
        <f>IFERROR(__xludf.DUMMYFUNCTION("GOOGLETRANSLATE(A4448,""en"",""hy"")"),"Ո՞րն է նատրիումի քիմիական նշանը:")</f>
        <v>Ո՞րն է նատրիումի քիմիական նշանը:</v>
      </c>
      <c r="D4448" s="6" t="str">
        <f>IFERROR(__xludf.DUMMYFUNCTION("GOOGLETRANSLATE(B4448,""en"",""hy"")"),"Նատրիումի քիմիական նշանը Na է:")</f>
        <v>Նատրիումի քիմիական նշանը Na է:</v>
      </c>
    </row>
    <row r="4449">
      <c r="A4449" s="5" t="s">
        <v>8138</v>
      </c>
      <c r="B4449" s="5" t="s">
        <v>1319</v>
      </c>
      <c r="C4449" s="5" t="str">
        <f>IFERROR(__xludf.DUMMYFUNCTION("GOOGLETRANSLATE(A4449,""en"",""hy"")"),"Ո՞րն է Բրազիլիայում խոսվող հիմնական լեզուն:")</f>
        <v>Ո՞րն է Բրազիլիայում խոսվող հիմնական լեզուն:</v>
      </c>
      <c r="D4449" s="6" t="str">
        <f>IFERROR(__xludf.DUMMYFUNCTION("GOOGLETRANSLATE(B4449,""en"",""hy"")"),"Բրազիլիայում խոսվող հիմնական լեզուն պորտուգալերենն է։")</f>
        <v>Բրազիլիայում խոսվող հիմնական լեզուն պորտուգալերենն է։</v>
      </c>
    </row>
    <row r="4450">
      <c r="A4450" s="5" t="s">
        <v>7626</v>
      </c>
      <c r="B4450" s="5" t="s">
        <v>8139</v>
      </c>
      <c r="C4450" s="5" t="str">
        <f>IFERROR(__xludf.DUMMYFUNCTION("GOOGLETRANSLATE(A4450,""en"",""hy"")"),"Ո՞րն է Գերմանիայի մայրաքաղաքը:")</f>
        <v>Ո՞րն է Գերմանիայի մայրաքաղաքը:</v>
      </c>
      <c r="D4450" s="6" t="str">
        <f>IFERROR(__xludf.DUMMYFUNCTION("GOOGLETRANSLATE(B4450,""en"",""hy"")"),"Գերմանիայի մայրաքաղաքը Բեռլինն է։")</f>
        <v>Գերմանիայի մայրաքաղաքը Բեռլինն է։</v>
      </c>
    </row>
    <row r="4451">
      <c r="A4451" s="5" t="s">
        <v>7473</v>
      </c>
      <c r="B4451" s="5" t="s">
        <v>7474</v>
      </c>
      <c r="C4451" s="5" t="str">
        <f>IFERROR(__xludf.DUMMYFUNCTION("GOOGLETRANSLATE(A4451,""en"",""hy"")"),"Ո՞վ է նկարել Սիքստինյան կապելլայի առաստաղը:")</f>
        <v>Ո՞վ է նկարել Սիքստինյան կապելլայի առաստաղը:</v>
      </c>
      <c r="D4451" s="6" t="str">
        <f>IFERROR(__xludf.DUMMYFUNCTION("GOOGLETRANSLATE(B4451,""en"",""hy"")"),"Միքելանջելո.")</f>
        <v>Միքելանջելո.</v>
      </c>
    </row>
    <row r="4452">
      <c r="A4452" s="5" t="s">
        <v>7614</v>
      </c>
      <c r="B4452" s="5" t="s">
        <v>7721</v>
      </c>
      <c r="C4452" s="5" t="str">
        <f>IFERROR(__xludf.DUMMYFUNCTION("GOOGLETRANSLATE(A4452,""en"",""hy"")"),"Ո՞րն է Ֆրանսիայի արժույթը:")</f>
        <v>Ո՞րն է Ֆրանսիայի արժույթը:</v>
      </c>
      <c r="D4452" s="6" t="str">
        <f>IFERROR(__xludf.DUMMYFUNCTION("GOOGLETRANSLATE(B4452,""en"",""hy"")"),"Ֆրանսիայի արժույթը եվրոն է։")</f>
        <v>Ֆրանսիայի արժույթը եվրոն է։</v>
      </c>
    </row>
    <row r="4453">
      <c r="A4453" s="5" t="s">
        <v>8140</v>
      </c>
      <c r="B4453" s="5" t="s">
        <v>8141</v>
      </c>
      <c r="C4453" s="5" t="str">
        <f>IFERROR(__xludf.DUMMYFUNCTION("GOOGLETRANSLATE(A4453,""en"",""hy"")"),"Ո՞րն է Եվրոպայի ամենամեծ երկիրը:")</f>
        <v>Ո՞րն է Եվրոպայի ամենամեծ երկիրը:</v>
      </c>
      <c r="D4453" s="6" t="str">
        <f>IFERROR(__xludf.DUMMYFUNCTION("GOOGLETRANSLATE(B4453,""en"",""hy"")"),"Ռուսաստան")</f>
        <v>Ռուսաստան</v>
      </c>
    </row>
    <row r="4454">
      <c r="A4454" s="5" t="s">
        <v>8142</v>
      </c>
      <c r="B4454" s="5" t="s">
        <v>8143</v>
      </c>
      <c r="C4454" s="5" t="str">
        <f>IFERROR(__xludf.DUMMYFUNCTION("GOOGLETRANSLATE(A4454,""en"",""hy"")"),"Ո՞վ է Ավստրալիայի ներկայիս վարչապետը:")</f>
        <v>Ո՞վ է Ավստրալիայի ներկայիս վարչապետը:</v>
      </c>
      <c r="D4454" s="6" t="str">
        <f>IFERROR(__xludf.DUMMYFUNCTION("GOOGLETRANSLATE(B4454,""en"",""hy"")"),"Սքոթ Մորիսոն.")</f>
        <v>Սքոթ Մորիսոն.</v>
      </c>
    </row>
    <row r="4455">
      <c r="A4455" s="5" t="s">
        <v>7809</v>
      </c>
      <c r="B4455" s="5" t="s">
        <v>7810</v>
      </c>
      <c r="C4455" s="5" t="str">
        <f>IFERROR(__xludf.DUMMYFUNCTION("GOOGLETRANSLATE(A4455,""en"",""hy"")"),"Ո՞րն է հելիումի քիմիական նշանը:")</f>
        <v>Ո՞րն է հելիումի քիմիական նշանը:</v>
      </c>
      <c r="D4455" s="6" t="str">
        <f>IFERROR(__xludf.DUMMYFUNCTION("GOOGLETRANSLATE(B4455,""en"",""hy"")"),"Նա")</f>
        <v>Նա</v>
      </c>
    </row>
    <row r="4456">
      <c r="A4456" s="5" t="s">
        <v>8144</v>
      </c>
      <c r="B4456" s="5" t="s">
        <v>8145</v>
      </c>
      <c r="C4456" s="5" t="str">
        <f>IFERROR(__xludf.DUMMYFUNCTION("GOOGLETRANSLATE(A4456,""en"",""hy"")"),"Ո՞րն է Իսպանիայի պաշտոնական լեզուն:")</f>
        <v>Ո՞րն է Իսպանիայի պաշտոնական լեզուն:</v>
      </c>
      <c r="D4456" s="6" t="str">
        <f>IFERROR(__xludf.DUMMYFUNCTION("GOOGLETRANSLATE(B4456,""en"",""hy"")"),"Իսպանիայի պաշտոնական լեզուն իսպաներենն է։")</f>
        <v>Իսպանիայի պաշտոնական լեզուն իսպաներենն է։</v>
      </c>
    </row>
    <row r="4457">
      <c r="A4457" s="5" t="s">
        <v>7553</v>
      </c>
      <c r="B4457" s="5" t="s">
        <v>7249</v>
      </c>
      <c r="C4457" s="5" t="str">
        <f>IFERROR(__xludf.DUMMYFUNCTION("GOOGLETRANSLATE(A4457,""en"",""hy"")"),"Ո՞րն է Հարավային Աֆրիկայի մայրաքաղաքը:")</f>
        <v>Ո՞րն է Հարավային Աֆրիկայի մայրաքաղաքը:</v>
      </c>
      <c r="D4457" s="6" t="str">
        <f>IFERROR(__xludf.DUMMYFUNCTION("GOOGLETRANSLATE(B4457,""en"",""hy"")"),"Հարավային Աֆրիկայի մայրաքաղաքը Պրետորիան է։")</f>
        <v>Հարավային Աֆրիկայի մայրաքաղաքը Պրետորիան է։</v>
      </c>
    </row>
    <row r="4458">
      <c r="A4458" s="5" t="s">
        <v>7602</v>
      </c>
      <c r="B4458" s="5" t="s">
        <v>7603</v>
      </c>
      <c r="C4458" s="5" t="str">
        <f>IFERROR(__xludf.DUMMYFUNCTION("GOOGLETRANSLATE(A4458,""en"",""hy"")"),"Ո՞րն է Կանադայի ազգային թռչունը:")</f>
        <v>Ո՞րն է Կանադայի ազգային թռչունը:</v>
      </c>
      <c r="D4458" s="6" t="str">
        <f>IFERROR(__xludf.DUMMYFUNCTION("GOOGLETRANSLATE(B4458,""en"",""hy"")"),"Կանադայի ազգային թռչունը սովորական ձագն է:")</f>
        <v>Կանադայի ազգային թռչունը սովորական ձագն է:</v>
      </c>
    </row>
    <row r="4459">
      <c r="A4459" s="5" t="s">
        <v>7969</v>
      </c>
      <c r="B4459" s="5" t="s">
        <v>7970</v>
      </c>
      <c r="C4459" s="5" t="str">
        <f>IFERROR(__xludf.DUMMYFUNCTION("GOOGLETRANSLATE(A4459,""en"",""hy"")"),"Քանի՞ ոսկոր կա մարդու գանգում:")</f>
        <v>Քանի՞ ոսկոր կա մարդու գանգում:</v>
      </c>
      <c r="D4459" s="6" t="str">
        <f>IFERROR(__xludf.DUMMYFUNCTION("GOOGLETRANSLATE(B4459,""en"",""hy"")"),"Մարդու գանգում կա 22 ոսկոր։")</f>
        <v>Մարդու գանգում կա 22 ոսկոր։</v>
      </c>
    </row>
    <row r="4460">
      <c r="A4460" s="5" t="s">
        <v>7890</v>
      </c>
      <c r="B4460" s="5" t="s">
        <v>7661</v>
      </c>
      <c r="C4460" s="5" t="str">
        <f>IFERROR(__xludf.DUMMYFUNCTION("GOOGLETRANSLATE(A4460,""en"",""hy"")"),"Ո՞վ է գրել «Մեծն Գեթսբի» վեպը:")</f>
        <v>Ո՞վ է գրել «Մեծն Գեթսբի» վեպը:</v>
      </c>
      <c r="D4460" s="6" t="str">
        <f>IFERROR(__xludf.DUMMYFUNCTION("GOOGLETRANSLATE(B4460,""en"",""hy"")"),"F. Scott Fitzgerald.")</f>
        <v>F. Scott Fitzgerald.</v>
      </c>
    </row>
    <row r="4461">
      <c r="A4461" s="5" t="s">
        <v>8146</v>
      </c>
      <c r="B4461" s="5" t="s">
        <v>8147</v>
      </c>
      <c r="C4461" s="5" t="str">
        <f>IFERROR(__xludf.DUMMYFUNCTION("GOOGLETRANSLATE(A4461,""en"",""hy"")"),"Ո՞րն է Եվրոպայի ամենամեծ գետը:")</f>
        <v>Ո՞րն է Եվրոպայի ամենամեծ գետը:</v>
      </c>
      <c r="D4461" s="6" t="str">
        <f>IFERROR(__xludf.DUMMYFUNCTION("GOOGLETRANSLATE(B4461,""en"",""hy"")"),"Եվրոպայի ամենամեծ գետը Վոլգա գետն է։")</f>
        <v>Եվրոպայի ամենամեծ գետը Վոլգա գետն է։</v>
      </c>
    </row>
    <row r="4462">
      <c r="A4462" s="5" t="s">
        <v>7706</v>
      </c>
      <c r="B4462" s="5" t="s">
        <v>8148</v>
      </c>
      <c r="C4462" s="5" t="str">
        <f>IFERROR(__xludf.DUMMYFUNCTION("GOOGLETRANSLATE(A4462,""en"",""hy"")"),"Ո՞րն է Միացյալ Թագավորության արժույթը:")</f>
        <v>Ո՞րն է Միացյալ Թագավորության արժույթը:</v>
      </c>
      <c r="D4462" s="6" t="str">
        <f>IFERROR(__xludf.DUMMYFUNCTION("GOOGLETRANSLATE(B4462,""en"",""hy"")"),"Միացյալ Թագավորության արժույթը բրիտանական ֆունտն է (GBP):")</f>
        <v>Միացյալ Թագավորության արժույթը բրիտանական ֆունտն է (GBP):</v>
      </c>
    </row>
    <row r="4463">
      <c r="A4463" s="5" t="s">
        <v>8149</v>
      </c>
      <c r="B4463" s="5" t="s">
        <v>8150</v>
      </c>
      <c r="C4463" s="5" t="str">
        <f>IFERROR(__xludf.DUMMYFUNCTION("GOOGLETRANSLATE(A4463,""en"",""hy"")"),"Ո՞վ էր առաջին մարդը, ով ոտք դրեց Անտարկտիդայի վրա:")</f>
        <v>Ո՞վ էր առաջին մարդը, ով ոտք դրեց Անտարկտիդայի վրա:</v>
      </c>
      <c r="D4463" s="6" t="str">
        <f>IFERROR(__xludf.DUMMYFUNCTION("GOOGLETRANSLATE(B4463,""en"",""hy"")"),"Ռոալդ Ամունդսեն.")</f>
        <v>Ռոալդ Ամունդսեն.</v>
      </c>
    </row>
    <row r="4464">
      <c r="A4464" s="5" t="s">
        <v>7893</v>
      </c>
      <c r="B4464" s="5" t="s">
        <v>7894</v>
      </c>
      <c r="C4464" s="5" t="str">
        <f>IFERROR(__xludf.DUMMYFUNCTION("GOOGLETRANSLATE(A4464,""en"",""hy"")"),"Ո՞րն է կալիումի քիմիական նշանը:")</f>
        <v>Ո՞րն է կալիումի քիմիական նշանը:</v>
      </c>
      <c r="D4464" s="6" t="str">
        <f>IFERROR(__xludf.DUMMYFUNCTION("GOOGLETRANSLATE(B4464,""en"",""hy"")"),"Կալիումի քիմիական նշանը Կ.")</f>
        <v>Կալիումի քիմիական նշանը Կ.</v>
      </c>
    </row>
    <row r="4465">
      <c r="A4465" s="5" t="s">
        <v>8151</v>
      </c>
      <c r="B4465" s="5" t="s">
        <v>8152</v>
      </c>
      <c r="C4465" s="5" t="str">
        <f>IFERROR(__xludf.DUMMYFUNCTION("GOOGLETRANSLATE(A4465,""en"",""hy"")"),"Ո՞րն է Հնդկաստանի ազգային կենդանին:")</f>
        <v>Ո՞րն է Հնդկաստանի ազգային կենդանին:</v>
      </c>
      <c r="D4465" s="6" t="str">
        <f>IFERROR(__xludf.DUMMYFUNCTION("GOOGLETRANSLATE(B4465,""en"",""hy"")"),"Հնդկաստանի ազգային կենդանին Բենգալյան վագրն է:")</f>
        <v>Հնդկաստանի ազգային կենդանին Բենգալյան վագրն է:</v>
      </c>
    </row>
    <row r="4466">
      <c r="A4466" s="5" t="s">
        <v>8153</v>
      </c>
      <c r="B4466" s="5" t="s">
        <v>8154</v>
      </c>
      <c r="C4466" s="5" t="str">
        <f>IFERROR(__xludf.DUMMYFUNCTION("GOOGLETRANSLATE(A4466,""en"",""hy"")"),"Քանի՞ նահանգ կա Կանադայում:")</f>
        <v>Քանի՞ նահանգ կա Կանադայում:</v>
      </c>
      <c r="D4466" s="6" t="str">
        <f>IFERROR(__xludf.DUMMYFUNCTION("GOOGLETRANSLATE(B4466,""en"",""hy"")"),"Կանադայում կա 10 նահանգ։")</f>
        <v>Կանադայում կա 10 նահանգ։</v>
      </c>
    </row>
    <row r="4467">
      <c r="A4467" s="5" t="s">
        <v>8155</v>
      </c>
      <c r="B4467" s="5" t="s">
        <v>7648</v>
      </c>
      <c r="C4467" s="5" t="str">
        <f>IFERROR(__xludf.DUMMYFUNCTION("GOOGLETRANSLATE(A4467,""en"",""hy"")"),"Ո՞վ է նկարել «Աստղային գիշեր» նկարը:")</f>
        <v>Ո՞վ է նկարել «Աստղային գիշեր» նկարը:</v>
      </c>
      <c r="D4467" s="6" t="str">
        <f>IFERROR(__xludf.DUMMYFUNCTION("GOOGLETRANSLATE(B4467,""en"",""hy"")"),"Վինսենթ վան Գոգ.")</f>
        <v>Վինսենթ վան Գոգ.</v>
      </c>
    </row>
    <row r="4468">
      <c r="A4468" s="5" t="s">
        <v>8156</v>
      </c>
      <c r="B4468" s="5" t="s">
        <v>7343</v>
      </c>
      <c r="C4468" s="5" t="str">
        <f>IFERROR(__xludf.DUMMYFUNCTION("GOOGLETRANSLATE(A4468,""en"",""hy"")"),"Ո՞րն է Ասիայի ամենամեծ երկիրը ցամաքային տարածքով:")</f>
        <v>Ո՞րն է Ասիայի ամենամեծ երկիրը ցամաքային տարածքով:</v>
      </c>
      <c r="D4468" s="6" t="str">
        <f>IFERROR(__xludf.DUMMYFUNCTION("GOOGLETRANSLATE(B4468,""en"",""hy"")"),"Ռուսաստան.")</f>
        <v>Ռուսաստան.</v>
      </c>
    </row>
    <row r="4469">
      <c r="A4469" s="5" t="s">
        <v>8157</v>
      </c>
      <c r="B4469" s="5" t="s">
        <v>8158</v>
      </c>
      <c r="C4469" s="5" t="str">
        <f>IFERROR(__xludf.DUMMYFUNCTION("GOOGLETRANSLATE(A4469,""en"",""hy"")"),"Որքա՞ն է ներկայիս աշխարհի բնակչությունը:")</f>
        <v>Որքա՞ն է ներկայիս աշխարհի բնակչությունը:</v>
      </c>
      <c r="D4469" s="6" t="str">
        <f>IFERROR(__xludf.DUMMYFUNCTION("GOOGLETRANSLATE(B4469,""en"",""hy"")"),"Աշխարհի ներկայիս բնակչությունը մոտ 7,9 միլիարդ է։")</f>
        <v>Աշխարհի ներկայիս բնակչությունը մոտ 7,9 միլիարդ է։</v>
      </c>
    </row>
    <row r="4470">
      <c r="A4470" s="5" t="s">
        <v>8159</v>
      </c>
      <c r="B4470" s="5" t="s">
        <v>8160</v>
      </c>
      <c r="C4470" s="5" t="str">
        <f>IFERROR(__xludf.DUMMYFUNCTION("GOOGLETRANSLATE(A4470,""en"",""hy"")"),"Ո՞վ է Ռուսաստանի ներկայիս նախագահը.")</f>
        <v>Ո՞վ է Ռուսաստանի ներկայիս նախագահը.</v>
      </c>
      <c r="D4470" s="6" t="str">
        <f>IFERROR(__xludf.DUMMYFUNCTION("GOOGLETRANSLATE(B4470,""en"",""hy"")"),"Վլադիմիր Պուտին.")</f>
        <v>Վլադիմիր Պուտին.</v>
      </c>
    </row>
    <row r="4471">
      <c r="A4471" s="5" t="s">
        <v>7574</v>
      </c>
      <c r="B4471" s="5" t="s">
        <v>7525</v>
      </c>
      <c r="C4471" s="5" t="str">
        <f>IFERROR(__xludf.DUMMYFUNCTION("GOOGLETRANSLATE(A4471,""en"",""hy"")"),"Ո՞րն է Չինաստանի մայրաքաղաքը:")</f>
        <v>Ո՞րն է Չինաստանի մայրաքաղաքը:</v>
      </c>
      <c r="D4471" s="6" t="str">
        <f>IFERROR(__xludf.DUMMYFUNCTION("GOOGLETRANSLATE(B4471,""en"",""hy"")"),"Պեկին.")</f>
        <v>Պեկին.</v>
      </c>
    </row>
    <row r="4472">
      <c r="A4472" s="5" t="s">
        <v>8161</v>
      </c>
      <c r="B4472" s="5" t="s">
        <v>8162</v>
      </c>
      <c r="C4472" s="5" t="str">
        <f>IFERROR(__xludf.DUMMYFUNCTION("GOOGLETRANSLATE(A4472,""en"",""hy"")"),"Ո՞րն է Ճապոնիայի ազգային ծաղիկը:")</f>
        <v>Ո՞րն է Ճապոնիայի ազգային ծաղիկը:</v>
      </c>
      <c r="D4472" s="6" t="str">
        <f>IFERROR(__xludf.DUMMYFUNCTION("GOOGLETRANSLATE(B4472,""en"",""hy"")"),"Ճապոնիայի ազգային ծաղիկը բալի ծաղիկն է:")</f>
        <v>Ճապոնիայի ազգային ծաղիկը բալի ծաղիկն է:</v>
      </c>
    </row>
    <row r="4473">
      <c r="A4473" s="5" t="s">
        <v>7927</v>
      </c>
      <c r="B4473" s="5" t="s">
        <v>8163</v>
      </c>
      <c r="C4473" s="5" t="str">
        <f>IFERROR(__xludf.DUMMYFUNCTION("GOOGLETRANSLATE(A4473,""en"",""hy"")"),"Քանի՞ խաղացող կա բասկետբոլի թիմում:")</f>
        <v>Քանի՞ խաղացող կա բասկետբոլի թիմում:</v>
      </c>
      <c r="D4473" s="6" t="str">
        <f>IFERROR(__xludf.DUMMYFUNCTION("GOOGLETRANSLATE(B4473,""en"",""hy"")"),"Բասկետբոլի թիմում 5 խաղացող կա։")</f>
        <v>Բասկետբոլի թիմում 5 խաղացող կա։</v>
      </c>
    </row>
    <row r="4474">
      <c r="A4474" s="5" t="s">
        <v>7737</v>
      </c>
      <c r="B4474" s="5" t="s">
        <v>7560</v>
      </c>
      <c r="C4474" s="5" t="str">
        <f>IFERROR(__xludf.DUMMYFUNCTION("GOOGLETRANSLATE(A4474,""en"",""hy"")"),"Ո՞վ է գրել «Շորայի մեջ բռնողը» վեպը:")</f>
        <v>Ո՞վ է գրել «Շորայի մեջ բռնողը» վեպը:</v>
      </c>
      <c r="D4474" s="6" t="str">
        <f>IFERROR(__xludf.DUMMYFUNCTION("GOOGLETRANSLATE(B4474,""en"",""hy"")"),"Ջ.Դ.Սելինջեր.")</f>
        <v>Ջ.Դ.Սելինջեր.</v>
      </c>
    </row>
    <row r="4475">
      <c r="A4475" s="5" t="s">
        <v>8164</v>
      </c>
      <c r="B4475" s="5" t="s">
        <v>8165</v>
      </c>
      <c r="C4475" s="5" t="str">
        <f>IFERROR(__xludf.DUMMYFUNCTION("GOOGLETRANSLATE(A4475,""en"",""hy"")"),"Ո՞րն է փղի ամենամեծ տեսակը:")</f>
        <v>Ո՞րն է փղի ամենամեծ տեսակը:</v>
      </c>
      <c r="D4475" s="6" t="str">
        <f>IFERROR(__xludf.DUMMYFUNCTION("GOOGLETRANSLATE(B4475,""en"",""hy"")"),"Աֆրիկյան փիղը փղերի ամենամեծ տեսակն է։")</f>
        <v>Աֆրիկյան փիղը փղերի ամենամեծ տեսակն է։</v>
      </c>
    </row>
    <row r="4476">
      <c r="A4476" s="5" t="s">
        <v>7489</v>
      </c>
      <c r="B4476" s="5" t="s">
        <v>7708</v>
      </c>
      <c r="C4476" s="5" t="str">
        <f>IFERROR(__xludf.DUMMYFUNCTION("GOOGLETRANSLATE(A4476,""en"",""hy"")"),"Ո՞րն է աշխարհի ամենաբարձր շենքը:")</f>
        <v>Ո՞րն է աշխարհի ամենաբարձր շենքը:</v>
      </c>
      <c r="D4476" s="6" t="str">
        <f>IFERROR(__xludf.DUMMYFUNCTION("GOOGLETRANSLATE(B4476,""en"",""hy"")"),"Բուրջ Խալիֆա.")</f>
        <v>Բուրջ Խալիֆա.</v>
      </c>
    </row>
    <row r="4477">
      <c r="A4477" s="5" t="s">
        <v>8166</v>
      </c>
      <c r="B4477" s="5" t="s">
        <v>8167</v>
      </c>
      <c r="C4477" s="5" t="str">
        <f>IFERROR(__xludf.DUMMYFUNCTION("GOOGLETRANSLATE(A4477,""en"",""hy"")"),"Ո՞վ է Ճապոնիայի ներկայիս վարչապետը:")</f>
        <v>Ո՞վ է Ճապոնիայի ներկայիս վարչապետը:</v>
      </c>
      <c r="D4477" s="6" t="str">
        <f>IFERROR(__xludf.DUMMYFUNCTION("GOOGLETRANSLATE(B4477,""en"",""hy"")"),"Ճապոնիայի ներկայիս վարչապետը Յոսիհիդե Սուգան է։")</f>
        <v>Ճապոնիայի ներկայիս վարչապետը Յոսիհիդե Սուգան է։</v>
      </c>
    </row>
    <row r="4478">
      <c r="A4478" s="5" t="s">
        <v>7875</v>
      </c>
      <c r="B4478" s="5" t="s">
        <v>7876</v>
      </c>
      <c r="C4478" s="5" t="str">
        <f>IFERROR(__xludf.DUMMYFUNCTION("GOOGLETRANSLATE(A4478,""en"",""hy"")"),"Ո՞րն է ազոտի քիմիական նշանը:")</f>
        <v>Ո՞րն է ազոտի քիմիական նշանը:</v>
      </c>
      <c r="D4478" s="6" t="str">
        <f>IFERROR(__xludf.DUMMYFUNCTION("GOOGLETRANSLATE(B4478,""en"",""hy"")"),"Ազոտի քիմիական նշանն է N.")</f>
        <v>Ազոտի քիմիական նշանն է N.</v>
      </c>
    </row>
    <row r="4479">
      <c r="A4479" s="5" t="s">
        <v>7568</v>
      </c>
      <c r="B4479" s="5" t="s">
        <v>7569</v>
      </c>
      <c r="C4479" s="5" t="str">
        <f>IFERROR(__xludf.DUMMYFUNCTION("GOOGLETRANSLATE(A4479,""en"",""hy"")"),"Ո՞րն է Ավստրալիայի ազգային թռչունը:")</f>
        <v>Ո՞րն է Ավստրալիայի ազգային թռչունը:</v>
      </c>
      <c r="D4479" s="6" t="str">
        <f>IFERROR(__xludf.DUMMYFUNCTION("GOOGLETRANSLATE(B4479,""en"",""hy"")"),"Ավստրալիայի ազգային թռչունը էմուն է:")</f>
        <v>Ավստրալիայի ազգային թռչունը էմուն է:</v>
      </c>
    </row>
    <row r="4480">
      <c r="A4480" s="5" t="s">
        <v>8168</v>
      </c>
      <c r="B4480" s="5" t="s">
        <v>8169</v>
      </c>
      <c r="C4480" s="5" t="str">
        <f>IFERROR(__xludf.DUMMYFUNCTION("GOOGLETRANSLATE(A4480,""en"",""hy"")"),"Քանի՞ ժամային գոտի կա Միացյալ Նահանգներում:")</f>
        <v>Քանի՞ ժամային գոտի կա Միացյալ Նահանգներում:</v>
      </c>
      <c r="D4480" s="6" t="str">
        <f>IFERROR(__xludf.DUMMYFUNCTION("GOOGLETRANSLATE(B4480,""en"",""hy"")"),"ԱՄՆ-ում կան վեց ժամային գոտիներ:")</f>
        <v>ԱՄՆ-ում կան վեց ժամային գոտիներ:</v>
      </c>
    </row>
    <row r="4481">
      <c r="A4481" s="5" t="s">
        <v>7627</v>
      </c>
      <c r="B4481" s="5" t="s">
        <v>8170</v>
      </c>
      <c r="C4481" s="5" t="str">
        <f>IFERROR(__xludf.DUMMYFUNCTION("GOOGLETRANSLATE(A4481,""en"",""hy"")"),"Ո՞րն է Ֆրանսիայի մայրաքաղաքը:")</f>
        <v>Ո՞րն է Ֆրանսիայի մայրաքաղաքը:</v>
      </c>
      <c r="D4481" s="6" t="str">
        <f>IFERROR(__xludf.DUMMYFUNCTION("GOOGLETRANSLATE(B4481,""en"",""hy"")"),"Փարիզ")</f>
        <v>Փարիզ</v>
      </c>
    </row>
    <row r="4482">
      <c r="A4482" s="5" t="s">
        <v>7849</v>
      </c>
      <c r="B4482" s="5" t="s">
        <v>7541</v>
      </c>
      <c r="C4482" s="5" t="str">
        <f>IFERROR(__xludf.DUMMYFUNCTION("GOOGLETRANSLATE(A4482,""en"",""hy"")"),"Ո՞վ է գրել «Սպանել ծաղրող թռչունին» վեպը:")</f>
        <v>Ո՞վ է գրել «Սպանել ծաղրող թռչունին» վեպը:</v>
      </c>
      <c r="D4482" s="6" t="str">
        <f>IFERROR(__xludf.DUMMYFUNCTION("GOOGLETRANSLATE(B4482,""en"",""hy"")"),"Հարփեր Լի.")</f>
        <v>Հարփեր Լի.</v>
      </c>
    </row>
    <row r="4483">
      <c r="A4483" s="5" t="s">
        <v>7632</v>
      </c>
      <c r="B4483" s="5" t="s">
        <v>7633</v>
      </c>
      <c r="C4483" s="5" t="str">
        <f>IFERROR(__xludf.DUMMYFUNCTION("GOOGLETRANSLATE(A4483,""en"",""hy"")"),"Ո՞րն է մեր արեգակնային համակարգի ամենամեծ մոլորակը:")</f>
        <v>Ո՞րն է մեր արեգակնային համակարգի ամենամեծ մոլորակը:</v>
      </c>
      <c r="D4483" s="6" t="str">
        <f>IFERROR(__xludf.DUMMYFUNCTION("GOOGLETRANSLATE(B4483,""en"",""hy"")"),"Յուպիտեր.")</f>
        <v>Յուպիտեր.</v>
      </c>
    </row>
    <row r="4484">
      <c r="A4484" s="5" t="s">
        <v>8171</v>
      </c>
      <c r="B4484" s="5" t="s">
        <v>3535</v>
      </c>
      <c r="C4484" s="5" t="str">
        <f>IFERROR(__xludf.DUMMYFUNCTION("GOOGLETRANSLATE(A4484,""en"",""hy"")"),"Ո՞ր երկրում կգտնեք Մեծ արգելախութը:")</f>
        <v>Ո՞ր երկրում կգտնեք Մեծ արգելախութը:</v>
      </c>
      <c r="D4484" s="6" t="str">
        <f>IFERROR(__xludf.DUMMYFUNCTION("GOOGLETRANSLATE(B4484,""en"",""hy"")"),"Ավստրալիա.")</f>
        <v>Ավստրալիա.</v>
      </c>
    </row>
    <row r="4485">
      <c r="A4485" s="5" t="s">
        <v>7447</v>
      </c>
      <c r="B4485" s="5" t="s">
        <v>7448</v>
      </c>
      <c r="C4485" s="5" t="str">
        <f>IFERROR(__xludf.DUMMYFUNCTION("GOOGLETRANSLATE(A4485,""en"",""hy"")"),"Ո՞վ է նկարել Մոնա Լիզան:")</f>
        <v>Ո՞վ է նկարել Մոնա Լիզան:</v>
      </c>
      <c r="D4485" s="6" t="str">
        <f>IFERROR(__xludf.DUMMYFUNCTION("GOOGLETRANSLATE(B4485,""en"",""hy"")"),"Լեոնարդո դա Վինչի.")</f>
        <v>Լեոնարդո դա Վինչի.</v>
      </c>
    </row>
    <row r="4486">
      <c r="A4486" s="5" t="s">
        <v>7467</v>
      </c>
      <c r="B4486" s="5" t="s">
        <v>7766</v>
      </c>
      <c r="C4486" s="5" t="str">
        <f>IFERROR(__xludf.DUMMYFUNCTION("GOOGLETRANSLATE(A4486,""en"",""hy"")"),"Ո՞րն է Ճապոնիայի արժույթը:")</f>
        <v>Ո՞րն է Ճապոնիայի արժույթը:</v>
      </c>
      <c r="D4486" s="6" t="str">
        <f>IFERROR(__xludf.DUMMYFUNCTION("GOOGLETRANSLATE(B4486,""en"",""hy"")"),"Ճապոնիայի արժույթը ճապոնական իենն է։")</f>
        <v>Ճապոնիայի արժույթը ճապոնական իենն է։</v>
      </c>
    </row>
    <row r="4487">
      <c r="A4487" s="5" t="s">
        <v>8106</v>
      </c>
      <c r="B4487" s="5" t="s">
        <v>7916</v>
      </c>
      <c r="C4487" s="5" t="str">
        <f>IFERROR(__xludf.DUMMYFUNCTION("GOOGLETRANSLATE(A4487,""en"",""hy"")"),"Քանի՞ ոսկոր կա մարդու մարմնում:")</f>
        <v>Քանի՞ ոսկոր կա մարդու մարմնում:</v>
      </c>
      <c r="D4487" s="6" t="str">
        <f>IFERROR(__xludf.DUMMYFUNCTION("GOOGLETRANSLATE(B4487,""en"",""hy"")"),"Մարդու մարմնում կա 206 ոսկոր։")</f>
        <v>Մարդու մարմնում կա 206 ոսկոր։</v>
      </c>
    </row>
    <row r="4488">
      <c r="A4488" s="5" t="s">
        <v>7452</v>
      </c>
      <c r="B4488" s="5" t="s">
        <v>7631</v>
      </c>
      <c r="C4488" s="5" t="str">
        <f>IFERROR(__xludf.DUMMYFUNCTION("GOOGLETRANSLATE(A4488,""en"",""hy"")"),"Ո՞րն է ոսկու քիմիական նշանը:")</f>
        <v>Ո՞րն է ոսկու քիմիական նշանը:</v>
      </c>
      <c r="D4488" s="6" t="str">
        <f>IFERROR(__xludf.DUMMYFUNCTION("GOOGLETRANSLATE(B4488,""en"",""hy"")"),"Ավ")</f>
        <v>Ավ</v>
      </c>
    </row>
    <row r="4489">
      <c r="A4489" s="5" t="s">
        <v>7534</v>
      </c>
      <c r="B4489" s="5" t="s">
        <v>7535</v>
      </c>
      <c r="C4489" s="5" t="str">
        <f>IFERROR(__xludf.DUMMYFUNCTION("GOOGLETRANSLATE(A4489,""en"",""hy"")"),"Ո՞վ է հորինել հեռախոսը:")</f>
        <v>Ո՞վ է հորինել հեռախոսը:</v>
      </c>
      <c r="D4489" s="6" t="str">
        <f>IFERROR(__xludf.DUMMYFUNCTION("GOOGLETRANSLATE(B4489,""en"",""hy"")"),"Ալեքսանդր Գրեհեմ Բել.")</f>
        <v>Ալեքսանդր Գրեհեմ Բել.</v>
      </c>
    </row>
    <row r="4490">
      <c r="A4490" s="5" t="s">
        <v>7670</v>
      </c>
      <c r="B4490" s="5" t="s">
        <v>7671</v>
      </c>
      <c r="C4490" s="5" t="str">
        <f>IFERROR(__xludf.DUMMYFUNCTION("GOOGLETRANSLATE(A4490,""en"",""hy"")"),"Ո՞րն է աշխարհի ամենաերկար գետը:")</f>
        <v>Ո՞րն է աշխարհի ամենաերկար գետը:</v>
      </c>
      <c r="D4490" s="6" t="str">
        <f>IFERROR(__xludf.DUMMYFUNCTION("GOOGLETRANSLATE(B4490,""en"",""hy"")"),"Նեղոս գետ.")</f>
        <v>Նեղոս գետ.</v>
      </c>
    </row>
    <row r="4491">
      <c r="A4491" s="5" t="s">
        <v>8172</v>
      </c>
      <c r="B4491" s="5" t="s">
        <v>8173</v>
      </c>
      <c r="C4491" s="5" t="str">
        <f>IFERROR(__xludf.DUMMYFUNCTION("GOOGLETRANSLATE(A4491,""en"",""hy"")"),"Ո՞րն է աշխարհի ամենաբարձր ջրվեժը:")</f>
        <v>Ո՞րն է աշխարհի ամենաբարձր ջրվեժը:</v>
      </c>
      <c r="D4491" s="6" t="str">
        <f>IFERROR(__xludf.DUMMYFUNCTION("GOOGLETRANSLATE(B4491,""en"",""hy"")"),"Angel Falls")</f>
        <v>Angel Falls</v>
      </c>
    </row>
    <row r="4492">
      <c r="A4492" s="5" t="s">
        <v>7645</v>
      </c>
      <c r="B4492" s="5" t="s">
        <v>7646</v>
      </c>
      <c r="C4492" s="5" t="str">
        <f>IFERROR(__xludf.DUMMYFUNCTION("GOOGLETRANSLATE(A4492,""en"",""hy"")"),"Ո՞րն է Երկրի ամենամեծ օվկիանոսը:")</f>
        <v>Ո՞րն է Երկրի ամենամեծ օվկիանոսը:</v>
      </c>
      <c r="D4492" s="6" t="str">
        <f>IFERROR(__xludf.DUMMYFUNCTION("GOOGLETRANSLATE(B4492,""en"",""hy"")"),"Խաղաղ օվկիանոս.")</f>
        <v>Խաղաղ օվկիանոս.</v>
      </c>
    </row>
    <row r="4493">
      <c r="A4493" s="5" t="s">
        <v>7640</v>
      </c>
      <c r="B4493" s="5" t="s">
        <v>1016</v>
      </c>
      <c r="C4493" s="5" t="str">
        <f>IFERROR(__xludf.DUMMYFUNCTION("GOOGLETRANSLATE(A4493,""en"",""hy"")"),"Ո՞վ է գրել «Ռոմեո և Ջուլիետ» պիեսը:")</f>
        <v>Ո՞վ է գրել «Ռոմեո և Ջուլիետ» պիեսը:</v>
      </c>
      <c r="D4493" s="6" t="str">
        <f>IFERROR(__xludf.DUMMYFUNCTION("GOOGLETRANSLATE(B4493,""en"",""hy"")"),"Ուիլյամ Շեքսպիր.")</f>
        <v>Ուիլյամ Շեքսպիր.</v>
      </c>
    </row>
    <row r="4494">
      <c r="A4494" s="5" t="s">
        <v>7761</v>
      </c>
      <c r="B4494" s="5" t="s">
        <v>7762</v>
      </c>
      <c r="C4494" s="5" t="str">
        <f>IFERROR(__xludf.DUMMYFUNCTION("GOOGLETRANSLATE(A4494,""en"",""hy"")"),"Ո՞րն է ջրածնի քիմիական նշանը:")</f>
        <v>Ո՞րն է ջրածնի քիմիական նշանը:</v>
      </c>
      <c r="D4494" s="6" t="str">
        <f>IFERROR(__xludf.DUMMYFUNCTION("GOOGLETRANSLATE(B4494,""en"",""hy"")"),"Հ")</f>
        <v>Հ</v>
      </c>
    </row>
    <row r="4495">
      <c r="A4495" s="5" t="s">
        <v>7791</v>
      </c>
      <c r="B4495" s="5" t="s">
        <v>7792</v>
      </c>
      <c r="C4495" s="5" t="str">
        <f>IFERROR(__xludf.DUMMYFUNCTION("GOOGLETRANSLATE(A4495,""en"",""hy"")"),"Ո՞րն է Ավստրալիայի ազգային կենդանին:")</f>
        <v>Ո՞րն է Ավստրալիայի ազգային կենդանին:</v>
      </c>
      <c r="D4495" s="6" t="str">
        <f>IFERROR(__xludf.DUMMYFUNCTION("GOOGLETRANSLATE(B4495,""en"",""hy"")"),"Ավստրալիայի ազգային կենդանին կենգուրուն է։")</f>
        <v>Ավստրալիայի ազգային կենդանին կենգուրուն է։</v>
      </c>
    </row>
    <row r="4496">
      <c r="A4496" s="5" t="s">
        <v>7469</v>
      </c>
      <c r="B4496" s="7">
        <v>1945.0</v>
      </c>
      <c r="C4496" s="5" t="str">
        <f>IFERROR(__xludf.DUMMYFUNCTION("GOOGLETRANSLATE(A4496,""en"",""hy"")"),"Ո՞ր տարում ավարտվեց Երկրորդ համաշխարհային պատերազմը:")</f>
        <v>Ո՞ր տարում ավարտվեց Երկրորդ համաշխարհային պատերազմը:</v>
      </c>
      <c r="D4496" s="6" t="str">
        <f>IFERROR(__xludf.DUMMYFUNCTION("GOOGLETRANSLATE(B4496,""en"",""hy"")"),"1945 թ")</f>
        <v>1945 թ</v>
      </c>
    </row>
    <row r="4497">
      <c r="A4497" s="5" t="s">
        <v>8014</v>
      </c>
      <c r="B4497" s="5" t="s">
        <v>8174</v>
      </c>
      <c r="C4497" s="5" t="str">
        <f>IFERROR(__xludf.DUMMYFUNCTION("GOOGLETRANSLATE(A4497,""en"",""hy"")"),"Քանի՞ խաղացող կա բասկետբոլի թիմում:")</f>
        <v>Քանի՞ խաղացող կա բասկետբոլի թիմում:</v>
      </c>
      <c r="D4497" s="6" t="str">
        <f>IFERROR(__xludf.DUMMYFUNCTION("GOOGLETRANSLATE(B4497,""en"",""hy"")"),"Բասկետբոլի թիմում հինգ խաղացող կա:")</f>
        <v>Բասկետբոլի թիմում հինգ խաղացող կա:</v>
      </c>
    </row>
    <row r="4498">
      <c r="A4498" s="5" t="s">
        <v>7473</v>
      </c>
      <c r="B4498" s="5" t="s">
        <v>7474</v>
      </c>
      <c r="C4498" s="5" t="str">
        <f>IFERROR(__xludf.DUMMYFUNCTION("GOOGLETRANSLATE(A4498,""en"",""hy"")"),"Ո՞վ է նկարել Սիքստինյան կապելլայի առաստաղը:")</f>
        <v>Ո՞վ է նկարել Սիքստինյան կապելլայի առաստաղը:</v>
      </c>
      <c r="D4498" s="6" t="str">
        <f>IFERROR(__xludf.DUMMYFUNCTION("GOOGLETRANSLATE(B4498,""en"",""hy"")"),"Միքելանջելո.")</f>
        <v>Միքելանջելո.</v>
      </c>
    </row>
    <row r="4499">
      <c r="A4499" s="5" t="s">
        <v>7929</v>
      </c>
      <c r="B4499" s="5" t="s">
        <v>8175</v>
      </c>
      <c r="C4499" s="5" t="str">
        <f>IFERROR(__xludf.DUMMYFUNCTION("GOOGLETRANSLATE(A4499,""en"",""hy"")"),"Որքա՞ն է լույսի արագությունը վակուումում:")</f>
        <v>Որքա՞ն է լույսի արագությունը վակուումում:</v>
      </c>
      <c r="D4499" s="6" t="str">
        <f>IFERROR(__xludf.DUMMYFUNCTION("GOOGLETRANSLATE(B4499,""en"",""hy"")"),"Լույսի արագությունը վակուումում մոտավորապես 299,792,458 մետր է վայրկյանում։")</f>
        <v>Լույսի արագությունը վակուումում մոտավորապես 299,792,458 մետր է վայրկյանում։</v>
      </c>
    </row>
    <row r="4500">
      <c r="A4500" s="5" t="s">
        <v>8176</v>
      </c>
      <c r="B4500" s="5" t="s">
        <v>7783</v>
      </c>
      <c r="C4500" s="5" t="str">
        <f>IFERROR(__xludf.DUMMYFUNCTION("GOOGLETRANSLATE(A4500,""en"",""hy"")"),"Ո՞րն է աշխարհի ամենամեծ տաք անապատը:")</f>
        <v>Ո՞րն է աշխարհի ամենամեծ տաք անապատը:</v>
      </c>
      <c r="D4500" s="6" t="str">
        <f>IFERROR(__xludf.DUMMYFUNCTION("GOOGLETRANSLATE(B4500,""en"",""hy"")"),"Սահարա անապատ.")</f>
        <v>Սահարա անապատ.</v>
      </c>
    </row>
    <row r="4501">
      <c r="A4501" s="5" t="s">
        <v>7698</v>
      </c>
      <c r="B4501" s="5" t="s">
        <v>7630</v>
      </c>
      <c r="C4501" s="5" t="str">
        <f>IFERROR(__xludf.DUMMYFUNCTION("GOOGLETRANSLATE(A4501,""en"",""hy"")"),"Ո՞վ է գրել «Հպարտություն և նախապաշարմունք» վեպը:")</f>
        <v>Ո՞վ է գրել «Հպարտություն և նախապաշարմունք» վեպը:</v>
      </c>
      <c r="D4501" s="6" t="str">
        <f>IFERROR(__xludf.DUMMYFUNCTION("GOOGLETRANSLATE(B4501,""en"",""hy"")"),"Ջեյն Օսթին.")</f>
        <v>Ջեյն Օսթին.</v>
      </c>
    </row>
    <row r="4502">
      <c r="A4502" s="5" t="s">
        <v>8177</v>
      </c>
      <c r="B4502" s="5" t="s">
        <v>8178</v>
      </c>
      <c r="C4502" s="5" t="str">
        <f>IFERROR(__xludf.DUMMYFUNCTION("GOOGLETRANSLATE(A4502,""en"",""hy"")"),"Ո՞րն է Հնդկաստանի ազգային ծաղիկը:")</f>
        <v>Ո՞րն է Հնդկաստանի ազգային ծաղիկը:</v>
      </c>
      <c r="D4502" s="6" t="str">
        <f>IFERROR(__xludf.DUMMYFUNCTION("GOOGLETRANSLATE(B4502,""en"",""hy"")"),"Հնդկաստանի ազգային ծաղիկը լոտոսն է:")</f>
        <v>Հնդկաստանի ազգային ծաղիկը լոտոսն է:</v>
      </c>
    </row>
    <row r="4503">
      <c r="A4503" s="5" t="s">
        <v>7493</v>
      </c>
      <c r="B4503" s="5" t="s">
        <v>7494</v>
      </c>
      <c r="C4503" s="5" t="str">
        <f>IFERROR(__xludf.DUMMYFUNCTION("GOOGLETRANSLATE(A4503,""en"",""hy"")"),"Քանի՞ տարր կա պարբերական աղյուսակում:")</f>
        <v>Քանի՞ տարր կա պարբերական աղյուսակում:</v>
      </c>
      <c r="D4503" s="6" t="str">
        <f>IFERROR(__xludf.DUMMYFUNCTION("GOOGLETRANSLATE(B4503,""en"",""hy"")"),"Պարբերական աղյուսակում կա 118 տարր։")</f>
        <v>Պարբերական աղյուսակում կա 118 տարր։</v>
      </c>
    </row>
    <row r="4504">
      <c r="A4504" s="5" t="s">
        <v>7773</v>
      </c>
      <c r="B4504" s="5" t="s">
        <v>7941</v>
      </c>
      <c r="C4504" s="5" t="str">
        <f>IFERROR(__xludf.DUMMYFUNCTION("GOOGLETRANSLATE(A4504,""en"",""hy"")"),"Ո՞վ է հայտնաբերել պենիցիլինը:")</f>
        <v>Ո՞վ է հայտնաբերել պենիցիլինը:</v>
      </c>
      <c r="D4504" s="6" t="str">
        <f>IFERROR(__xludf.DUMMYFUNCTION("GOOGLETRANSLATE(B4504,""en"",""hy"")"),"Ալեքսանդր Ֆլեմինգ")</f>
        <v>Ալեքսանդր Ֆլեմինգ</v>
      </c>
    </row>
    <row r="4505">
      <c r="A4505" s="5" t="s">
        <v>8179</v>
      </c>
      <c r="B4505" s="5" t="s">
        <v>7723</v>
      </c>
      <c r="C4505" s="5" t="str">
        <f>IFERROR(__xludf.DUMMYFUNCTION("GOOGLETRANSLATE(A4505,""en"",""hy"")"),"Ո՞րն է Աֆրիկայի ամենաբարձր լեռը:")</f>
        <v>Ո՞րն է Աֆրիկայի ամենաբարձր լեռը:</v>
      </c>
      <c r="D4505" s="6" t="str">
        <f>IFERROR(__xludf.DUMMYFUNCTION("GOOGLETRANSLATE(B4505,""en"",""hy"")"),"Կիլիմանջարո լեռ.")</f>
        <v>Կիլիմանջարո լեռ.</v>
      </c>
    </row>
    <row r="4506">
      <c r="A4506" s="5" t="s">
        <v>8180</v>
      </c>
      <c r="B4506" s="5" t="s">
        <v>7826</v>
      </c>
      <c r="C4506" s="5" t="str">
        <f>IFERROR(__xludf.DUMMYFUNCTION("GOOGLETRANSLATE(A4506,""en"",""hy"")"),"Ո՞րն է մարդու մարմնի ամենաերկար ոսկորը:")</f>
        <v>Ո՞րն է մարդու մարմնի ամենաերկար ոսկորը:</v>
      </c>
      <c r="D4506" s="6" t="str">
        <f>IFERROR(__xludf.DUMMYFUNCTION("GOOGLETRANSLATE(B4506,""en"",""hy"")"),"Ֆեմուրը.")</f>
        <v>Ֆեմուրը.</v>
      </c>
    </row>
    <row r="4507">
      <c r="A4507" s="5" t="s">
        <v>7920</v>
      </c>
      <c r="B4507" s="5" t="s">
        <v>7921</v>
      </c>
      <c r="C4507" s="5" t="str">
        <f>IFERROR(__xludf.DUMMYFUNCTION("GOOGLETRANSLATE(A4507,""en"",""hy"")"),"Ո՞ր երկրում է գտնվում Թաջ Մահալը:")</f>
        <v>Ո՞ր երկրում է գտնվում Թաջ Մահալը:</v>
      </c>
      <c r="D4507" s="6" t="str">
        <f>IFERROR(__xludf.DUMMYFUNCTION("GOOGLETRANSLATE(B4507,""en"",""hy"")"),"Հնդկաստան.")</f>
        <v>Հնդկաստան.</v>
      </c>
    </row>
    <row r="4508">
      <c r="A4508" s="5" t="s">
        <v>7491</v>
      </c>
      <c r="B4508" s="5" t="s">
        <v>7648</v>
      </c>
      <c r="C4508" s="5" t="str">
        <f>IFERROR(__xludf.DUMMYFUNCTION("GOOGLETRANSLATE(A4508,""en"",""hy"")"),"Ո՞վ է նկարել Աստղային գիշերը:")</f>
        <v>Ո՞վ է նկարել Աստղային գիշերը:</v>
      </c>
      <c r="D4508" s="6" t="str">
        <f>IFERROR(__xludf.DUMMYFUNCTION("GOOGLETRANSLATE(B4508,""en"",""hy"")"),"Վինսենթ վան Գոգ.")</f>
        <v>Վինսենթ վան Գոգ.</v>
      </c>
    </row>
    <row r="4509">
      <c r="A4509" s="5" t="s">
        <v>7557</v>
      </c>
      <c r="B4509" s="5" t="s">
        <v>7857</v>
      </c>
      <c r="C4509" s="5" t="str">
        <f>IFERROR(__xludf.DUMMYFUNCTION("GOOGLETRANSLATE(A4509,""en"",""hy"")"),"Ո՞րն է երկաթի քիմիական նշանը:")</f>
        <v>Ո՞րն է երկաթի քիմիական նշանը:</v>
      </c>
      <c r="D4509" s="6" t="str">
        <f>IFERROR(__xludf.DUMMYFUNCTION("GOOGLETRANSLATE(B4509,""en"",""hy"")"),"Երկաթի քիմիական նշանը Fe է:")</f>
        <v>Երկաթի քիմիական նշանը Fe է:</v>
      </c>
    </row>
    <row r="4510">
      <c r="A4510" s="5" t="s">
        <v>7939</v>
      </c>
      <c r="B4510" s="5" t="s">
        <v>7940</v>
      </c>
      <c r="C4510" s="5" t="str">
        <f>IFERROR(__xludf.DUMMYFUNCTION("GOOGLETRANSLATE(A4510,""en"",""hy"")"),"Քանի՞ մայրցամաք կա աշխարհում:")</f>
        <v>Քանի՞ մայրցամաք կա աշխարհում:</v>
      </c>
      <c r="D4510" s="6" t="str">
        <f>IFERROR(__xludf.DUMMYFUNCTION("GOOGLETRANSLATE(B4510,""en"",""hy"")"),"Աշխարհում կան յոթ մայրցամաքներ։")</f>
        <v>Աշխարհում կան յոթ մայրցամաքներ։</v>
      </c>
    </row>
    <row r="4511">
      <c r="A4511" s="5" t="s">
        <v>7443</v>
      </c>
      <c r="B4511" s="5" t="s">
        <v>7444</v>
      </c>
      <c r="C4511" s="5" t="str">
        <f>IFERROR(__xludf.DUMMYFUNCTION("GOOGLETRANSLATE(A4511,""en"",""hy"")"),"Ո՞վ է գրել «1984» վեպը։")</f>
        <v>Ո՞վ է գրել «1984» վեպը։</v>
      </c>
      <c r="D4511" s="6" t="str">
        <f>IFERROR(__xludf.DUMMYFUNCTION("GOOGLETRANSLATE(B4511,""en"",""hy"")"),"Ջորջ Օրուել.")</f>
        <v>Ջորջ Օրուել.</v>
      </c>
    </row>
    <row r="4512">
      <c r="A4512" s="5" t="s">
        <v>7480</v>
      </c>
      <c r="B4512" s="5" t="s">
        <v>7481</v>
      </c>
      <c r="C4512" s="5" t="str">
        <f>IFERROR(__xludf.DUMMYFUNCTION("GOOGLETRANSLATE(A4512,""en"",""hy"")"),"Ո՞րն է Միացյալ Նահանգների ազգային թռչունը:")</f>
        <v>Ո՞րն է Միացյալ Նահանգների ազգային թռչունը:</v>
      </c>
      <c r="D4512" s="6" t="str">
        <f>IFERROR(__xludf.DUMMYFUNCTION("GOOGLETRANSLATE(B4512,""en"",""hy"")"),"Միացյալ Նահանգների ազգային թռչունը ճաղատ արծիվն է։")</f>
        <v>Միացյալ Նահանգների ազգային թռչունը ճաղատ արծիվն է։</v>
      </c>
    </row>
    <row r="4513">
      <c r="A4513" s="5" t="s">
        <v>8181</v>
      </c>
      <c r="B4513" s="5" t="s">
        <v>8100</v>
      </c>
      <c r="C4513" s="5" t="str">
        <f>IFERROR(__xludf.DUMMYFUNCTION("GOOGLETRANSLATE(A4513,""en"",""hy"")"),"Քանի՞ մոլորակ կա մեր արեգակնային համակարգում:")</f>
        <v>Քանի՞ մոլորակ կա մեր արեգակնային համակարգում:</v>
      </c>
      <c r="D4513" s="6" t="str">
        <f>IFERROR(__xludf.DUMMYFUNCTION("GOOGLETRANSLATE(B4513,""en"",""hy"")"),"Մեր Արեգակնային համակարգում կա ութ մոլորակ:")</f>
        <v>Մեր Արեգակնային համակարգում կա ութ մոլորակ:</v>
      </c>
    </row>
    <row r="4514">
      <c r="A4514" s="5" t="s">
        <v>7572</v>
      </c>
      <c r="B4514" s="5" t="s">
        <v>7573</v>
      </c>
      <c r="C4514" s="5" t="str">
        <f>IFERROR(__xludf.DUMMYFUNCTION("GOOGLETRANSLATE(A4514,""en"",""hy"")"),"Ո՞վ է հորինել լամպը:")</f>
        <v>Ո՞վ է հորինել լամպը:</v>
      </c>
      <c r="D4514" s="6" t="str">
        <f>IFERROR(__xludf.DUMMYFUNCTION("GOOGLETRANSLATE(B4514,""en"",""hy"")"),"Թոմաս Էդիսոն.")</f>
        <v>Թոմաս Էդիսոն.</v>
      </c>
    </row>
    <row r="4515">
      <c r="A4515" s="5" t="s">
        <v>7642</v>
      </c>
      <c r="B4515" s="5" t="s">
        <v>7643</v>
      </c>
      <c r="C4515" s="5" t="str">
        <f>IFERROR(__xludf.DUMMYFUNCTION("GOOGLETRANSLATE(A4515,""en"",""hy"")"),"Ո՞րն է Կանադայի մայրաքաղաքը:")</f>
        <v>Ո՞րն է Կանադայի մայրաքաղաքը:</v>
      </c>
      <c r="D4515" s="6" t="str">
        <f>IFERROR(__xludf.DUMMYFUNCTION("GOOGLETRANSLATE(B4515,""en"",""hy"")"),"Օտտավա")</f>
        <v>Օտտավա</v>
      </c>
    </row>
    <row r="4516">
      <c r="A4516" s="5" t="s">
        <v>8182</v>
      </c>
      <c r="B4516" s="5" t="s">
        <v>8183</v>
      </c>
      <c r="C4516" s="5" t="str">
        <f>IFERROR(__xludf.DUMMYFUNCTION("GOOGLETRANSLATE(A4516,""en"",""hy"")"),"Որքա՞ն է ձայնի արագությունը օդում:")</f>
        <v>Որքա՞ն է ձայնի արագությունը օդում:</v>
      </c>
      <c r="D4516" s="6" t="str">
        <f>IFERROR(__xludf.DUMMYFUNCTION("GOOGLETRANSLATE(B4516,""en"",""hy"")"),"Օդում ձայնի արագությունը մոտավորապես 343 մետր վայրկյան է։")</f>
        <v>Օդում ձայնի արագությունը մոտավորապես 343 մետր վայրկյան է։</v>
      </c>
    </row>
    <row r="4517">
      <c r="A4517" s="5" t="s">
        <v>8184</v>
      </c>
      <c r="B4517" s="5" t="s">
        <v>8185</v>
      </c>
      <c r="C4517" s="5" t="str">
        <f>IFERROR(__xludf.DUMMYFUNCTION("GOOGLETRANSLATE(A4517,""en"",""hy"")"),"Քանի՞ լար է սովորաբար ունենում կիթառը:")</f>
        <v>Քանի՞ լար է սովորաբար ունենում կիթառը:</v>
      </c>
      <c r="D4517" s="6" t="str">
        <f>IFERROR(__xludf.DUMMYFUNCTION("GOOGLETRANSLATE(B4517,""en"",""hy"")"),"Կիթառը սովորաբար ունի վեց լար:")</f>
        <v>Կիթառը սովորաբար ունի վեց լար:</v>
      </c>
    </row>
    <row r="4518">
      <c r="A4518" s="5" t="s">
        <v>7517</v>
      </c>
      <c r="B4518" s="5" t="s">
        <v>7448</v>
      </c>
      <c r="C4518" s="5" t="str">
        <f>IFERROR(__xludf.DUMMYFUNCTION("GOOGLETRANSLATE(A4518,""en"",""hy"")"),"Ո՞վ է նկարել Վերջին ընթրիքը:")</f>
        <v>Ո՞վ է նկարել Վերջին ընթրիքը:</v>
      </c>
      <c r="D4518" s="6" t="str">
        <f>IFERROR(__xludf.DUMMYFUNCTION("GOOGLETRANSLATE(B4518,""en"",""hy"")"),"Լեոնարդո դա Վինչի.")</f>
        <v>Լեոնարդո դա Վինչի.</v>
      </c>
    </row>
    <row r="4519">
      <c r="A4519" s="5" t="s">
        <v>7699</v>
      </c>
      <c r="B4519" s="5" t="s">
        <v>7700</v>
      </c>
      <c r="C4519" s="5" t="str">
        <f>IFERROR(__xludf.DUMMYFUNCTION("GOOGLETRANSLATE(A4519,""en"",""hy"")"),"Ո՞րն է ածխածնի քիմիական նշանը:")</f>
        <v>Ո՞րն է ածխածնի քիմիական նշանը:</v>
      </c>
      <c r="D4519" s="6" t="str">
        <f>IFERROR(__xludf.DUMMYFUNCTION("GOOGLETRANSLATE(B4519,""en"",""hy"")"),"Ածխածնի քիմիական նշանը C է:")</f>
        <v>Ածխածնի քիմիական նշանը C է:</v>
      </c>
    </row>
    <row r="4520">
      <c r="A4520" s="5" t="s">
        <v>7683</v>
      </c>
      <c r="B4520" s="5" t="s">
        <v>1016</v>
      </c>
      <c r="C4520" s="5" t="str">
        <f>IFERROR(__xludf.DUMMYFUNCTION("GOOGLETRANSLATE(A4520,""en"",""hy"")"),"Ո՞վ է գրել «Համլետ» պիեսը։")</f>
        <v>Ո՞վ է գրել «Համլետ» պիեսը։</v>
      </c>
      <c r="D4520" s="6" t="str">
        <f>IFERROR(__xludf.DUMMYFUNCTION("GOOGLETRANSLATE(B4520,""en"",""hy"")"),"Ուիլյամ Շեքսպիր.")</f>
        <v>Ուիլյամ Շեքսպիր.</v>
      </c>
    </row>
    <row r="4521">
      <c r="A4521" s="5" t="s">
        <v>7817</v>
      </c>
      <c r="B4521" s="5" t="s">
        <v>7818</v>
      </c>
      <c r="C4521" s="5" t="str">
        <f>IFERROR(__xludf.DUMMYFUNCTION("GOOGLETRANSLATE(A4521,""en"",""hy"")"),"Ո՞րն է Կանադայի ազգային կենդանին:")</f>
        <v>Ո՞րն է Կանադայի ազգային կենդանին:</v>
      </c>
      <c r="D4521" s="6" t="str">
        <f>IFERROR(__xludf.DUMMYFUNCTION("GOOGLETRANSLATE(B4521,""en"",""hy"")"),"Կանադայի ազգային կենդանին կեղևն է:")</f>
        <v>Կանադայի ազգային կենդանին կեղևն է:</v>
      </c>
    </row>
    <row r="4522">
      <c r="A4522" s="5" t="s">
        <v>8186</v>
      </c>
      <c r="B4522" s="5" t="s">
        <v>7512</v>
      </c>
      <c r="C4522" s="5" t="str">
        <f>IFERROR(__xludf.DUMMYFUNCTION("GOOGLETRANSLATE(A4522,""en"",""hy"")"),"Ո՞ր երկրում են գտնվում Գիզայի բուրգերը:")</f>
        <v>Ո՞ր երկրում են գտնվում Գիզայի բուրգերը:</v>
      </c>
      <c r="D4522" s="6" t="str">
        <f>IFERROR(__xludf.DUMMYFUNCTION("GOOGLETRANSLATE(B4522,""en"",""hy"")"),"Եգիպտոս.")</f>
        <v>Եգիպտոս.</v>
      </c>
    </row>
    <row r="4523">
      <c r="A4523" s="5" t="s">
        <v>8187</v>
      </c>
      <c r="B4523" s="5" t="s">
        <v>8188</v>
      </c>
      <c r="C4523" s="5" t="str">
        <f>IFERROR(__xludf.DUMMYFUNCTION("GOOGLETRANSLATE(A4523,""en"",""hy"")"),"Քանի՞ խցիկ ունի մարդու սիրտը:")</f>
        <v>Քանի՞ խցիկ ունի մարդու սիրտը:</v>
      </c>
      <c r="D4523" s="6" t="str">
        <f>IFERROR(__xludf.DUMMYFUNCTION("GOOGLETRANSLATE(B4523,""en"",""hy"")"),"Մարդու սիրտն ունի չորս խցիկ.")</f>
        <v>Մարդու սիրտն ունի չորս խցիկ.</v>
      </c>
    </row>
    <row r="4524">
      <c r="A4524" s="5" t="s">
        <v>7485</v>
      </c>
      <c r="B4524" s="5" t="s">
        <v>7486</v>
      </c>
      <c r="C4524" s="5" t="str">
        <f>IFERROR(__xludf.DUMMYFUNCTION("GOOGLETRANSLATE(A4524,""en"",""hy"")"),"Ո՞վ է Հարի Փոթերի շարքի հեղինակը:")</f>
        <v>Ո՞վ է Հարի Փոթերի շարքի հեղինակը:</v>
      </c>
      <c r="D4524" s="6" t="str">
        <f>IFERROR(__xludf.DUMMYFUNCTION("GOOGLETRANSLATE(B4524,""en"",""hy"")"),"Ջ.Կ. Ռոուլինգ.")</f>
        <v>Ջ.Կ. Ռոուլինգ.</v>
      </c>
    </row>
    <row r="4525">
      <c r="A4525" s="5" t="s">
        <v>7672</v>
      </c>
      <c r="B4525" s="5" t="s">
        <v>7673</v>
      </c>
      <c r="C4525" s="5" t="str">
        <f>IFERROR(__xludf.DUMMYFUNCTION("GOOGLETRANSLATE(A4525,""en"",""hy"")"),"Ո՞րն է Հարավային Ամերիկայի ամենամեծ երկիրը:")</f>
        <v>Ո՞րն է Հարավային Ամերիկայի ամենամեծ երկիրը:</v>
      </c>
      <c r="D4525" s="6" t="str">
        <f>IFERROR(__xludf.DUMMYFUNCTION("GOOGLETRANSLATE(B4525,""en"",""hy"")"),"Բրազիլիա.")</f>
        <v>Բրազիլիա.</v>
      </c>
    </row>
    <row r="4526">
      <c r="A4526" s="5" t="s">
        <v>8189</v>
      </c>
      <c r="B4526" s="5" t="s">
        <v>8190</v>
      </c>
      <c r="C4526" s="5" t="str">
        <f>IFERROR(__xludf.DUMMYFUNCTION("GOOGLETRANSLATE(A4526,""en"",""hy"")"),"Որքա՞ն է ջրի եռման կետը Ցելսիուսում:")</f>
        <v>Որքա՞ն է ջրի եռման կետը Ցելսիուսում:</v>
      </c>
      <c r="D4526" s="6" t="str">
        <f>IFERROR(__xludf.DUMMYFUNCTION("GOOGLETRANSLATE(B4526,""en"",""hy"")"),"Ցելսիուսում ջրի եռման կետը 100°C է։")</f>
        <v>Ցելսիուսում ջրի եռման կետը 100°C է։</v>
      </c>
    </row>
    <row r="4527">
      <c r="A4527" s="5" t="s">
        <v>7575</v>
      </c>
      <c r="B4527" s="5" t="s">
        <v>7576</v>
      </c>
      <c r="C4527" s="5" t="str">
        <f>IFERROR(__xludf.DUMMYFUNCTION("GOOGLETRANSLATE(A4527,""en"",""hy"")"),"Քանի՞ գույն կա ծիածանի մեջ:")</f>
        <v>Քանի՞ գույն կա ծիածանի մեջ:</v>
      </c>
      <c r="D4527" s="6" t="str">
        <f>IFERROR(__xludf.DUMMYFUNCTION("GOOGLETRANSLATE(B4527,""en"",""hy"")"),"Ծիածանի մեջ յոթ գույն կա:")</f>
        <v>Ծիածանի մեջ յոթ գույն կա:</v>
      </c>
    </row>
    <row r="4528">
      <c r="A4528" s="5" t="s">
        <v>7620</v>
      </c>
      <c r="B4528" s="5" t="s">
        <v>7621</v>
      </c>
      <c r="C4528" s="5" t="str">
        <f>IFERROR(__xludf.DUMMYFUNCTION("GOOGLETRANSLATE(A4528,""en"",""hy"")"),"Ո՞վ է նկարել Վեներայի ծնունդը:")</f>
        <v>Ո՞վ է նկարել Վեներայի ծնունդը:</v>
      </c>
      <c r="D4528" s="6" t="str">
        <f>IFERROR(__xludf.DUMMYFUNCTION("GOOGLETRANSLATE(B4528,""en"",""hy"")"),"Սանդրո Բոտիչելի.")</f>
        <v>Սանդրո Բոտիչելի.</v>
      </c>
    </row>
    <row r="4529">
      <c r="A4529" s="5" t="s">
        <v>7592</v>
      </c>
      <c r="B4529" s="5" t="s">
        <v>7593</v>
      </c>
      <c r="C4529" s="5" t="str">
        <f>IFERROR(__xludf.DUMMYFUNCTION("GOOGLETRANSLATE(A4529,""en"",""hy"")"),"Ո՞րն է թթվածնի քիմիական նշանը:")</f>
        <v>Ո՞րն է թթվածնի քիմիական նշանը:</v>
      </c>
      <c r="D4529" s="6" t="str">
        <f>IFERROR(__xludf.DUMMYFUNCTION("GOOGLETRANSLATE(B4529,""en"",""hy"")"),"Թթվածնի քիմիական նշանը O է:")</f>
        <v>Թթվածնի քիմիական նշանը O է:</v>
      </c>
    </row>
    <row r="4530">
      <c r="A4530" s="5" t="s">
        <v>8191</v>
      </c>
      <c r="B4530" s="5" t="s">
        <v>7499</v>
      </c>
      <c r="C4530" s="5" t="str">
        <f>IFERROR(__xludf.DUMMYFUNCTION("GOOGLETRANSLATE(A4530,""en"",""hy"")"),"Ո՞ր հայտնի ֆիզիկոսն է մշակել հարաբերականության տեսությունը:")</f>
        <v>Ո՞ր հայտնի ֆիզիկոսն է մշակել հարաբերականության տեսությունը:</v>
      </c>
      <c r="D4530" s="6" t="str">
        <f>IFERROR(__xludf.DUMMYFUNCTION("GOOGLETRANSLATE(B4530,""en"",""hy"")"),"Albert Einstein")</f>
        <v>Albert Einstein</v>
      </c>
    </row>
    <row r="4531">
      <c r="A4531" s="5" t="s">
        <v>7655</v>
      </c>
      <c r="B4531" s="5" t="s">
        <v>7656</v>
      </c>
      <c r="C4531" s="5" t="str">
        <f>IFERROR(__xludf.DUMMYFUNCTION("GOOGLETRANSLATE(A4531,""en"",""hy"")"),"Ո՞վ է գրել «Ագռավը» բանաստեղծությունը:")</f>
        <v>Ո՞վ է գրել «Ագռավը» բանաստեղծությունը:</v>
      </c>
      <c r="D4531" s="6" t="str">
        <f>IFERROR(__xludf.DUMMYFUNCTION("GOOGLETRANSLATE(B4531,""en"",""hy"")"),"Էդգար Ալան Պո.")</f>
        <v>Էդգար Ալան Պո.</v>
      </c>
    </row>
    <row r="4532">
      <c r="A4532" s="5" t="s">
        <v>8016</v>
      </c>
      <c r="B4532" s="5" t="s">
        <v>8017</v>
      </c>
      <c r="C4532" s="5" t="str">
        <f>IFERROR(__xludf.DUMMYFUNCTION("GOOGLETRANSLATE(A4532,""en"",""hy"")"),"Ո՞րն է Անգլիայի ազգային ծաղիկը:")</f>
        <v>Ո՞րն է Անգլիայի ազգային ծաղիկը:</v>
      </c>
      <c r="D4532" s="6" t="str">
        <f>IFERROR(__xludf.DUMMYFUNCTION("GOOGLETRANSLATE(B4532,""en"",""hy"")"),"Անգլիայի ազգային ծաղիկը վարդն է։")</f>
        <v>Անգլիայի ազգային ծաղիկը վարդն է։</v>
      </c>
    </row>
    <row r="4533">
      <c r="A4533" s="5" t="s">
        <v>7502</v>
      </c>
      <c r="B4533" s="5" t="s">
        <v>7503</v>
      </c>
      <c r="C4533" s="5" t="str">
        <f>IFERROR(__xludf.DUMMYFUNCTION("GOOGLETRANSLATE(A4533,""en"",""hy"")"),"Քանի՞ կողմ ունի վեցանկյունը:")</f>
        <v>Քանի՞ կողմ ունի վեցանկյունը:</v>
      </c>
      <c r="D4533" s="6" t="str">
        <f>IFERROR(__xludf.DUMMYFUNCTION("GOOGLETRANSLATE(B4533,""en"",""hy"")"),"Վեցանկյունն ունի վեց կողմ:")</f>
        <v>Վեցանկյունն ունի վեց կողմ:</v>
      </c>
    </row>
    <row r="4534">
      <c r="A4534" s="5" t="s">
        <v>7955</v>
      </c>
      <c r="B4534" s="5" t="s">
        <v>8192</v>
      </c>
      <c r="C4534" s="5" t="str">
        <f>IFERROR(__xludf.DUMMYFUNCTION("GOOGLETRANSLATE(A4534,""en"",""hy"")"),"Ո՞վ է հայտնաբերել գրավիտացիան:")</f>
        <v>Ո՞վ է հայտնաբերել գրավիտացիան:</v>
      </c>
      <c r="D4534" s="6" t="str">
        <f>IFERROR(__xludf.DUMMYFUNCTION("GOOGLETRANSLATE(B4534,""en"",""hy"")"),"Իսահակ Նյուտոն")</f>
        <v>Իսահակ Նյուտոն</v>
      </c>
    </row>
    <row r="4535">
      <c r="A4535" s="5" t="s">
        <v>7659</v>
      </c>
      <c r="B4535" s="5" t="s">
        <v>7516</v>
      </c>
      <c r="C4535" s="5" t="str">
        <f>IFERROR(__xludf.DUMMYFUNCTION("GOOGLETRANSLATE(A4535,""en"",""hy"")"),"Ո՞րն է Բրազիլիայի մայրաքաղաքը:")</f>
        <v>Ո՞րն է Բրազիլիայի մայրաքաղաքը:</v>
      </c>
      <c r="D4535" s="6" t="str">
        <f>IFERROR(__xludf.DUMMYFUNCTION("GOOGLETRANSLATE(B4535,""en"",""hy"")"),"Բրազիլիա.")</f>
        <v>Բրազիլիա.</v>
      </c>
    </row>
    <row r="4536">
      <c r="A4536" s="5" t="s">
        <v>8193</v>
      </c>
      <c r="B4536" s="5" t="s">
        <v>8194</v>
      </c>
      <c r="C4536" s="5" t="str">
        <f>IFERROR(__xludf.DUMMYFUNCTION("GOOGLETRANSLATE(A4536,""en"",""hy"")"),"Ո՞րն է ջրի սառեցման կետը Ֆարենհայթում:")</f>
        <v>Ո՞րն է ջրի սառեցման կետը Ֆարենհայթում:</v>
      </c>
      <c r="D4536" s="6" t="str">
        <f>IFERROR(__xludf.DUMMYFUNCTION("GOOGLETRANSLATE(B4536,""en"",""hy"")"),"32 աստիճան Fahrenheit.")</f>
        <v>32 աստիճան Fahrenheit.</v>
      </c>
    </row>
    <row r="4537">
      <c r="A4537" s="5" t="s">
        <v>8195</v>
      </c>
      <c r="B4537" s="5" t="s">
        <v>8196</v>
      </c>
      <c r="C4537" s="5" t="str">
        <f>IFERROR(__xludf.DUMMYFUNCTION("GOOGLETRANSLATE(A4537,""en"",""hy"")"),"Քանի՞ տարի կա հազարամյակում:")</f>
        <v>Քանի՞ տարի կա հազարամյակում:</v>
      </c>
      <c r="D4537" s="6" t="str">
        <f>IFERROR(__xludf.DUMMYFUNCTION("GOOGLETRANSLATE(B4537,""en"",""hy"")"),"Հազարամյակում կա 1000 տարի։")</f>
        <v>Հազարամյակում կա 1000 տարի։</v>
      </c>
    </row>
    <row r="4538">
      <c r="A4538" s="5" t="s">
        <v>8197</v>
      </c>
      <c r="B4538" s="5" t="s">
        <v>7710</v>
      </c>
      <c r="C4538" s="5" t="str">
        <f>IFERROR(__xludf.DUMMYFUNCTION("GOOGLETRANSLATE(A4538,""en"",""hy"")"),"Ո՞վ է նկարել Գերնիկան:")</f>
        <v>Ո՞վ է նկարել Գերնիկան:</v>
      </c>
      <c r="D4538" s="6" t="str">
        <f>IFERROR(__xludf.DUMMYFUNCTION("GOOGLETRANSLATE(B4538,""en"",""hy"")"),"Պաբլո Պիկասո.")</f>
        <v>Պաբլո Պիկասո.</v>
      </c>
    </row>
    <row r="4539">
      <c r="A4539" s="5" t="s">
        <v>7509</v>
      </c>
      <c r="B4539" s="5" t="s">
        <v>7510</v>
      </c>
      <c r="C4539" s="5" t="str">
        <f>IFERROR(__xludf.DUMMYFUNCTION("GOOGLETRANSLATE(A4539,""en"",""hy"")"),"Ո՞րն է արծաթի քիմիական նշանը:")</f>
        <v>Ո՞րն է արծաթի քիմիական նշանը:</v>
      </c>
      <c r="D4539" s="6" t="str">
        <f>IFERROR(__xludf.DUMMYFUNCTION("GOOGLETRANSLATE(B4539,""en"",""hy"")"),"Ագ")</f>
        <v>Ագ</v>
      </c>
    </row>
    <row r="4540">
      <c r="A4540" s="5" t="s">
        <v>8010</v>
      </c>
      <c r="B4540" s="5" t="s">
        <v>7578</v>
      </c>
      <c r="C4540" s="5" t="str">
        <f>IFERROR(__xludf.DUMMYFUNCTION("GOOGLETRANSLATE(A4540,""en"",""hy"")"),"Ո՞վ է գրել «Մոբի-Դիկ» վեպը:")</f>
        <v>Ո՞վ է գրել «Մոբի-Դիկ» վեպը:</v>
      </c>
      <c r="D4540" s="6" t="str">
        <f>IFERROR(__xludf.DUMMYFUNCTION("GOOGLETRANSLATE(B4540,""en"",""hy"")"),"Հերման Մելվիլ.")</f>
        <v>Հերման Մելվիլ.</v>
      </c>
    </row>
    <row r="4541">
      <c r="A4541" s="5" t="s">
        <v>8198</v>
      </c>
      <c r="B4541" s="5" t="s">
        <v>8199</v>
      </c>
      <c r="C4541" s="5" t="str">
        <f>IFERROR(__xludf.DUMMYFUNCTION("GOOGLETRANSLATE(A4541,""en"",""hy"")"),"Ո՞րն է Չինաստանի ազգային կենդանին:")</f>
        <v>Ո՞րն է Չինաստանի ազգային կենդանին:</v>
      </c>
      <c r="D4541" s="6" t="str">
        <f>IFERROR(__xludf.DUMMYFUNCTION("GOOGLETRANSLATE(B4541,""en"",""hy"")"),"Չինաստանի ազգային կենդանին հսկա պանդան է։")</f>
        <v>Չինաստանի ազգային կենդանին հսկա պանդան է։</v>
      </c>
    </row>
    <row r="4542">
      <c r="A4542" s="5" t="s">
        <v>8200</v>
      </c>
      <c r="B4542" s="5" t="s">
        <v>8201</v>
      </c>
      <c r="C4542" s="5" t="str">
        <f>IFERROR(__xludf.DUMMYFUNCTION("GOOGLETRANSLATE(A4542,""en"",""hy"")"),"Ո՞ր երկրում են անցկացվել առաջին օլիմպիական խաղերը:")</f>
        <v>Ո՞ր երկրում են անցկացվել առաջին օլիմպիական խաղերը:</v>
      </c>
      <c r="D4542" s="6" t="str">
        <f>IFERROR(__xludf.DUMMYFUNCTION("GOOGLETRANSLATE(B4542,""en"",""hy"")"),"Հունաստան.")</f>
        <v>Հունաստան.</v>
      </c>
    </row>
    <row r="4543">
      <c r="A4543" s="5" t="s">
        <v>8202</v>
      </c>
      <c r="B4543" s="5" t="s">
        <v>8203</v>
      </c>
      <c r="C4543" s="5" t="str">
        <f>IFERROR(__xludf.DUMMYFUNCTION("GOOGLETRANSLATE(A4543,""en"",""hy"")"),"Քանի ճաշի գդալ կա մի բաժակում:")</f>
        <v>Քանի ճաշի գդալ կա մի բաժակում:</v>
      </c>
      <c r="D4543" s="6" t="str">
        <f>IFERROR(__xludf.DUMMYFUNCTION("GOOGLETRANSLATE(B4543,""en"",""hy"")"),"Բաժակի մեջ կա 16 ճաշի գդալ։")</f>
        <v>Բաժակի մեջ կա 16 ճաշի գդալ։</v>
      </c>
    </row>
    <row r="4544">
      <c r="A4544" s="5" t="s">
        <v>7992</v>
      </c>
      <c r="B4544" s="5" t="s">
        <v>7607</v>
      </c>
      <c r="C4544" s="5" t="str">
        <f>IFERROR(__xludf.DUMMYFUNCTION("GOOGLETRANSLATE(A4544,""en"",""hy"")"),"Ո՞վ է հայտնաբերել էվոլյուցիայի տեսությունը:")</f>
        <v>Ո՞վ է հայտնաբերել էվոլյուցիայի տեսությունը:</v>
      </c>
      <c r="D4544" s="6" t="str">
        <f>IFERROR(__xludf.DUMMYFUNCTION("GOOGLETRANSLATE(B4544,""en"",""hy"")"),"Չարլզ Դարվին.")</f>
        <v>Չարլզ Դարվին.</v>
      </c>
    </row>
    <row r="4545">
      <c r="A4545" s="5" t="s">
        <v>7678</v>
      </c>
      <c r="B4545" s="5" t="s">
        <v>7451</v>
      </c>
      <c r="C4545" s="5" t="str">
        <f>IFERROR(__xludf.DUMMYFUNCTION("GOOGLETRANSLATE(A4545,""en"",""hy"")"),"Ո՞րն է Ավստրալիայի մայրաքաղաքը:")</f>
        <v>Ո՞րն է Ավստրալիայի մայրաքաղաքը:</v>
      </c>
      <c r="D4545" s="6" t="str">
        <f>IFERROR(__xludf.DUMMYFUNCTION("GOOGLETRANSLATE(B4545,""en"",""hy"")"),"Կանբերա.")</f>
        <v>Կանբերա.</v>
      </c>
    </row>
    <row r="4546">
      <c r="A4546" s="5" t="s">
        <v>7665</v>
      </c>
      <c r="B4546" s="5" t="s">
        <v>7781</v>
      </c>
      <c r="C4546" s="5" t="str">
        <f>IFERROR(__xludf.DUMMYFUNCTION("GOOGLETRANSLATE(A4546,""en"",""hy"")"),"Ո՞րն է նատրիումի քիմիական նշանը:")</f>
        <v>Ո՞րն է նատրիումի քիմիական նշանը:</v>
      </c>
      <c r="D4546" s="6" t="str">
        <f>IFERROR(__xludf.DUMMYFUNCTION("GOOGLETRANSLATE(B4546,""en"",""hy"")"),"Նատրիումի քիմիական նշանը Na է:")</f>
        <v>Նատրիումի քիմիական նշանը Na է:</v>
      </c>
    </row>
    <row r="4547">
      <c r="A4547" s="5" t="s">
        <v>8204</v>
      </c>
      <c r="B4547" s="5" t="s">
        <v>8205</v>
      </c>
      <c r="C4547" s="5" t="str">
        <f>IFERROR(__xludf.DUMMYFUNCTION("GOOGLETRANSLATE(A4547,""en"",""hy"")"),"Քանի՞ կին ուներ Հենրի VIII-ը:")</f>
        <v>Քանի՞ կին ուներ Հենրի VIII-ը:</v>
      </c>
      <c r="D4547" s="6" t="str">
        <f>IFERROR(__xludf.DUMMYFUNCTION("GOOGLETRANSLATE(B4547,""en"",""hy"")"),"Հենրի VIII-ն ուներ վեց կին։")</f>
        <v>Հենրի VIII-ն ուներ վեց կին։</v>
      </c>
    </row>
    <row r="4548">
      <c r="A4548" s="5" t="s">
        <v>7548</v>
      </c>
      <c r="B4548" s="5" t="s">
        <v>7549</v>
      </c>
      <c r="C4548" s="5" t="str">
        <f>IFERROR(__xludf.DUMMYFUNCTION("GOOGLETRANSLATE(A4548,""en"",""hy"")"),"Ո՞վ է նկարել մարգարիտ ականջօղով աղջկան:")</f>
        <v>Ո՞վ է նկարել մարգարիտ ականջօղով աղջկան:</v>
      </c>
      <c r="D4548" s="6" t="str">
        <f>IFERROR(__xludf.DUMMYFUNCTION("GOOGLETRANSLATE(B4548,""en"",""hy"")"),"Յոհաննես Վերմեեր.")</f>
        <v>Յոհաննես Վերմեեր.</v>
      </c>
    </row>
    <row r="4549">
      <c r="A4549" s="5" t="s">
        <v>8206</v>
      </c>
      <c r="B4549" s="5" t="s">
        <v>1299</v>
      </c>
      <c r="C4549" s="5" t="str">
        <f>IFERROR(__xludf.DUMMYFUNCTION("GOOGLETRANSLATE(A4549,""en"",""hy"")"),"Ո՞րն է Երկրի ամենամեծ մայրցամաքը:")</f>
        <v>Ո՞րն է Երկրի ամենամեծ մայրցամաքը:</v>
      </c>
      <c r="D4549" s="6" t="str">
        <f>IFERROR(__xludf.DUMMYFUNCTION("GOOGLETRANSLATE(B4549,""en"",""hy"")"),"Ասիա.")</f>
        <v>Ասիա.</v>
      </c>
    </row>
    <row r="4550">
      <c r="A4550" s="5" t="s">
        <v>7726</v>
      </c>
      <c r="B4550" s="5" t="s">
        <v>8207</v>
      </c>
      <c r="C4550" s="5" t="str">
        <f>IFERROR(__xludf.DUMMYFUNCTION("GOOGLETRANSLATE(A4550,""en"",""hy"")"),"Ո՞վ է գրել «Մակբեթ» պիեսը։")</f>
        <v>Ո՞վ է գրել «Մակբեթ» պիեսը։</v>
      </c>
      <c r="D4550" s="6" t="str">
        <f>IFERROR(__xludf.DUMMYFUNCTION("GOOGLETRANSLATE(B4550,""en"",""hy"")"),"Ուիլյամ Շեքսպիրը գրել է «Մակբեթ» պիեսը։")</f>
        <v>Ուիլյամ Շեքսպիրը գրել է «Մակբեթ» պիեսը։</v>
      </c>
    </row>
    <row r="4551">
      <c r="A4551" s="5" t="s">
        <v>7530</v>
      </c>
      <c r="B4551" s="5" t="s">
        <v>7531</v>
      </c>
      <c r="C4551" s="5" t="str">
        <f>IFERROR(__xludf.DUMMYFUNCTION("GOOGLETRANSLATE(A4551,""en"",""hy"")"),"Ո՞րն է Հնդկաստանի ազգային թռչունը:")</f>
        <v>Ո՞րն է Հնդկաստանի ազգային թռչունը:</v>
      </c>
      <c r="D4551" s="6" t="str">
        <f>IFERROR(__xludf.DUMMYFUNCTION("GOOGLETRANSLATE(B4551,""en"",""hy"")"),"Հնդկաստանի ազգային թռչունը սիրամարգն է։")</f>
        <v>Հնդկաստանի ազգային թռչունը սիրամարգն է։</v>
      </c>
    </row>
    <row r="4552">
      <c r="A4552" s="5" t="s">
        <v>7969</v>
      </c>
      <c r="B4552" s="5" t="s">
        <v>7970</v>
      </c>
      <c r="C4552" s="5" t="str">
        <f>IFERROR(__xludf.DUMMYFUNCTION("GOOGLETRANSLATE(A4552,""en"",""hy"")"),"Քանի՞ ոսկոր կա մարդու գանգում:")</f>
        <v>Քանի՞ ոսկոր կա մարդու գանգում:</v>
      </c>
      <c r="D4552" s="6" t="str">
        <f>IFERROR(__xludf.DUMMYFUNCTION("GOOGLETRANSLATE(B4552,""en"",""hy"")"),"Մարդու գանգում կա 22 ոսկոր։")</f>
        <v>Մարդու գանգում կա 22 ոսկոր։</v>
      </c>
    </row>
    <row r="4553">
      <c r="A4553" s="5" t="s">
        <v>7701</v>
      </c>
      <c r="B4553" s="5" t="s">
        <v>8208</v>
      </c>
      <c r="C4553" s="5" t="str">
        <f>IFERROR(__xludf.DUMMYFUNCTION("GOOGLETRANSLATE(A4553,""en"",""hy"")"),"Ո՞վ է հորինել համակարգիչը:")</f>
        <v>Ո՞վ է հորինել համակարգիչը:</v>
      </c>
      <c r="D4553" s="6" t="str">
        <f>IFERROR(__xludf.DUMMYFUNCTION("GOOGLETRANSLATE(B4553,""en"",""hy"")"),"Համակարգիչը հայտնագործվել է ոչ թե մեկ անձի կողմից, այլ ժամանակի ընթացքում բազմաթիվ անհատների ներդրումների շնորհիվ:")</f>
        <v>Համակարգիչը հայտնագործվել է ոչ թե մեկ անձի կողմից, այլ ժամանակի ընթացքում բազմաթիվ անհատների ներդրումների շնորհիվ:</v>
      </c>
    </row>
    <row r="4554">
      <c r="A4554" s="5" t="s">
        <v>8101</v>
      </c>
      <c r="B4554" s="5" t="s">
        <v>7464</v>
      </c>
      <c r="C4554" s="5" t="str">
        <f>IFERROR(__xludf.DUMMYFUNCTION("GOOGLETRANSLATE(A4554,""en"",""hy"")"),"Ո՞րն է աշխարհի ամենաբարձր լեռը:")</f>
        <v>Ո՞րն է աշխարհի ամենաբարձր լեռը:</v>
      </c>
      <c r="D4554" s="6" t="str">
        <f>IFERROR(__xludf.DUMMYFUNCTION("GOOGLETRANSLATE(B4554,""en"",""hy"")"),"Էվերեստ լեռ.")</f>
        <v>Էվերեստ լեռ.</v>
      </c>
    </row>
    <row r="4555">
      <c r="A4555" s="5" t="s">
        <v>8209</v>
      </c>
      <c r="B4555" s="5" t="s">
        <v>8210</v>
      </c>
      <c r="C4555" s="5" t="str">
        <f>IFERROR(__xludf.DUMMYFUNCTION("GOOGLETRANSLATE(A4555,""en"",""hy"")"),"Ո՞րն է Ասիայի ամենաերկար գետը:")</f>
        <v>Ո՞րն է Ասիայի ամենաերկար գետը:</v>
      </c>
      <c r="D4555" s="6" t="str">
        <f>IFERROR(__xludf.DUMMYFUNCTION("GOOGLETRANSLATE(B4555,""en"",""hy"")"),"Ասիայի ամենաերկար գետը Յանցզի գետն է։")</f>
        <v>Ասիայի ամենաերկար գետը Յանցզի գետն է։</v>
      </c>
    </row>
    <row r="4556">
      <c r="A4556" s="5" t="s">
        <v>8211</v>
      </c>
      <c r="B4556" s="5" t="s">
        <v>8212</v>
      </c>
      <c r="C4556" s="5" t="str">
        <f>IFERROR(__xludf.DUMMYFUNCTION("GOOGLETRANSLATE(A4556,""en"",""hy"")"),"Ո՞վ է նկարել «Ջրաշուշաններ» շարքը:")</f>
        <v>Ո՞վ է նկարել «Ջրաշուշաններ» շարքը:</v>
      </c>
      <c r="D4556" s="6" t="str">
        <f>IFERROR(__xludf.DUMMYFUNCTION("GOOGLETRANSLATE(B4556,""en"",""hy"")"),"Կլոդ Մոնե.")</f>
        <v>Կլոդ Մոնե.</v>
      </c>
    </row>
    <row r="4557">
      <c r="A4557" s="5" t="s">
        <v>7738</v>
      </c>
      <c r="B4557" s="5" t="s">
        <v>7739</v>
      </c>
      <c r="C4557" s="5" t="str">
        <f>IFERROR(__xludf.DUMMYFUNCTION("GOOGLETRANSLATE(A4557,""en"",""hy"")"),"Ո՞րն է կալցիումի քիմիական նշանը:")</f>
        <v>Ո՞րն է կալցիումի քիմիական նշանը:</v>
      </c>
      <c r="D4557" s="6" t="str">
        <f>IFERROR(__xludf.DUMMYFUNCTION("GOOGLETRANSLATE(B4557,""en"",""hy"")"),"Կալցիումի քիմիական նշանը Ca է:")</f>
        <v>Կալցիումի քիմիական նշանը Ca է:</v>
      </c>
    </row>
    <row r="4558">
      <c r="A4558" s="5" t="s">
        <v>7890</v>
      </c>
      <c r="B4558" s="5" t="s">
        <v>7661</v>
      </c>
      <c r="C4558" s="5" t="str">
        <f>IFERROR(__xludf.DUMMYFUNCTION("GOOGLETRANSLATE(A4558,""en"",""hy"")"),"Ո՞վ է գրել «Մեծն Գեթսբի» վեպը:")</f>
        <v>Ո՞վ է գրել «Մեծն Գեթսբի» վեպը:</v>
      </c>
      <c r="D4558" s="6" t="str">
        <f>IFERROR(__xludf.DUMMYFUNCTION("GOOGLETRANSLATE(B4558,""en"",""hy"")"),"F. Scott Fitzgerald.")</f>
        <v>F. Scott Fitzgerald.</v>
      </c>
    </row>
    <row r="4559">
      <c r="A4559" s="5" t="s">
        <v>8213</v>
      </c>
      <c r="B4559" s="5" t="s">
        <v>8214</v>
      </c>
      <c r="C4559" s="5" t="str">
        <f>IFERROR(__xludf.DUMMYFUNCTION("GOOGLETRANSLATE(A4559,""en"",""hy"")"),"Ո՞րն է Ռուսաստանի ազգային կենդանին:")</f>
        <v>Ո՞րն է Ռուսաստանի ազգային կենդանին:</v>
      </c>
      <c r="D4559" s="6" t="str">
        <f>IFERROR(__xludf.DUMMYFUNCTION("GOOGLETRANSLATE(B4559,""en"",""hy"")"),"Ռուսաստանի ազգային կենդանին գորշ արջն է։")</f>
        <v>Ռուսաստանի ազգային կենդանին գորշ արջն է։</v>
      </c>
    </row>
    <row r="4560">
      <c r="A4560" s="5" t="s">
        <v>8215</v>
      </c>
      <c r="B4560" s="5" t="s">
        <v>8216</v>
      </c>
      <c r="C4560" s="5" t="str">
        <f>IFERROR(__xludf.DUMMYFUNCTION("GOOGLETRANSLATE(A4560,""en"",""hy"")"),"Քանի՞ օր կա նահանջ տարում:")</f>
        <v>Քանի՞ օր կա նահանջ տարում:</v>
      </c>
      <c r="D4560" s="6" t="str">
        <f>IFERROR(__xludf.DUMMYFUNCTION("GOOGLETRANSLATE(B4560,""en"",""hy"")"),"Նահանջ տարում կա 366 օր։")</f>
        <v>Նահանջ տարում կա 366 օր։</v>
      </c>
    </row>
    <row r="4561">
      <c r="A4561" s="5" t="s">
        <v>8217</v>
      </c>
      <c r="B4561" s="5" t="s">
        <v>8218</v>
      </c>
      <c r="C4561" s="5" t="str">
        <f>IFERROR(__xludf.DUMMYFUNCTION("GOOGLETRANSLATE(A4561,""en"",""hy"")"),"Ո՞վ է նկարել Հիշողության համառությունը:")</f>
        <v>Ո՞վ է նկարել Հիշողության համառությունը:</v>
      </c>
      <c r="D4561" s="6" t="str">
        <f>IFERROR(__xludf.DUMMYFUNCTION("GOOGLETRANSLATE(B4561,""en"",""hy"")"),"Սալվադոր Դալի")</f>
        <v>Սալվադոր Դալի</v>
      </c>
    </row>
    <row r="4562">
      <c r="A4562" s="5" t="s">
        <v>7875</v>
      </c>
      <c r="B4562" s="5" t="s">
        <v>7876</v>
      </c>
      <c r="C4562" s="5" t="str">
        <f>IFERROR(__xludf.DUMMYFUNCTION("GOOGLETRANSLATE(A4562,""en"",""hy"")"),"Ո՞րն է ազոտի քիմիական նշանը:")</f>
        <v>Ո՞րն է ազոտի քիմիական նշանը:</v>
      </c>
      <c r="D4562" s="6" t="str">
        <f>IFERROR(__xludf.DUMMYFUNCTION("GOOGLETRANSLATE(B4562,""en"",""hy"")"),"Ազոտի քիմիական նշանն է N.")</f>
        <v>Ազոտի քիմիական նշանն է N.</v>
      </c>
    </row>
    <row r="4563">
      <c r="A4563" s="5" t="s">
        <v>8219</v>
      </c>
      <c r="B4563" s="5" t="s">
        <v>8220</v>
      </c>
      <c r="C4563" s="5" t="str">
        <f>IFERROR(__xludf.DUMMYFUNCTION("GOOGLETRANSLATE(A4563,""en"",""hy"")"),"Քանի՞ Օսկար է շահել Լեոնարդո Դի Կապրիոն.")</f>
        <v>Քանի՞ Օսկար է շահել Լեոնարդո Դի Կապրիոն.</v>
      </c>
      <c r="D4563" s="6" t="str">
        <f>IFERROR(__xludf.DUMMYFUNCTION("GOOGLETRANSLATE(B4563,""en"",""hy"")"),"Լեոնարդո Դի Կապրիոն մեկ «Օսկար» է ստացել.")</f>
        <v>Լեոնարդո Դի Կապրիոն մեկ «Օսկար» է ստացել.</v>
      </c>
    </row>
    <row r="4564">
      <c r="A4564" s="5" t="s">
        <v>7667</v>
      </c>
      <c r="B4564" s="5" t="s">
        <v>7554</v>
      </c>
      <c r="C4564" s="5" t="str">
        <f>IFERROR(__xludf.DUMMYFUNCTION("GOOGLETRANSLATE(A4564,""en"",""hy"")"),"Ո՞րն է Հարավային Աֆրիկայի մայրաքաղաքը:")</f>
        <v>Ո՞րն է Հարավային Աֆրիկայի մայրաքաղաքը:</v>
      </c>
      <c r="D4564" s="6" t="str">
        <f>IFERROR(__xludf.DUMMYFUNCTION("GOOGLETRANSLATE(B4564,""en"",""hy"")"),"Պրետորիա.")</f>
        <v>Պրետորիա.</v>
      </c>
    </row>
    <row r="4565">
      <c r="A4565" s="5" t="s">
        <v>8221</v>
      </c>
      <c r="B4565" s="5" t="s">
        <v>8222</v>
      </c>
      <c r="C4565" s="5" t="str">
        <f>IFERROR(__xludf.DUMMYFUNCTION("GOOGLETRANSLATE(A4565,""en"",""hy"")"),"Ո՞րն է շոկոլադի հալման կետը Ցելսիուսում:")</f>
        <v>Ո՞րն է շոկոլադի հալման կետը Ցելսիուսում:</v>
      </c>
      <c r="D4565" s="6" t="str">
        <f>IFERROR(__xludf.DUMMYFUNCTION("GOOGLETRANSLATE(B4565,""en"",""hy"")"),"Շոկոլադի հալման կետը մոտավորապես 34-ից 38 աստիճան Celsius է:")</f>
        <v>Շոկոլադի հալման կետը մոտավորապես 34-ից 38 աստիճան Celsius է:</v>
      </c>
    </row>
    <row r="4566">
      <c r="A4566" s="5" t="s">
        <v>8223</v>
      </c>
      <c r="B4566" s="5" t="s">
        <v>8224</v>
      </c>
      <c r="C4566" s="5" t="str">
        <f>IFERROR(__xludf.DUMMYFUNCTION("GOOGLETRANSLATE(A4566,""en"",""hy"")"),"Ո՞վ է հայտնաբերել էլեկտրաէներգիան:")</f>
        <v>Ո՞վ է հայտնաբերել էլեկտրաէներգիան:</v>
      </c>
      <c r="D4566" s="6" t="str">
        <f>IFERROR(__xludf.DUMMYFUNCTION("GOOGLETRANSLATE(B4566,""en"",""hy"")"),"Բենջամին Ֆրանկլինը հաճախ վերագրվում է էլեկտրաէներգիայի հայտնաբերմանը:")</f>
        <v>Բենջամին Ֆրանկլինը հաճախ վերագրվում է էլեկտրաէներգիայի հայտնաբերմանը:</v>
      </c>
    </row>
    <row r="4567">
      <c r="A4567" s="5" t="s">
        <v>8136</v>
      </c>
      <c r="B4567" s="5" t="s">
        <v>8225</v>
      </c>
      <c r="C4567" s="5" t="str">
        <f>IFERROR(__xludf.DUMMYFUNCTION("GOOGLETRANSLATE(A4567,""en"",""hy"")"),"Ո՞րն է Ֆրանսիայի ազգային ծաղիկը:")</f>
        <v>Ո՞րն է Ֆրանսիայի ազգային ծաղիկը:</v>
      </c>
      <c r="D4567" s="6" t="str">
        <f>IFERROR(__xludf.DUMMYFUNCTION("GOOGLETRANSLATE(B4567,""en"",""hy"")"),"Ֆրանսիայի ազգային ծաղիկը Շուշանն է, մասնավորապես՝ Fleur-de-lis-ը:")</f>
        <v>Ֆրանսիայի ազգային ծաղիկը Շուշանն է, մասնավորապես՝ Fleur-de-lis-ը:</v>
      </c>
    </row>
    <row r="4568">
      <c r="A4568" s="5" t="s">
        <v>8226</v>
      </c>
      <c r="B4568" s="5" t="s">
        <v>8227</v>
      </c>
      <c r="C4568" s="5" t="str">
        <f>IFERROR(__xludf.DUMMYFUNCTION("GOOGLETRANSLATE(A4568,""en"",""hy"")"),"Ո՞ր քաղաքում է սկսվել Վերածնունդը:")</f>
        <v>Ո՞ր քաղաքում է սկսվել Վերածնունդը:</v>
      </c>
      <c r="D4568" s="6" t="str">
        <f>IFERROR(__xludf.DUMMYFUNCTION("GOOGLETRANSLATE(B4568,""en"",""hy"")"),"Վերածնունդը սկսվեց Իտալիայի Ֆլորենցիայում:")</f>
        <v>Վերածնունդը սկսվեց Իտալիայի Ֆլորենցիայում:</v>
      </c>
    </row>
    <row r="4569">
      <c r="A4569" s="5" t="s">
        <v>8088</v>
      </c>
      <c r="B4569" s="5" t="s">
        <v>8228</v>
      </c>
      <c r="C4569" s="5" t="str">
        <f>IFERROR(__xludf.DUMMYFUNCTION("GOOGLETRANSLATE(A4569,""en"",""hy"")"),"Քանի՞ կողմ ունի հնգանկյունը:")</f>
        <v>Քանի՞ կողմ ունի հնգանկյունը:</v>
      </c>
      <c r="D4569" s="6" t="str">
        <f>IFERROR(__xludf.DUMMYFUNCTION("GOOGLETRANSLATE(B4569,""en"",""hy"")"),"Պենտագոնն ունի հինգ կողմ:")</f>
        <v>Պենտագոնն ունի հինգ կողմ:</v>
      </c>
    </row>
    <row r="4570">
      <c r="A4570" s="5" t="s">
        <v>8229</v>
      </c>
      <c r="B4570" s="5" t="s">
        <v>8230</v>
      </c>
      <c r="C4570" s="5" t="str">
        <f>IFERROR(__xludf.DUMMYFUNCTION("GOOGLETRANSLATE(A4570,""en"",""hy"")"),"Ո՞վ հայտնաբերեց Ամերիկան:")</f>
        <v>Ո՞վ հայտնաբերեց Ամերիկան:</v>
      </c>
      <c r="D4570" s="6" t="str">
        <f>IFERROR(__xludf.DUMMYFUNCTION("GOOGLETRANSLATE(B4570,""en"",""hy"")"),"Քրիստափոր Կոլումբոս.")</f>
        <v>Քրիստափոր Կոլումբոս.</v>
      </c>
    </row>
    <row r="4571">
      <c r="A4571" s="5" t="s">
        <v>7729</v>
      </c>
      <c r="B4571" s="5" t="s">
        <v>7525</v>
      </c>
      <c r="C4571" s="5" t="str">
        <f>IFERROR(__xludf.DUMMYFUNCTION("GOOGLETRANSLATE(A4571,""en"",""hy"")"),"Ո՞րն է Չինաստանի մայրաքաղաքը:")</f>
        <v>Ո՞րն է Չինաստանի մայրաքաղաքը:</v>
      </c>
      <c r="D4571" s="6" t="str">
        <f>IFERROR(__xludf.DUMMYFUNCTION("GOOGLETRANSLATE(B4571,""en"",""hy"")"),"Պեկին.")</f>
        <v>Պեկին.</v>
      </c>
    </row>
    <row r="4572">
      <c r="A4572" s="5" t="s">
        <v>7809</v>
      </c>
      <c r="B4572" s="5" t="s">
        <v>7810</v>
      </c>
      <c r="C4572" s="5" t="str">
        <f>IFERROR(__xludf.DUMMYFUNCTION("GOOGLETRANSLATE(A4572,""en"",""hy"")"),"Ո՞րն է հելիումի քիմիական նշանը:")</f>
        <v>Ո՞րն է հելիումի քիմիական նշանը:</v>
      </c>
      <c r="D4572" s="6" t="str">
        <f>IFERROR(__xludf.DUMMYFUNCTION("GOOGLETRANSLATE(B4572,""en"",""hy"")"),"Նա")</f>
        <v>Նա</v>
      </c>
    </row>
    <row r="4573">
      <c r="A4573" s="5" t="s">
        <v>8231</v>
      </c>
      <c r="B4573" s="5" t="s">
        <v>8232</v>
      </c>
      <c r="C4573" s="5" t="str">
        <f>IFERROR(__xludf.DUMMYFUNCTION("GOOGLETRANSLATE(A4573,""en"",""hy"")"),"Քանի՞ գրամ կա մեկ կիլոգրամում:")</f>
        <v>Քանի՞ գրամ կա մեկ կիլոգրամում:</v>
      </c>
      <c r="D4573" s="6" t="str">
        <f>IFERROR(__xludf.DUMMYFUNCTION("GOOGLETRANSLATE(B4573,""en"",""hy"")"),"Կիլոգրամում կա 1000 գրամ։")</f>
        <v>Կիլոգրամում կա 1000 գրամ։</v>
      </c>
    </row>
    <row r="4574">
      <c r="A4574" s="5" t="s">
        <v>7737</v>
      </c>
      <c r="B4574" s="5" t="s">
        <v>7560</v>
      </c>
      <c r="C4574" s="5" t="str">
        <f>IFERROR(__xludf.DUMMYFUNCTION("GOOGLETRANSLATE(A4574,""en"",""hy"")"),"Ո՞վ է գրել «Շորայի մեջ բռնողը» վեպը:")</f>
        <v>Ո՞վ է գրել «Շորայի մեջ բռնողը» վեպը:</v>
      </c>
      <c r="D4574" s="6" t="str">
        <f>IFERROR(__xludf.DUMMYFUNCTION("GOOGLETRANSLATE(B4574,""en"",""hy"")"),"Ջ.Դ.Սելինջեր.")</f>
        <v>Ջ.Դ.Սելինջեր.</v>
      </c>
    </row>
    <row r="4575">
      <c r="A4575" s="5" t="s">
        <v>8233</v>
      </c>
      <c r="B4575" s="5" t="s">
        <v>8234</v>
      </c>
      <c r="C4575" s="5" t="str">
        <f>IFERROR(__xludf.DUMMYFUNCTION("GOOGLETRANSLATE(A4575,""en"",""hy"")"),"Ո՞րն է Գերմանիայի ազգային կենդանին:")</f>
        <v>Ո՞րն է Գերմանիայի ազգային կենդանին:</v>
      </c>
      <c r="D4575" s="6" t="str">
        <f>IFERROR(__xludf.DUMMYFUNCTION("GOOGLETRANSLATE(B4575,""en"",""hy"")"),"Գերմանիայի ազգային կենդանին ոսկե արծիվն է։")</f>
        <v>Գերմանիայի ազգային կենդանին ոսկե արծիվն է։</v>
      </c>
    </row>
    <row r="4576">
      <c r="A4576" s="5" t="s">
        <v>8235</v>
      </c>
      <c r="B4576" s="5" t="s">
        <v>6334</v>
      </c>
      <c r="C4576" s="5" t="str">
        <f>IFERROR(__xludf.DUMMYFUNCTION("GOOGLETRANSLATE(A4576,""en"",""hy"")"),"Ո՞ր երկրում է գտնվում Կոլիզեյը:")</f>
        <v>Ո՞ր երկրում է գտնվում Կոլիզեյը:</v>
      </c>
      <c r="D4576" s="6" t="str">
        <f>IFERROR(__xludf.DUMMYFUNCTION("GOOGLETRANSLATE(B4576,""en"",""hy"")"),"Իտալիա.")</f>
        <v>Իտալիա.</v>
      </c>
    </row>
    <row r="4577">
      <c r="A4577" s="5" t="s">
        <v>8236</v>
      </c>
      <c r="B4577" s="5" t="s">
        <v>8237</v>
      </c>
      <c r="C4577" s="5" t="str">
        <f>IFERROR(__xludf.DUMMYFUNCTION("GOOGLETRANSLATE(A4577,""en"",""hy"")"),"Քանի՞ փական ունի մարդու սիրտը:")</f>
        <v>Քանի՞ փական ունի մարդու սիրտը:</v>
      </c>
      <c r="D4577" s="6" t="str">
        <f>IFERROR(__xludf.DUMMYFUNCTION("GOOGLETRANSLATE(B4577,""en"",""hy"")"),"Մարդու սիրտն ունի չորս փական.")</f>
        <v>Մարդու սիրտն ունի չորս փական.</v>
      </c>
    </row>
    <row r="4578">
      <c r="A4578" s="5" t="s">
        <v>8238</v>
      </c>
      <c r="B4578" s="5" t="s">
        <v>7867</v>
      </c>
      <c r="C4578" s="5" t="str">
        <f>IFERROR(__xludf.DUMMYFUNCTION("GOOGLETRANSLATE(A4578,""en"",""hy"")"),"Ո՞վ է «Մատանիների տիրակալը» եռերգության հեղինակը:")</f>
        <v>Ո՞վ է «Մատանիների տիրակալը» եռերգության հեղինակը:</v>
      </c>
      <c r="D4578" s="6" t="str">
        <f>IFERROR(__xludf.DUMMYFUNCTION("GOOGLETRANSLATE(B4578,""en"",""hy"")"),"Ջ.Ռ.Ռ. Թոլքինը։")</f>
        <v>Ջ.Ռ.Ռ. Թոլքինը։</v>
      </c>
    </row>
    <row r="4579">
      <c r="A4579" s="5" t="s">
        <v>7746</v>
      </c>
      <c r="B4579" s="5" t="s">
        <v>8239</v>
      </c>
      <c r="C4579" s="5" t="str">
        <f>IFERROR(__xludf.DUMMYFUNCTION("GOOGLETRANSLATE(A4579,""en"",""hy"")"),"Ո՞րն է Աֆրիկայի ամենամեծ երկիրը:")</f>
        <v>Ո՞րն է Աֆրիկայի ամենամեծ երկիրը:</v>
      </c>
      <c r="D4579" s="6" t="str">
        <f>IFERROR(__xludf.DUMMYFUNCTION("GOOGLETRANSLATE(B4579,""en"",""hy"")"),"Աֆրիկայի ամենամեծ երկիրը Ալժիրն է։")</f>
        <v>Աֆրիկայի ամենամեծ երկիրը Ալժիրն է։</v>
      </c>
    </row>
    <row r="4580">
      <c r="A4580" s="5" t="s">
        <v>7447</v>
      </c>
      <c r="B4580" s="5" t="s">
        <v>7828</v>
      </c>
      <c r="C4580" s="5" t="str">
        <f>IFERROR(__xludf.DUMMYFUNCTION("GOOGLETRANSLATE(A4580,""en"",""hy"")"),"Ո՞վ է նկարել Մոնա Լիզան:")</f>
        <v>Ո՞վ է նկարել Մոնա Լիզան:</v>
      </c>
      <c r="D4580" s="6" t="str">
        <f>IFERROR(__xludf.DUMMYFUNCTION("GOOGLETRANSLATE(B4580,""en"",""hy"")"),"Լեոնարդո դա Վինչի")</f>
        <v>Լեոնարդո դա Վինչի</v>
      </c>
    </row>
    <row r="4581">
      <c r="A4581" s="5" t="s">
        <v>7450</v>
      </c>
      <c r="B4581" s="5" t="s">
        <v>7451</v>
      </c>
      <c r="C4581" s="5" t="str">
        <f>IFERROR(__xludf.DUMMYFUNCTION("GOOGLETRANSLATE(A4581,""en"",""hy"")"),"Ո՞րն է Ավստրալիայի մայրաքաղաքը:")</f>
        <v>Ո՞րն է Ավստրալիայի մայրաքաղաքը:</v>
      </c>
      <c r="D4581" s="6" t="str">
        <f>IFERROR(__xludf.DUMMYFUNCTION("GOOGLETRANSLATE(B4581,""en"",""hy"")"),"Կանբերա.")</f>
        <v>Կանբերա.</v>
      </c>
    </row>
    <row r="4582">
      <c r="A4582" s="5" t="s">
        <v>7849</v>
      </c>
      <c r="B4582" s="5" t="s">
        <v>7541</v>
      </c>
      <c r="C4582" s="5" t="str">
        <f>IFERROR(__xludf.DUMMYFUNCTION("GOOGLETRANSLATE(A4582,""en"",""hy"")"),"Ո՞վ է գրել «Սպանել ծաղրող թռչունին» վեպը:")</f>
        <v>Ո՞վ է գրել «Սպանել ծաղրող թռչունին» վեպը:</v>
      </c>
      <c r="D4582" s="6" t="str">
        <f>IFERROR(__xludf.DUMMYFUNCTION("GOOGLETRANSLATE(B4582,""en"",""hy"")"),"Հարփեր Լի.")</f>
        <v>Հարփեր Լի.</v>
      </c>
    </row>
    <row r="4583">
      <c r="A4583" s="5" t="s">
        <v>7469</v>
      </c>
      <c r="B4583" s="5" t="s">
        <v>7470</v>
      </c>
      <c r="C4583" s="5" t="str">
        <f>IFERROR(__xludf.DUMMYFUNCTION("GOOGLETRANSLATE(A4583,""en"",""hy"")"),"Ո՞ր տարում ավարտվեց Երկրորդ համաշխարհային պատերազմը:")</f>
        <v>Ո՞ր տարում ավարտվեց Երկրորդ համաշխարհային պատերազմը:</v>
      </c>
      <c r="D4583" s="6" t="str">
        <f>IFERROR(__xludf.DUMMYFUNCTION("GOOGLETRANSLATE(B4583,""en"",""hy"")"),"Երկրորդ համաշխարհային պատերազմն ավարտվեց 1945 թվականին։")</f>
        <v>Երկրորդ համաշխարհային պատերազմն ավարտվեց 1945 թվականին։</v>
      </c>
    </row>
    <row r="4584">
      <c r="A4584" s="5" t="s">
        <v>7779</v>
      </c>
      <c r="B4584" s="5" t="s">
        <v>7446</v>
      </c>
      <c r="C4584" s="5" t="str">
        <f>IFERROR(__xludf.DUMMYFUNCTION("GOOGLETRANSLATE(A4584,""en"",""hy"")"),"Ո՞ր մոլորակն է հայտնի որպես «Կարմիր մոլորակ»:")</f>
        <v>Ո՞ր մոլորակն է հայտնի որպես «Կարմիր մոլորակ»:</v>
      </c>
      <c r="D4584" s="6" t="str">
        <f>IFERROR(__xludf.DUMMYFUNCTION("GOOGLETRANSLATE(B4584,""en"",""hy"")"),"Մարս.")</f>
        <v>Մարս.</v>
      </c>
    </row>
    <row r="4585">
      <c r="A4585" s="5" t="s">
        <v>7509</v>
      </c>
      <c r="B4585" s="5" t="s">
        <v>7684</v>
      </c>
      <c r="C4585" s="5" t="str">
        <f>IFERROR(__xludf.DUMMYFUNCTION("GOOGLETRANSLATE(A4585,""en"",""hy"")"),"Ո՞րն է արծաթի քիմիական նշանը:")</f>
        <v>Ո՞րն է արծաթի քիմիական նշանը:</v>
      </c>
      <c r="D4585" s="6" t="str">
        <f>IFERROR(__xludf.DUMMYFUNCTION("GOOGLETRANSLATE(B4585,""en"",""hy"")"),"Արծաթի քիմիական խորհրդանիշն է Ag.")</f>
        <v>Արծաթի քիմիական խորհրդանիշն է Ag.</v>
      </c>
    </row>
    <row r="4586">
      <c r="A4586" s="5" t="s">
        <v>8240</v>
      </c>
      <c r="B4586" s="5" t="s">
        <v>7635</v>
      </c>
      <c r="C4586" s="5" t="str">
        <f>IFERROR(__xludf.DUMMYFUNCTION("GOOGLETRANSLATE(A4586,""en"",""hy"")"),"Ո՞վ էր առաջին մարդը, ով ոտք դրեց լուսնի վրա:")</f>
        <v>Ո՞վ էր առաջին մարդը, ով ոտք դրեց լուսնի վրա:</v>
      </c>
      <c r="D4586" s="6" t="str">
        <f>IFERROR(__xludf.DUMMYFUNCTION("GOOGLETRANSLATE(B4586,""en"",""hy"")"),"Նիլ Արմսթրոնգ.")</f>
        <v>Նիլ Արմսթրոնգ.</v>
      </c>
    </row>
    <row r="4587">
      <c r="A4587" s="5" t="s">
        <v>7461</v>
      </c>
      <c r="B4587" s="5" t="s">
        <v>7462</v>
      </c>
      <c r="C4587" s="5" t="str">
        <f>IFERROR(__xludf.DUMMYFUNCTION("GOOGLETRANSLATE(A4587,""en"",""hy"")"),"Ո՞րն է մարդու մարմնի ամենամեծ օրգանը:")</f>
        <v>Ո՞րն է մարդու մարմնի ամենամեծ օրգանը:</v>
      </c>
      <c r="D4587" s="6" t="str">
        <f>IFERROR(__xludf.DUMMYFUNCTION("GOOGLETRANSLATE(B4587,""en"",""hy"")"),"Մաշկը.")</f>
        <v>Մաշկը.</v>
      </c>
    </row>
    <row r="4588">
      <c r="A4588" s="5" t="s">
        <v>8108</v>
      </c>
      <c r="B4588" s="5" t="s">
        <v>7556</v>
      </c>
      <c r="C4588" s="5" t="str">
        <f>IFERROR(__xludf.DUMMYFUNCTION("GOOGLETRANSLATE(A4588,""en"",""hy"")"),"Ո՞ր հայտնի գիտնականն է մշակել հարաբերականության տեսությունը:")</f>
        <v>Ո՞ր հայտնի գիտնականն է մշակել հարաբերականության տեսությունը:</v>
      </c>
      <c r="D4588" s="6" t="str">
        <f>IFERROR(__xludf.DUMMYFUNCTION("GOOGLETRANSLATE(B4588,""en"",""hy"")"),"Albert Einstein.")</f>
        <v>Albert Einstein.</v>
      </c>
    </row>
    <row r="4589">
      <c r="A4589" s="5" t="s">
        <v>7817</v>
      </c>
      <c r="B4589" s="5" t="s">
        <v>7818</v>
      </c>
      <c r="C4589" s="5" t="str">
        <f>IFERROR(__xludf.DUMMYFUNCTION("GOOGLETRANSLATE(A4589,""en"",""hy"")"),"Ո՞րն է Կանադայի ազգային կենդանին:")</f>
        <v>Ո՞րն է Կանադայի ազգային կենդանին:</v>
      </c>
      <c r="D4589" s="6" t="str">
        <f>IFERROR(__xludf.DUMMYFUNCTION("GOOGLETRANSLATE(B4589,""en"",""hy"")"),"Կանադայի ազգային կենդանին կեղևն է:")</f>
        <v>Կանադայի ազգային կենդանին կեղևն է:</v>
      </c>
    </row>
    <row r="4590">
      <c r="A4590" s="5" t="s">
        <v>8241</v>
      </c>
      <c r="B4590" s="5" t="s">
        <v>7448</v>
      </c>
      <c r="C4590" s="5" t="str">
        <f>IFERROR(__xludf.DUMMYFUNCTION("GOOGLETRANSLATE(A4590,""en"",""hy"")"),"Ո՞ր նկարիչն է նկարել Մոնա Լիզան:")</f>
        <v>Ո՞ր նկարիչն է նկարել Մոնա Լիզան:</v>
      </c>
      <c r="D4590" s="6" t="str">
        <f>IFERROR(__xludf.DUMMYFUNCTION("GOOGLETRANSLATE(B4590,""en"",""hy"")"),"Լեոնարդո դա Վինչի.")</f>
        <v>Լեոնարդո դա Վինչի.</v>
      </c>
    </row>
    <row r="4591">
      <c r="A4591" s="5" t="s">
        <v>7463</v>
      </c>
      <c r="B4591" s="5" t="s">
        <v>7464</v>
      </c>
      <c r="C4591" s="5" t="str">
        <f>IFERROR(__xludf.DUMMYFUNCTION("GOOGLETRANSLATE(A4591,""en"",""hy"")"),"Ո՞րն է աշխարհի ամենաբարձր լեռը:")</f>
        <v>Ո՞րն է աշխարհի ամենաբարձր լեռը:</v>
      </c>
      <c r="D4591" s="6" t="str">
        <f>IFERROR(__xludf.DUMMYFUNCTION("GOOGLETRANSLATE(B4591,""en"",""hy"")"),"Էվերեստ լեռ.")</f>
        <v>Էվերեստ լեռ.</v>
      </c>
    </row>
    <row r="4592">
      <c r="A4592" s="5" t="s">
        <v>7477</v>
      </c>
      <c r="B4592" s="5" t="s">
        <v>7784</v>
      </c>
      <c r="C4592" s="5" t="str">
        <f>IFERROR(__xludf.DUMMYFUNCTION("GOOGLETRANSLATE(A4592,""en"",""hy"")"),"Ո՞ր երկիրն է հայտնի որպես «Ծագող արևի երկիր»:")</f>
        <v>Ո՞ր երկիրն է հայտնի որպես «Ծագող արևի երկիր»:</v>
      </c>
      <c r="D4592" s="6" t="str">
        <f>IFERROR(__xludf.DUMMYFUNCTION("GOOGLETRANSLATE(B4592,""en"",""hy"")"),"Ճապոնիա")</f>
        <v>Ճապոնիա</v>
      </c>
    </row>
    <row r="4593">
      <c r="A4593" s="5" t="s">
        <v>7640</v>
      </c>
      <c r="B4593" s="5" t="s">
        <v>1016</v>
      </c>
      <c r="C4593" s="5" t="str">
        <f>IFERROR(__xludf.DUMMYFUNCTION("GOOGLETRANSLATE(A4593,""en"",""hy"")"),"Ո՞վ է գրել «Ռոմեո և Ջուլիետ» պիեսը:")</f>
        <v>Ո՞վ է գրել «Ռոմեո և Ջուլիետ» պիեսը:</v>
      </c>
      <c r="D4593" s="6" t="str">
        <f>IFERROR(__xludf.DUMMYFUNCTION("GOOGLETRANSLATE(B4593,""en"",""hy"")"),"Ուիլյամ Շեքսպիր.")</f>
        <v>Ուիլյամ Շեքսպիր.</v>
      </c>
    </row>
    <row r="4594">
      <c r="A4594" s="5" t="s">
        <v>7452</v>
      </c>
      <c r="B4594" s="5" t="s">
        <v>7631</v>
      </c>
      <c r="C4594" s="5" t="str">
        <f>IFERROR(__xludf.DUMMYFUNCTION("GOOGLETRANSLATE(A4594,""en"",""hy"")"),"Ո՞րն է ոսկու քիմիական նշանը:")</f>
        <v>Ո՞րն է ոսկու քիմիական նշանը:</v>
      </c>
      <c r="D4594" s="6" t="str">
        <f>IFERROR(__xludf.DUMMYFUNCTION("GOOGLETRANSLATE(B4594,""en"",""hy"")"),"Ավ")</f>
        <v>Ավ</v>
      </c>
    </row>
    <row r="4595">
      <c r="A4595" s="5" t="s">
        <v>7920</v>
      </c>
      <c r="B4595" s="5" t="s">
        <v>7921</v>
      </c>
      <c r="C4595" s="5" t="str">
        <f>IFERROR(__xludf.DUMMYFUNCTION("GOOGLETRANSLATE(A4595,""en"",""hy"")"),"Ո՞ր երկրում է գտնվում Թաջ Մահալը:")</f>
        <v>Ո՞ր երկրում է գտնվում Թաջ Մահալը:</v>
      </c>
      <c r="D4595" s="6" t="str">
        <f>IFERROR(__xludf.DUMMYFUNCTION("GOOGLETRANSLATE(B4595,""en"",""hy"")"),"Հնդկաստան.")</f>
        <v>Հնդկաստան.</v>
      </c>
    </row>
    <row r="4596">
      <c r="A4596" s="5" t="s">
        <v>8242</v>
      </c>
      <c r="B4596" s="5" t="s">
        <v>7956</v>
      </c>
      <c r="C4596" s="5" t="str">
        <f>IFERROR(__xludf.DUMMYFUNCTION("GOOGLETRANSLATE(A4596,""en"",""hy"")"),"Ո՞ր հայտնի ֆիզիկոսն է մշակել ձգողության տեսությունը:")</f>
        <v>Ո՞ր հայտնի ֆիզիկոսն է մշակել ձգողության տեսությունը:</v>
      </c>
      <c r="D4596" s="6" t="str">
        <f>IFERROR(__xludf.DUMMYFUNCTION("GOOGLETRANSLATE(B4596,""en"",""hy"")"),"Իսահակ Նյուտոն.")</f>
        <v>Իսահակ Նյուտոն.</v>
      </c>
    </row>
    <row r="4597">
      <c r="A4597" s="5" t="s">
        <v>7473</v>
      </c>
      <c r="B4597" s="5" t="s">
        <v>7474</v>
      </c>
      <c r="C4597" s="5" t="str">
        <f>IFERROR(__xludf.DUMMYFUNCTION("GOOGLETRANSLATE(A4597,""en"",""hy"")"),"Ո՞վ է նկարել Սիքստինյան կապելլայի առաստաղը:")</f>
        <v>Ո՞վ է նկարել Սիքստինյան կապելլայի առաստաղը:</v>
      </c>
      <c r="D4597" s="6" t="str">
        <f>IFERROR(__xludf.DUMMYFUNCTION("GOOGLETRANSLATE(B4597,""en"",""hy"")"),"Միքելանջելո.")</f>
        <v>Միքելանջելո.</v>
      </c>
    </row>
    <row r="4598">
      <c r="A4598" s="5" t="s">
        <v>7575</v>
      </c>
      <c r="B4598" s="5" t="s">
        <v>7576</v>
      </c>
      <c r="C4598" s="5" t="str">
        <f>IFERROR(__xludf.DUMMYFUNCTION("GOOGLETRANSLATE(A4598,""en"",""hy"")"),"Քանի՞ գույն կա ծիածանի մեջ:")</f>
        <v>Քանի՞ գույն կա ծիածանի մեջ:</v>
      </c>
      <c r="D4598" s="6" t="str">
        <f>IFERROR(__xludf.DUMMYFUNCTION("GOOGLETRANSLATE(B4598,""en"",""hy"")"),"Ծիածանի մեջ յոթ գույն կա:")</f>
        <v>Ծիածանի մեջ յոթ գույն կա:</v>
      </c>
    </row>
    <row r="4599">
      <c r="A4599" s="5" t="s">
        <v>7845</v>
      </c>
      <c r="B4599" s="5" t="s">
        <v>3533</v>
      </c>
      <c r="C4599" s="5" t="str">
        <f>IFERROR(__xludf.DUMMYFUNCTION("GOOGLETRANSLATE(A4599,""en"",""hy"")"),"Ո՞րն է Բրազիլիայի պաշտոնական լեզուն:")</f>
        <v>Ո՞րն է Բրազիլիայի պաշտոնական լեզուն:</v>
      </c>
      <c r="D4599" s="6" t="str">
        <f>IFERROR(__xludf.DUMMYFUNCTION("GOOGLETRANSLATE(B4599,""en"",""hy"")"),"Բրազիլիայի պաշտոնական լեզուն պորտուգալերենն է։")</f>
        <v>Բրազիլիայի պաշտոնական լեզուն պորտուգալերենն է։</v>
      </c>
    </row>
    <row r="4600">
      <c r="A4600" s="5" t="s">
        <v>8243</v>
      </c>
      <c r="B4600" s="5" t="s">
        <v>7607</v>
      </c>
      <c r="C4600" s="5" t="str">
        <f>IFERROR(__xludf.DUMMYFUNCTION("GOOGLETRANSLATE(A4600,""en"",""hy"")"),"Ո՞ր հայտնի գիտնականն է մշակել էվոլյուցիայի տեսությունը:")</f>
        <v>Ո՞ր հայտնի գիտնականն է մշակել էվոլյուցիայի տեսությունը:</v>
      </c>
      <c r="D4600" s="6" t="str">
        <f>IFERROR(__xludf.DUMMYFUNCTION("GOOGLETRANSLATE(B4600,""en"",""hy"")"),"Չարլզ Դարվին.")</f>
        <v>Չարլզ Դարվին.</v>
      </c>
    </row>
    <row r="4601">
      <c r="A4601" s="5" t="s">
        <v>7504</v>
      </c>
      <c r="B4601" s="5" t="s">
        <v>7505</v>
      </c>
      <c r="C4601" s="5" t="str">
        <f>IFERROR(__xludf.DUMMYFUNCTION("GOOGLETRANSLATE(A4601,""en"",""hy"")"),"Ո՞վ է Միացյալ Նահանգների ներկայիս նախագահը:")</f>
        <v>Ո՞վ է Միացյալ Նահանգների ներկայիս նախագահը:</v>
      </c>
      <c r="D4601" s="6" t="str">
        <f>IFERROR(__xludf.DUMMYFUNCTION("GOOGLETRANSLATE(B4601,""en"",""hy"")"),"Ջո Բայդեն.")</f>
        <v>Ջո Բայդեն.</v>
      </c>
    </row>
    <row r="4602">
      <c r="A4602" s="5" t="s">
        <v>7455</v>
      </c>
      <c r="B4602" s="5" t="s">
        <v>7646</v>
      </c>
      <c r="C4602" s="5" t="str">
        <f>IFERROR(__xludf.DUMMYFUNCTION("GOOGLETRANSLATE(A4602,""en"",""hy"")"),"Ո՞րն է աշխարհի ամենամեծ օվկիանոսը:")</f>
        <v>Ո՞րն է աշխարհի ամենամեծ օվկիանոսը:</v>
      </c>
      <c r="D4602" s="6" t="str">
        <f>IFERROR(__xludf.DUMMYFUNCTION("GOOGLETRANSLATE(B4602,""en"",""hy"")"),"Խաղաղ օվկիանոս.")</f>
        <v>Խաղաղ օվկիանոս.</v>
      </c>
    </row>
    <row r="4603">
      <c r="A4603" s="5" t="s">
        <v>7443</v>
      </c>
      <c r="B4603" s="5" t="s">
        <v>7444</v>
      </c>
      <c r="C4603" s="5" t="str">
        <f>IFERROR(__xludf.DUMMYFUNCTION("GOOGLETRANSLATE(A4603,""en"",""hy"")"),"Ո՞վ է գրել «1984» վեպը։")</f>
        <v>Ո՞վ է գրել «1984» վեպը։</v>
      </c>
      <c r="D4603" s="6" t="str">
        <f>IFERROR(__xludf.DUMMYFUNCTION("GOOGLETRANSLATE(B4603,""en"",""hy"")"),"Ջորջ Օրուել.")</f>
        <v>Ջորջ Օրուել.</v>
      </c>
    </row>
    <row r="4604">
      <c r="A4604" s="5" t="s">
        <v>7582</v>
      </c>
      <c r="B4604" s="5" t="s">
        <v>8244</v>
      </c>
      <c r="C4604" s="5" t="str">
        <f>IFERROR(__xludf.DUMMYFUNCTION("GOOGLETRANSLATE(A4604,""en"",""hy"")"),"Ո՞րն է աշխարհի ամենաբարձր ծառը:")</f>
        <v>Ո՞րն է աշխարհի ամենաբարձր ծառը:</v>
      </c>
      <c r="D4604" s="6" t="str">
        <f>IFERROR(__xludf.DUMMYFUNCTION("GOOGLETRANSLATE(B4604,""en"",""hy"")"),"Աշխարհի ամենաբարձր ծառը Hyperion-ն է՝ ափամերձ կարմրածառ:")</f>
        <v>Աշխարհի ամենաբարձր ծառը Hyperion-ն է՝ ափամերձ կարմրածառ:</v>
      </c>
    </row>
    <row r="4605">
      <c r="A4605" s="5" t="s">
        <v>8245</v>
      </c>
      <c r="B4605" s="5" t="s">
        <v>7501</v>
      </c>
      <c r="C4605" s="5" t="str">
        <f>IFERROR(__xludf.DUMMYFUNCTION("GOOGLETRANSLATE(A4605,""en"",""hy"")"),"Ո՞ր քաղաքում է գտնվում Էյֆելյան աշտարակը:")</f>
        <v>Ո՞ր քաղաքում է գտնվում Էյֆելյան աշտարակը:</v>
      </c>
      <c r="D4605" s="6" t="str">
        <f>IFERROR(__xludf.DUMMYFUNCTION("GOOGLETRANSLATE(B4605,""en"",""hy"")"),"Փարիզ.")</f>
        <v>Փարիզ.</v>
      </c>
    </row>
    <row r="4606">
      <c r="A4606" s="5" t="s">
        <v>7557</v>
      </c>
      <c r="B4606" s="5" t="s">
        <v>7558</v>
      </c>
      <c r="C4606" s="5" t="str">
        <f>IFERROR(__xludf.DUMMYFUNCTION("GOOGLETRANSLATE(A4606,""en"",""hy"")"),"Ո՞րն է երկաթի քիմիական նշանը:")</f>
        <v>Ո՞րն է երկաթի քիմիական նշանը:</v>
      </c>
      <c r="D4606" s="6" t="str">
        <f>IFERROR(__xludf.DUMMYFUNCTION("GOOGLETRANSLATE(B4606,""en"",""hy"")"),"Ֆե")</f>
        <v>Ֆե</v>
      </c>
    </row>
    <row r="4607">
      <c r="A4607" s="5" t="s">
        <v>8246</v>
      </c>
      <c r="B4607" s="5" t="s">
        <v>7648</v>
      </c>
      <c r="C4607" s="5" t="str">
        <f>IFERROR(__xludf.DUMMYFUNCTION("GOOGLETRANSLATE(A4607,""en"",""hy"")"),"Ո՞վ է նկարել հայտնի «Աստղային գիշերը» արվեստի գործը:")</f>
        <v>Ո՞վ է նկարել հայտնի «Աստղային գիշերը» արվեստի գործը:</v>
      </c>
      <c r="D4607" s="6" t="str">
        <f>IFERROR(__xludf.DUMMYFUNCTION("GOOGLETRANSLATE(B4607,""en"",""hy"")"),"Վինսենթ վան Գոգ.")</f>
        <v>Վինսենթ վան Գոգ.</v>
      </c>
    </row>
    <row r="4608">
      <c r="A4608" s="5" t="s">
        <v>7915</v>
      </c>
      <c r="B4608" s="5" t="s">
        <v>7916</v>
      </c>
      <c r="C4608" s="5" t="str">
        <f>IFERROR(__xludf.DUMMYFUNCTION("GOOGLETRANSLATE(A4608,""en"",""hy"")"),"Քանի՞ ոսկոր կա մարդու մարմնում:")</f>
        <v>Քանի՞ ոսկոր կա մարդու մարմնում:</v>
      </c>
      <c r="D4608" s="6" t="str">
        <f>IFERROR(__xludf.DUMMYFUNCTION("GOOGLETRANSLATE(B4608,""en"",""hy"")"),"Մարդու մարմնում կա 206 ոսկոր։")</f>
        <v>Մարդու մարմնում կա 206 ոսկոր։</v>
      </c>
    </row>
    <row r="4609">
      <c r="A4609" s="5" t="s">
        <v>7632</v>
      </c>
      <c r="B4609" s="5" t="s">
        <v>7633</v>
      </c>
      <c r="C4609" s="5" t="str">
        <f>IFERROR(__xludf.DUMMYFUNCTION("GOOGLETRANSLATE(A4609,""en"",""hy"")"),"Ո՞րն է մեր արեգակնային համակարգի ամենամեծ մոլորակը:")</f>
        <v>Ո՞րն է մեր արեգակնային համակարգի ամենամեծ մոլորակը:</v>
      </c>
      <c r="D4609" s="6" t="str">
        <f>IFERROR(__xludf.DUMMYFUNCTION("GOOGLETRANSLATE(B4609,""en"",""hy"")"),"Յուպիտեր.")</f>
        <v>Յուպիտեր.</v>
      </c>
    </row>
    <row r="4610">
      <c r="A4610" s="5" t="s">
        <v>7769</v>
      </c>
      <c r="B4610" s="5" t="s">
        <v>8110</v>
      </c>
      <c r="C4610" s="5" t="str">
        <f>IFERROR(__xludf.DUMMYFUNCTION("GOOGLETRANSLATE(A4610,""en"",""hy"")"),"Ո՞վ է Հարրի Փոթերի գրքերի շարքի հեղինակը:")</f>
        <v>Ո՞վ է Հարրի Փոթերի գրքերի շարքի հեղինակը:</v>
      </c>
      <c r="D4610" s="6" t="str">
        <f>IFERROR(__xludf.DUMMYFUNCTION("GOOGLETRANSLATE(B4610,""en"",""hy"")"),"Ջ.Կ. Ռոուլինգ")</f>
        <v>Ջ.Կ. Ռոուլինգ</v>
      </c>
    </row>
    <row r="4611">
      <c r="A4611" s="5" t="s">
        <v>8247</v>
      </c>
      <c r="B4611" s="5" t="s">
        <v>7181</v>
      </c>
      <c r="C4611" s="5" t="str">
        <f>IFERROR(__xludf.DUMMYFUNCTION("GOOGLETRANSLATE(A4611,""en"",""hy"")"),"Ո՞ր երկրում է գտնվում Մեծ արգելախութը:")</f>
        <v>Ո՞ր երկրում է գտնվում Մեծ արգելախութը:</v>
      </c>
      <c r="D4611" s="6" t="str">
        <f>IFERROR(__xludf.DUMMYFUNCTION("GOOGLETRANSLATE(B4611,""en"",""hy"")"),"Ավստրալիա")</f>
        <v>Ավստրալիա</v>
      </c>
    </row>
    <row r="4612">
      <c r="A4612" s="5" t="s">
        <v>7536</v>
      </c>
      <c r="B4612" s="5" t="s">
        <v>7870</v>
      </c>
      <c r="C4612" s="5" t="str">
        <f>IFERROR(__xludf.DUMMYFUNCTION("GOOGLETRANSLATE(A4612,""en"",""hy"")"),"Ո՞րն է Ռուսաստանի մայրաքաղաքը:")</f>
        <v>Ո՞րն է Ռուսաստանի մայրաքաղաքը:</v>
      </c>
      <c r="D4612" s="6" t="str">
        <f>IFERROR(__xludf.DUMMYFUNCTION("GOOGLETRANSLATE(B4612,""en"",""hy"")"),"Մոսկվա.")</f>
        <v>Մոսկվա.</v>
      </c>
    </row>
    <row r="4613">
      <c r="A4613" s="5" t="s">
        <v>7534</v>
      </c>
      <c r="B4613" s="5" t="s">
        <v>7535</v>
      </c>
      <c r="C4613" s="5" t="str">
        <f>IFERROR(__xludf.DUMMYFUNCTION("GOOGLETRANSLATE(A4613,""en"",""hy"")"),"Ո՞վ է հորինել հեռախոսը:")</f>
        <v>Ո՞վ է հորինել հեռախոսը:</v>
      </c>
      <c r="D4613" s="6" t="str">
        <f>IFERROR(__xludf.DUMMYFUNCTION("GOOGLETRANSLATE(B4613,""en"",""hy"")"),"Ալեքսանդր Գրեհեմ Բել.")</f>
        <v>Ալեքսանդր Գրեհեմ Բել.</v>
      </c>
    </row>
    <row r="4614">
      <c r="A4614" s="5" t="s">
        <v>7842</v>
      </c>
      <c r="B4614" s="5" t="s">
        <v>7671</v>
      </c>
      <c r="C4614" s="5" t="str">
        <f>IFERROR(__xludf.DUMMYFUNCTION("GOOGLETRANSLATE(A4614,""en"",""hy"")"),"Ո՞րն է աշխարհի ամենաերկար գետը:")</f>
        <v>Ո՞րն է աշխարհի ամենաերկար գետը:</v>
      </c>
      <c r="D4614" s="6" t="str">
        <f>IFERROR(__xludf.DUMMYFUNCTION("GOOGLETRANSLATE(B4614,""en"",""hy"")"),"Նեղոս գետ.")</f>
        <v>Նեղոս գետ.</v>
      </c>
    </row>
    <row r="4615">
      <c r="A4615" s="5" t="s">
        <v>8248</v>
      </c>
      <c r="B4615" s="5" t="s">
        <v>8249</v>
      </c>
      <c r="C4615" s="5" t="str">
        <f>IFERROR(__xludf.DUMMYFUNCTION("GOOGLETRANSLATE(A4615,""en"",""hy"")"),"Ո՞ր երկիրն է հայտնի որպես «Փարավոնների երկիր»:")</f>
        <v>Ո՞ր երկիրն է հայտնի որպես «Փարավոնների երկիր»:</v>
      </c>
      <c r="D4615" s="6" t="str">
        <f>IFERROR(__xludf.DUMMYFUNCTION("GOOGLETRANSLATE(B4615,""en"",""hy"")"),"Եգիպտոս")</f>
        <v>Եգիպտոս</v>
      </c>
    </row>
    <row r="4616">
      <c r="A4616" s="5" t="s">
        <v>8123</v>
      </c>
      <c r="B4616" s="5" t="s">
        <v>7448</v>
      </c>
      <c r="C4616" s="5" t="str">
        <f>IFERROR(__xludf.DUMMYFUNCTION("GOOGLETRANSLATE(A4616,""en"",""hy"")"),"Ո՞վ է նկարել հայտնի «Վերջին ընթրիքը» ստեղծագործությունը:")</f>
        <v>Ո՞վ է նկարել հայտնի «Վերջին ընթրիքը» ստեղծագործությունը:</v>
      </c>
      <c r="D4616" s="6" t="str">
        <f>IFERROR(__xludf.DUMMYFUNCTION("GOOGLETRANSLATE(B4616,""en"",""hy"")"),"Լեոնարդո դա Վինչի.")</f>
        <v>Լեոնարդո դա Վինչի.</v>
      </c>
    </row>
    <row r="4617">
      <c r="A4617" s="5" t="s">
        <v>7665</v>
      </c>
      <c r="B4617" s="5" t="s">
        <v>7781</v>
      </c>
      <c r="C4617" s="5" t="str">
        <f>IFERROR(__xludf.DUMMYFUNCTION("GOOGLETRANSLATE(A4617,""en"",""hy"")"),"Ո՞րն է նատրիումի քիմիական նշանը:")</f>
        <v>Ո՞րն է նատրիումի քիմիական նշանը:</v>
      </c>
      <c r="D4617" s="6" t="str">
        <f>IFERROR(__xludf.DUMMYFUNCTION("GOOGLETRANSLATE(B4617,""en"",""hy"")"),"Նատրիումի քիմիական նշանը Na է:")</f>
        <v>Նատրիումի քիմիական նշանը Na է:</v>
      </c>
    </row>
    <row r="4618">
      <c r="A4618" s="5" t="s">
        <v>8250</v>
      </c>
      <c r="B4618" s="5" t="s">
        <v>7712</v>
      </c>
      <c r="C4618" s="5" t="str">
        <f>IFERROR(__xludf.DUMMYFUNCTION("GOOGLETRANSLATE(A4618,""en"",""hy"")"),"Ո՞ր քաղաքում է գտնվում Ազատության արձանը:")</f>
        <v>Ո՞ր քաղաքում է գտնվում Ազատության արձանը:</v>
      </c>
      <c r="D4618" s="6" t="str">
        <f>IFERROR(__xludf.DUMMYFUNCTION("GOOGLETRANSLATE(B4618,""en"",""hy"")"),"Նյու Յորք քաղաք.")</f>
        <v>Նյու Յորք քաղաք.</v>
      </c>
    </row>
    <row r="4619">
      <c r="A4619" s="5" t="s">
        <v>7698</v>
      </c>
      <c r="B4619" s="5" t="s">
        <v>7630</v>
      </c>
      <c r="C4619" s="5" t="str">
        <f>IFERROR(__xludf.DUMMYFUNCTION("GOOGLETRANSLATE(A4619,""en"",""hy"")"),"Ո՞վ է գրել «Հպարտություն և նախապաշարմունք» վեպը:")</f>
        <v>Ո՞վ է գրել «Հպարտություն և նախապաշարմունք» վեպը:</v>
      </c>
      <c r="D4619" s="6" t="str">
        <f>IFERROR(__xludf.DUMMYFUNCTION("GOOGLETRANSLATE(B4619,""en"",""hy"")"),"Ջեյն Օսթին.")</f>
        <v>Ջեյն Օսթին.</v>
      </c>
    </row>
    <row r="4620">
      <c r="A4620" s="5" t="s">
        <v>8151</v>
      </c>
      <c r="B4620" s="5" t="s">
        <v>8251</v>
      </c>
      <c r="C4620" s="5" t="str">
        <f>IFERROR(__xludf.DUMMYFUNCTION("GOOGLETRANSLATE(A4620,""en"",""hy"")"),"Ո՞րն է Հնդկաստանի ազգային կենդանին:")</f>
        <v>Ո՞րն է Հնդկաստանի ազգային կենդանին:</v>
      </c>
      <c r="D4620" s="6" t="str">
        <f>IFERROR(__xludf.DUMMYFUNCTION("GOOGLETRANSLATE(B4620,""en"",""hy"")"),"Հնդկաստանի ազգային կենդանին բենգալյան վագրն է։")</f>
        <v>Հնդկաստանի ազգային կենդանին բենգալյան վագրն է։</v>
      </c>
    </row>
    <row r="4621">
      <c r="A4621" s="5" t="s">
        <v>8252</v>
      </c>
      <c r="B4621" s="5" t="s">
        <v>8253</v>
      </c>
      <c r="C4621" s="5" t="str">
        <f>IFERROR(__xludf.DUMMYFUNCTION("GOOGLETRANSLATE(A4621,""en"",""hy"")"),"Ո՞ր գիտնականն է հայտնաբերել պենիցիլինը:")</f>
        <v>Ո՞ր գիտնականն է հայտնաբերել պենիցիլինը:</v>
      </c>
      <c r="D4621" s="6" t="str">
        <f>IFERROR(__xludf.DUMMYFUNCTION("GOOGLETRANSLATE(B4621,""en"",""hy"")"),"Ալեքսանդր Ֆլեմինգ.")</f>
        <v>Ալեքսանդր Ֆլեմինգ.</v>
      </c>
    </row>
    <row r="4622">
      <c r="A4622" s="5" t="s">
        <v>8254</v>
      </c>
      <c r="B4622" s="5" t="s">
        <v>3535</v>
      </c>
      <c r="C4622" s="5" t="str">
        <f>IFERROR(__xludf.DUMMYFUNCTION("GOOGLETRANSLATE(A4622,""en"",""hy"")"),"Ո՞րն է աշխարհի ամենափոքր մայրցամաքը:")</f>
        <v>Ո՞րն է աշխարհի ամենափոքր մայրցամաքը:</v>
      </c>
      <c r="D4622" s="6" t="str">
        <f>IFERROR(__xludf.DUMMYFUNCTION("GOOGLETRANSLATE(B4622,""en"",""hy"")"),"Ավստրալիա.")</f>
        <v>Ավստրալիա.</v>
      </c>
    </row>
    <row r="4623">
      <c r="A4623" s="5" t="s">
        <v>8255</v>
      </c>
      <c r="B4623" s="5" t="s">
        <v>8038</v>
      </c>
      <c r="C4623" s="5" t="str">
        <f>IFERROR(__xludf.DUMMYFUNCTION("GOOGLETRANSLATE(A4623,""en"",""hy"")"),"Ո՞վ է հեղինակել հայտնի «Սիմֆոնիա թիվ 5» սիմֆոնիան:")</f>
        <v>Ո՞վ է հեղինակել հայտնի «Սիմֆոնիա թիվ 5» սիմֆոնիան:</v>
      </c>
      <c r="D4623" s="6" t="str">
        <f>IFERROR(__xludf.DUMMYFUNCTION("GOOGLETRANSLATE(B4623,""en"",""hy"")"),"Լյուդվիգ վան Բեթհովեն.")</f>
        <v>Լյուդվիգ վան Բեթհովեն.</v>
      </c>
    </row>
    <row r="4624">
      <c r="A4624" s="5" t="s">
        <v>8025</v>
      </c>
      <c r="B4624" s="5" t="s">
        <v>8026</v>
      </c>
      <c r="C4624" s="5" t="str">
        <f>IFERROR(__xludf.DUMMYFUNCTION("GOOGLETRANSLATE(A4624,""en"",""hy"")"),"Ո՞րն է Չինաստանի պաշտոնական լեզուն:")</f>
        <v>Ո՞րն է Չինաստանի պաշտոնական լեզուն:</v>
      </c>
      <c r="D4624" s="6" t="str">
        <f>IFERROR(__xludf.DUMMYFUNCTION("GOOGLETRANSLATE(B4624,""en"",""hy"")"),"Չինաստանի պաշտոնական լեզուն մանդարին չինարենն է։")</f>
        <v>Չինաստանի պաշտոնական լեզուն մանդարին չինարենն է։</v>
      </c>
    </row>
    <row r="4625">
      <c r="A4625" s="5" t="s">
        <v>8256</v>
      </c>
      <c r="B4625" s="5" t="s">
        <v>7448</v>
      </c>
      <c r="C4625" s="5" t="str">
        <f>IFERROR(__xludf.DUMMYFUNCTION("GOOGLETRANSLATE(A4625,""en"",""hy"")"),"Ո՞ր հայտնի նկարիչն է հայտնի «Մոնա Լիզա» նկարով։")</f>
        <v>Ո՞ր հայտնի նկարիչն է հայտնի «Մոնա Լիզա» նկարով։</v>
      </c>
      <c r="D4625" s="6" t="str">
        <f>IFERROR(__xludf.DUMMYFUNCTION("GOOGLETRANSLATE(B4625,""en"",""hy"")"),"Լեոնարդո դա Վինչի.")</f>
        <v>Լեոնարդո դա Վինչի.</v>
      </c>
    </row>
    <row r="4626">
      <c r="A4626" s="5" t="s">
        <v>7780</v>
      </c>
      <c r="B4626" s="5" t="s">
        <v>2951</v>
      </c>
      <c r="C4626" s="5" t="str">
        <f>IFERROR(__xludf.DUMMYFUNCTION("GOOGLETRANSLATE(A4626,""en"",""hy"")"),"Ո՞րն է Կանադայի մայրաքաղաքը:")</f>
        <v>Ո՞րն է Կանադայի մայրաքաղաքը:</v>
      </c>
      <c r="D4626" s="6" t="str">
        <f>IFERROR(__xludf.DUMMYFUNCTION("GOOGLETRANSLATE(B4626,""en"",""hy"")"),"Օտտավա.")</f>
        <v>Օտտավա.</v>
      </c>
    </row>
    <row r="4627">
      <c r="A4627" s="5" t="s">
        <v>7655</v>
      </c>
      <c r="B4627" s="5" t="s">
        <v>7656</v>
      </c>
      <c r="C4627" s="5" t="str">
        <f>IFERROR(__xludf.DUMMYFUNCTION("GOOGLETRANSLATE(A4627,""en"",""hy"")"),"Ո՞վ է գրել «Ագռավը» բանաստեղծությունը:")</f>
        <v>Ո՞վ է գրել «Ագռավը» բանաստեղծությունը:</v>
      </c>
      <c r="D4627" s="6" t="str">
        <f>IFERROR(__xludf.DUMMYFUNCTION("GOOGLETRANSLATE(B4627,""en"",""hy"")"),"Էդգար Ալան Պո.")</f>
        <v>Էդգար Ալան Պո.</v>
      </c>
    </row>
    <row r="4628">
      <c r="A4628" s="5" t="s">
        <v>7960</v>
      </c>
      <c r="B4628" s="5" t="s">
        <v>7961</v>
      </c>
      <c r="C4628" s="5" t="str">
        <f>IFERROR(__xludf.DUMMYFUNCTION("GOOGLETRANSLATE(A4628,""en"",""hy"")"),"Ո՞ր տարում է խորտակվել Տիտանիկը:")</f>
        <v>Ո՞ր տարում է խորտակվել Տիտանիկը:</v>
      </c>
      <c r="D4628" s="6" t="str">
        <f>IFERROR(__xludf.DUMMYFUNCTION("GOOGLETRANSLATE(B4628,""en"",""hy"")"),"Տիտանիկը խորտակվել է 1912 թվականին։")</f>
        <v>Տիտանիկը խորտակվել է 1912 թվականին։</v>
      </c>
    </row>
    <row r="4629">
      <c r="A4629" s="5" t="s">
        <v>7592</v>
      </c>
      <c r="B4629" s="5" t="s">
        <v>8257</v>
      </c>
      <c r="C4629" s="5" t="str">
        <f>IFERROR(__xludf.DUMMYFUNCTION("GOOGLETRANSLATE(A4629,""en"",""hy"")"),"Ո՞րն է թթվածնի քիմիական նշանը:")</f>
        <v>Ո՞րն է թթվածնի քիմիական նշանը:</v>
      </c>
      <c r="D4629" s="6" t="str">
        <f>IFERROR(__xludf.DUMMYFUNCTION("GOOGLETRANSLATE(B4629,""en"",""hy"")"),"Օ")</f>
        <v>Օ</v>
      </c>
    </row>
    <row r="4630">
      <c r="A4630" s="5" t="s">
        <v>7789</v>
      </c>
      <c r="B4630" s="5" t="s">
        <v>8258</v>
      </c>
      <c r="C4630" s="5" t="str">
        <f>IFERROR(__xludf.DUMMYFUNCTION("GOOGLETRANSLATE(A4630,""en"",""hy"")"),"Ո՞վ է հունական ամպրոպի աստվածը:")</f>
        <v>Ո՞վ է հունական ամպրոպի աստվածը:</v>
      </c>
      <c r="D4630" s="6" t="str">
        <f>IFERROR(__xludf.DUMMYFUNCTION("GOOGLETRANSLATE(B4630,""en"",""hy"")"),"Զևս")</f>
        <v>Զևս</v>
      </c>
    </row>
    <row r="4631">
      <c r="A4631" s="5" t="s">
        <v>7513</v>
      </c>
      <c r="B4631" s="5" t="s">
        <v>8259</v>
      </c>
      <c r="C4631" s="5" t="str">
        <f>IFERROR(__xludf.DUMMYFUNCTION("GOOGLETRANSLATE(A4631,""en"",""hy"")"),"Ո՞րն է աշխարհի ամենամեծ անապատը:")</f>
        <v>Ո՞րն է աշխարհի ամենամեծ անապատը:</v>
      </c>
      <c r="D4631" s="6" t="str">
        <f>IFERROR(__xludf.DUMMYFUNCTION("GOOGLETRANSLATE(B4631,""en"",""hy"")"),"Սահարա անապատը աշխարհի ամենամեծ անապատն է։")</f>
        <v>Սահարա անապատը աշխարհի ամենամեծ անապատն է։</v>
      </c>
    </row>
    <row r="4632">
      <c r="A4632" s="5" t="s">
        <v>7683</v>
      </c>
      <c r="B4632" s="5" t="s">
        <v>1016</v>
      </c>
      <c r="C4632" s="5" t="str">
        <f>IFERROR(__xludf.DUMMYFUNCTION("GOOGLETRANSLATE(A4632,""en"",""hy"")"),"Ո՞վ է գրել «Համլետ» պիեսը։")</f>
        <v>Ո՞վ է գրել «Համլետ» պիեսը։</v>
      </c>
      <c r="D4632" s="6" t="str">
        <f>IFERROR(__xludf.DUMMYFUNCTION("GOOGLETRANSLATE(B4632,""en"",""hy"")"),"Ուիլյամ Շեքսպիր.")</f>
        <v>Ուիլյամ Շեքսպիր.</v>
      </c>
    </row>
    <row r="4633">
      <c r="A4633" s="5" t="s">
        <v>7480</v>
      </c>
      <c r="B4633" s="5" t="s">
        <v>7481</v>
      </c>
      <c r="C4633" s="5" t="str">
        <f>IFERROR(__xludf.DUMMYFUNCTION("GOOGLETRANSLATE(A4633,""en"",""hy"")"),"Ո՞րն է Միացյալ Նահանգների ազգային թռչունը:")</f>
        <v>Ո՞րն է Միացյալ Նահանգների ազգային թռչունը:</v>
      </c>
      <c r="D4633" s="6" t="str">
        <f>IFERROR(__xludf.DUMMYFUNCTION("GOOGLETRANSLATE(B4633,""en"",""hy"")"),"Միացյալ Նահանգների ազգային թռչունը ճաղատ արծիվն է։")</f>
        <v>Միացյալ Նահանգների ազգային թռչունը ճաղատ արծիվն է։</v>
      </c>
    </row>
    <row r="4634">
      <c r="A4634" s="5" t="s">
        <v>8260</v>
      </c>
      <c r="B4634" s="5" t="s">
        <v>7956</v>
      </c>
      <c r="C4634" s="5" t="str">
        <f>IFERROR(__xludf.DUMMYFUNCTION("GOOGLETRANSLATE(A4634,""en"",""hy"")"),"Ո՞ր հայտնի գիտնականն է մշակել ձգողության տեսությունը:")</f>
        <v>Ո՞ր հայտնի գիտնականն է մշակել ձգողության տեսությունը:</v>
      </c>
      <c r="D4634" s="6" t="str">
        <f>IFERROR(__xludf.DUMMYFUNCTION("GOOGLETRANSLATE(B4634,""en"",""hy"")"),"Իսահակ Նյուտոն.")</f>
        <v>Իսահակ Նյուտոն.</v>
      </c>
    </row>
    <row r="4635">
      <c r="A4635" s="5" t="s">
        <v>7903</v>
      </c>
      <c r="B4635" s="5" t="s">
        <v>8261</v>
      </c>
      <c r="C4635" s="5" t="str">
        <f>IFERROR(__xludf.DUMMYFUNCTION("GOOGLETRANSLATE(A4635,""en"",""hy"")"),"Ո՞րն է Մեքսիկայի մայրաքաղաքը:")</f>
        <v>Ո՞րն է Մեքսիկայի մայրաքաղաքը:</v>
      </c>
      <c r="D4635" s="6" t="str">
        <f>IFERROR(__xludf.DUMMYFUNCTION("GOOGLETRANSLATE(B4635,""en"",""hy"")"),"Մեխիկո Սիթի.")</f>
        <v>Մեխիկո Սիթի.</v>
      </c>
    </row>
    <row r="4636">
      <c r="A4636" s="5" t="s">
        <v>7709</v>
      </c>
      <c r="B4636" s="5" t="s">
        <v>7710</v>
      </c>
      <c r="C4636" s="5" t="str">
        <f>IFERROR(__xludf.DUMMYFUNCTION("GOOGLETRANSLATE(A4636,""en"",""hy"")"),"Ո՞վ է նկարել հայտնի «Գերնիկա» արվեստի գործը:")</f>
        <v>Ո՞վ է նկարել հայտնի «Գերնիկա» արվեստի գործը:</v>
      </c>
      <c r="D4636" s="6" t="str">
        <f>IFERROR(__xludf.DUMMYFUNCTION("GOOGLETRANSLATE(B4636,""en"",""hy"")"),"Պաբլո Պիկասո.")</f>
        <v>Պաբլո Պիկասո.</v>
      </c>
    </row>
    <row r="4637">
      <c r="A4637" s="5" t="s">
        <v>8181</v>
      </c>
      <c r="B4637" s="5" t="s">
        <v>8100</v>
      </c>
      <c r="C4637" s="5" t="str">
        <f>IFERROR(__xludf.DUMMYFUNCTION("GOOGLETRANSLATE(A4637,""en"",""hy"")"),"Քանի՞ մոլորակ կա մեր արեգակնային համակարգում:")</f>
        <v>Քանի՞ մոլորակ կա մեր արեգակնային համակարգում:</v>
      </c>
      <c r="D4637" s="6" t="str">
        <f>IFERROR(__xludf.DUMMYFUNCTION("GOOGLETRANSLATE(B4637,""en"",""hy"")"),"Մեր Արեգակնային համակարգում կա ութ մոլորակ:")</f>
        <v>Մեր Արեգակնային համակարգում կա ութ մոլորակ:</v>
      </c>
    </row>
    <row r="4638">
      <c r="A4638" s="5" t="s">
        <v>8262</v>
      </c>
      <c r="B4638" s="5" t="s">
        <v>7938</v>
      </c>
      <c r="C4638" s="5" t="str">
        <f>IFERROR(__xludf.DUMMYFUNCTION("GOOGLETRANSLATE(A4638,""en"",""hy"")"),"Ո՞րն է Ճապոնիայի պաշտոնական լեզուն:")</f>
        <v>Ո՞րն է Ճապոնիայի պաշտոնական լեզուն:</v>
      </c>
      <c r="D4638" s="6" t="str">
        <f>IFERROR(__xludf.DUMMYFUNCTION("GOOGLETRANSLATE(B4638,""en"",""hy"")"),"ճապոներեն.")</f>
        <v>ճապոներեն.</v>
      </c>
    </row>
    <row r="4639">
      <c r="A4639" s="5" t="s">
        <v>8263</v>
      </c>
      <c r="B4639" s="5" t="s">
        <v>7661</v>
      </c>
      <c r="C4639" s="5" t="str">
        <f>IFERROR(__xludf.DUMMYFUNCTION("GOOGLETRANSLATE(A4639,""en"",""hy"")"),"Ո՞վ է «Մեծն Գեթսբի» գրքի հեղինակը.")</f>
        <v>Ո՞վ է «Մեծն Գեթսբի» գրքի հեղինակը.</v>
      </c>
      <c r="D4639" s="6" t="str">
        <f>IFERROR(__xludf.DUMMYFUNCTION("GOOGLETRANSLATE(B4639,""en"",""hy"")"),"F. Scott Fitzgerald.")</f>
        <v>F. Scott Fitzgerald.</v>
      </c>
    </row>
    <row r="4640">
      <c r="A4640" s="5" t="s">
        <v>7791</v>
      </c>
      <c r="B4640" s="5" t="s">
        <v>8128</v>
      </c>
      <c r="C4640" s="5" t="str">
        <f>IFERROR(__xludf.DUMMYFUNCTION("GOOGLETRANSLATE(A4640,""en"",""hy"")"),"Ո՞րն է Ավստրալիայի ազգային կենդանին:")</f>
        <v>Ո՞րն է Ավստրալիայի ազգային կենդանին:</v>
      </c>
      <c r="D4640" s="6" t="str">
        <f>IFERROR(__xludf.DUMMYFUNCTION("GOOGLETRANSLATE(B4640,""en"",""hy"")"),"Կենգուրու.")</f>
        <v>Կենգուրու.</v>
      </c>
    </row>
    <row r="4641">
      <c r="A4641" s="5" t="s">
        <v>8108</v>
      </c>
      <c r="B4641" s="5" t="s">
        <v>7556</v>
      </c>
      <c r="C4641" s="5" t="str">
        <f>IFERROR(__xludf.DUMMYFUNCTION("GOOGLETRANSLATE(A4641,""en"",""hy"")"),"Ո՞ր հայտնի գիտնականն է մշակել հարաբերականության տեսությունը:")</f>
        <v>Ո՞ր հայտնի գիտնականն է մշակել հարաբերականության տեսությունը:</v>
      </c>
      <c r="D4641" s="6" t="str">
        <f>IFERROR(__xludf.DUMMYFUNCTION("GOOGLETRANSLATE(B4641,""en"",""hy"")"),"Albert Einstein.")</f>
        <v>Albert Einstein.</v>
      </c>
    </row>
    <row r="4642">
      <c r="A4642" s="5" t="s">
        <v>8264</v>
      </c>
      <c r="B4642" s="5" t="s">
        <v>7621</v>
      </c>
      <c r="C4642" s="5" t="str">
        <f>IFERROR(__xludf.DUMMYFUNCTION("GOOGLETRANSLATE(A4642,""en"",""hy"")"),"Ո՞վ է նկարել հայտնի «Վեներայի ծնունդը» ստեղծագործությունը:")</f>
        <v>Ո՞վ է նկարել հայտնի «Վեներայի ծնունդը» ստեղծագործությունը:</v>
      </c>
      <c r="D4642" s="6" t="str">
        <f>IFERROR(__xludf.DUMMYFUNCTION("GOOGLETRANSLATE(B4642,""en"",""hy"")"),"Սանդրո Բոտիչելի.")</f>
        <v>Սանդրո Բոտիչելի.</v>
      </c>
    </row>
    <row r="4643">
      <c r="A4643" s="5" t="s">
        <v>8265</v>
      </c>
      <c r="B4643" s="5" t="s">
        <v>7704</v>
      </c>
      <c r="C4643" s="5" t="str">
        <f>IFERROR(__xludf.DUMMYFUNCTION("GOOGLETRANSLATE(A4643,""en"",""hy"")"),"Ո՞ր քաղաքում է գտնվում Կոլիզեյը:")</f>
        <v>Ո՞ր քաղաքում է գտնվում Կոլիզեյը:</v>
      </c>
      <c r="D4643" s="6" t="str">
        <f>IFERROR(__xludf.DUMMYFUNCTION("GOOGLETRANSLATE(B4643,""en"",""hy"")"),"Հռոմ")</f>
        <v>Հռոմ</v>
      </c>
    </row>
    <row r="4644">
      <c r="A4644" s="5" t="s">
        <v>7761</v>
      </c>
      <c r="B4644" s="5" t="s">
        <v>7762</v>
      </c>
      <c r="C4644" s="5" t="str">
        <f>IFERROR(__xludf.DUMMYFUNCTION("GOOGLETRANSLATE(A4644,""en"",""hy"")"),"Ո՞րն է ջրածնի քիմիական նշանը:")</f>
        <v>Ո՞րն է ջրածնի քիմիական նշանը:</v>
      </c>
      <c r="D4644" s="6" t="str">
        <f>IFERROR(__xludf.DUMMYFUNCTION("GOOGLETRANSLATE(B4644,""en"",""hy"")"),"Հ")</f>
        <v>Հ</v>
      </c>
    </row>
    <row r="4645">
      <c r="A4645" s="5" t="s">
        <v>8010</v>
      </c>
      <c r="B4645" s="5" t="s">
        <v>7578</v>
      </c>
      <c r="C4645" s="5" t="str">
        <f>IFERROR(__xludf.DUMMYFUNCTION("GOOGLETRANSLATE(A4645,""en"",""hy"")"),"Ո՞վ է գրել «Մոբի-Դիկ» վեպը:")</f>
        <v>Ո՞վ է գրել «Մոբի-Դիկ» վեպը:</v>
      </c>
      <c r="D4645" s="6" t="str">
        <f>IFERROR(__xludf.DUMMYFUNCTION("GOOGLETRANSLATE(B4645,""en"",""hy"")"),"Հերման Մելվիլ.")</f>
        <v>Հերման Մելվիլ.</v>
      </c>
    </row>
    <row r="4646">
      <c r="A4646" s="5" t="s">
        <v>7618</v>
      </c>
      <c r="B4646" s="5" t="s">
        <v>8266</v>
      </c>
      <c r="C4646" s="5" t="str">
        <f>IFERROR(__xludf.DUMMYFUNCTION("GOOGLETRANSLATE(A4646,""en"",""hy"")"),"Ո՞րն է աշխարհի ամենամեծ ջրվեժը:")</f>
        <v>Ո՞րն է աշխարհի ամենամեծ ջրվեժը:</v>
      </c>
      <c r="D4646" s="6" t="str">
        <f>IFERROR(__xludf.DUMMYFUNCTION("GOOGLETRANSLATE(B4646,""en"",""hy"")"),"Աշխարհի ամենամեծ ջրվեժը Վենեսուելայում գտնվող Անխել ջրվեժն է:")</f>
        <v>Աշխարհի ամենամեծ ջրվեժը Վենեսուելայում գտնվող Անխել ջրվեժն է:</v>
      </c>
    </row>
    <row r="4647">
      <c r="A4647" s="5" t="s">
        <v>8267</v>
      </c>
      <c r="B4647" s="5" t="s">
        <v>7625</v>
      </c>
      <c r="C4647" s="5" t="str">
        <f>IFERROR(__xludf.DUMMYFUNCTION("GOOGLETRANSLATE(A4647,""en"",""hy"")"),"Ո՞ր երկիրն է հայտնի որպես «Կեսգիշերային արևի երկիր»:")</f>
        <v>Ո՞ր երկիրն է հայտնի որպես «Կեսգիշերային արևի երկիր»:</v>
      </c>
      <c r="D4647" s="6" t="str">
        <f>IFERROR(__xludf.DUMMYFUNCTION("GOOGLETRANSLATE(B4647,""en"",""hy"")"),"Նորվեգիա")</f>
        <v>Նորվեգիա</v>
      </c>
    </row>
    <row r="4648">
      <c r="A4648" s="5" t="s">
        <v>7744</v>
      </c>
      <c r="B4648" s="5" t="s">
        <v>8218</v>
      </c>
      <c r="C4648" s="5" t="str">
        <f>IFERROR(__xludf.DUMMYFUNCTION("GOOGLETRANSLATE(A4648,""en"",""hy"")"),"Ո՞վ է նկարել հայտնի «Հիշողության համառությունը» ստեղծագործությունը:")</f>
        <v>Ո՞վ է նկարել հայտնի «Հիշողության համառությունը» ստեղծագործությունը:</v>
      </c>
      <c r="D4648" s="6" t="str">
        <f>IFERROR(__xludf.DUMMYFUNCTION("GOOGLETRANSLATE(B4648,""en"",""hy"")"),"Սալվադոր Դալի")</f>
        <v>Սալվադոր Դալի</v>
      </c>
    </row>
    <row r="4649">
      <c r="A4649" s="5" t="s">
        <v>7500</v>
      </c>
      <c r="B4649" s="5" t="s">
        <v>7501</v>
      </c>
      <c r="C4649" s="5" t="str">
        <f>IFERROR(__xludf.DUMMYFUNCTION("GOOGLETRANSLATE(A4649,""en"",""hy"")"),"Ո՞րն է Ֆրանսիայի մայրաքաղաքը:")</f>
        <v>Ո՞րն է Ֆրանսիայի մայրաքաղաքը:</v>
      </c>
      <c r="D4649" s="6" t="str">
        <f>IFERROR(__xludf.DUMMYFUNCTION("GOOGLETRANSLATE(B4649,""en"",""hy"")"),"Փարիզ.")</f>
        <v>Փարիզ.</v>
      </c>
    </row>
    <row r="4650">
      <c r="A4650" s="5" t="s">
        <v>7479</v>
      </c>
      <c r="B4650" s="5" t="s">
        <v>1996</v>
      </c>
      <c r="C4650" s="5" t="str">
        <f>IFERROR(__xludf.DUMMYFUNCTION("GOOGLETRANSLATE(A4650,""en"",""hy"")"),"Ո՞վ է Միացյալ Թագավորության ներկայիս վարչապետը:")</f>
        <v>Ո՞վ է Միացյալ Թագավորության ներկայիս վարչապետը:</v>
      </c>
      <c r="D4650" s="6" t="str">
        <f>IFERROR(__xludf.DUMMYFUNCTION("GOOGLETRANSLATE(B4650,""en"",""hy"")"),"Բորիս Ջոնսոն.")</f>
        <v>Բորիս Ջոնսոն.</v>
      </c>
    </row>
    <row r="4651">
      <c r="A4651" s="5" t="s">
        <v>8031</v>
      </c>
      <c r="B4651" s="5" t="s">
        <v>8268</v>
      </c>
      <c r="C4651" s="5" t="str">
        <f>IFERROR(__xludf.DUMMYFUNCTION("GOOGLETRANSLATE(A4651,""en"",""hy"")"),"Ո՞րն է աշխարհի ամենամեծ թռչունը:")</f>
        <v>Ո՞րն է աշխարհի ամենամեծ թռչունը:</v>
      </c>
      <c r="D4651" s="6" t="str">
        <f>IFERROR(__xludf.DUMMYFUNCTION("GOOGLETRANSLATE(B4651,""en"",""hy"")"),"Աշխարհի ամենամեծ թռչունը ջայլամն է։")</f>
        <v>Աշխարհի ամենամեծ թռչունը ջայլամն է։</v>
      </c>
    </row>
    <row r="4652">
      <c r="A4652" s="5" t="s">
        <v>8243</v>
      </c>
      <c r="B4652" s="5" t="s">
        <v>7607</v>
      </c>
      <c r="C4652" s="5" t="str">
        <f>IFERROR(__xludf.DUMMYFUNCTION("GOOGLETRANSLATE(A4652,""en"",""hy"")"),"Ո՞ր հայտնի գիտնականն է մշակել էվոլյուցիայի տեսությունը:")</f>
        <v>Ո՞ր հայտնի գիտնականն է մշակել էվոլյուցիայի տեսությունը:</v>
      </c>
      <c r="D4652" s="6" t="str">
        <f>IFERROR(__xludf.DUMMYFUNCTION("GOOGLETRANSLATE(B4652,""en"",""hy"")"),"Չարլզ Դարվին.")</f>
        <v>Չարլզ Դարվին.</v>
      </c>
    </row>
    <row r="4653">
      <c r="A4653" s="5" t="s">
        <v>8269</v>
      </c>
      <c r="B4653" s="5" t="s">
        <v>8038</v>
      </c>
      <c r="C4653" s="5" t="str">
        <f>IFERROR(__xludf.DUMMYFUNCTION("GOOGLETRANSLATE(A4653,""en"",""hy"")"),"Ո՞վ է հեղինակել հայտնի «Սիմֆոնիա թիվ 9» սիմֆոնիան:")</f>
        <v>Ո՞վ է հեղինակել հայտնի «Սիմֆոնիա թիվ 9» սիմֆոնիան:</v>
      </c>
      <c r="D4653" s="6" t="str">
        <f>IFERROR(__xludf.DUMMYFUNCTION("GOOGLETRANSLATE(B4653,""en"",""hy"")"),"Լյուդվիգ վան Բեթհովեն.")</f>
        <v>Լյուդվիգ վան Բեթհովեն.</v>
      </c>
    </row>
    <row r="4654">
      <c r="A4654" s="5" t="s">
        <v>8270</v>
      </c>
      <c r="B4654" s="5" t="s">
        <v>8271</v>
      </c>
      <c r="C4654" s="5" t="str">
        <f>IFERROR(__xludf.DUMMYFUNCTION("GOOGLETRANSLATE(A4654,""en"",""hy"")"),"Ո՞րն է Գերմանիայի պաշտոնական լեզուն:")</f>
        <v>Ո՞րն է Գերմանիայի պաշտոնական լեզուն:</v>
      </c>
      <c r="D4654" s="6" t="str">
        <f>IFERROR(__xludf.DUMMYFUNCTION("GOOGLETRANSLATE(B4654,""en"",""hy"")"),"Գերմանիայի պաշտոնական լեզուն գերմաներենն է։")</f>
        <v>Գերմանիայի պաշտոնական լեզուն գերմաներենն է։</v>
      </c>
    </row>
    <row r="4655">
      <c r="A4655" s="5" t="s">
        <v>8272</v>
      </c>
      <c r="B4655" s="5" t="s">
        <v>8201</v>
      </c>
      <c r="C4655" s="5" t="str">
        <f>IFERROR(__xludf.DUMMYFUNCTION("GOOGLETRANSLATE(A4655,""en"",""hy"")"),"Ո՞ր երկրում է գտնվում Պարթենոնը:")</f>
        <v>Ո՞ր երկրում է գտնվում Պարթենոնը:</v>
      </c>
      <c r="D4655" s="6" t="str">
        <f>IFERROR(__xludf.DUMMYFUNCTION("GOOGLETRANSLATE(B4655,""en"",""hy"")"),"Հունաստան.")</f>
        <v>Հունաստան.</v>
      </c>
    </row>
    <row r="4656">
      <c r="A4656" s="5" t="s">
        <v>7737</v>
      </c>
      <c r="B4656" s="5" t="s">
        <v>8273</v>
      </c>
      <c r="C4656" s="5" t="str">
        <f>IFERROR(__xludf.DUMMYFUNCTION("GOOGLETRANSLATE(A4656,""en"",""hy"")"),"Ո՞վ է գրել «Շորայի մեջ բռնողը» վեպը:")</f>
        <v>Ո՞վ է գրել «Շորայի մեջ բռնողը» վեպը:</v>
      </c>
      <c r="D4656" s="6" t="str">
        <f>IFERROR(__xludf.DUMMYFUNCTION("GOOGLETRANSLATE(B4656,""en"",""hy"")"),"Ջ.Դ.Սելինջեր")</f>
        <v>Ջ.Դ.Սելինջեր</v>
      </c>
    </row>
    <row r="4657">
      <c r="A4657" s="5" t="s">
        <v>8198</v>
      </c>
      <c r="B4657" s="5" t="s">
        <v>8199</v>
      </c>
      <c r="C4657" s="5" t="str">
        <f>IFERROR(__xludf.DUMMYFUNCTION("GOOGLETRANSLATE(A4657,""en"",""hy"")"),"Ո՞րն է Չինաստանի ազգային կենդանին:")</f>
        <v>Ո՞րն է Չինաստանի ազգային կենդանին:</v>
      </c>
      <c r="D4657" s="6" t="str">
        <f>IFERROR(__xludf.DUMMYFUNCTION("GOOGLETRANSLATE(B4657,""en"",""hy"")"),"Չինաստանի ազգային կենդանին հսկա պանդան է։")</f>
        <v>Չինաստանի ազգային կենդանին հսկա պանդան է։</v>
      </c>
    </row>
    <row r="4658">
      <c r="A4658" s="5" t="s">
        <v>8274</v>
      </c>
      <c r="B4658" s="5" t="s">
        <v>7499</v>
      </c>
      <c r="C4658" s="5" t="str">
        <f>IFERROR(__xludf.DUMMYFUNCTION("GOOGLETRANSLATE(A4658,""en"",""hy"")"),"Ո՞ր գիտնականն է մշակել հարաբերականության տեսությունը:")</f>
        <v>Ո՞ր գիտնականն է մշակել հարաբերականության տեսությունը:</v>
      </c>
      <c r="D4658" s="6" t="str">
        <f>IFERROR(__xludf.DUMMYFUNCTION("GOOGLETRANSLATE(B4658,""en"",""hy"")"),"Albert Einstein")</f>
        <v>Albert Einstein</v>
      </c>
    </row>
    <row r="4659">
      <c r="A4659" s="5" t="s">
        <v>7589</v>
      </c>
      <c r="B4659" s="5" t="s">
        <v>7545</v>
      </c>
      <c r="C4659" s="5" t="str">
        <f>IFERROR(__xludf.DUMMYFUNCTION("GOOGLETRANSLATE(A4659,""en"",""hy"")"),"Ո՞րն է Իտալիայի մայրաքաղաքը:")</f>
        <v>Ո՞րն է Իտալիայի մայրաքաղաքը:</v>
      </c>
      <c r="D4659" s="6" t="str">
        <f>IFERROR(__xludf.DUMMYFUNCTION("GOOGLETRANSLATE(B4659,""en"",""hy"")"),"Հռոմ.")</f>
        <v>Հռոմ.</v>
      </c>
    </row>
    <row r="4660">
      <c r="A4660" s="5" t="s">
        <v>8275</v>
      </c>
      <c r="B4660" s="5" t="s">
        <v>7549</v>
      </c>
      <c r="C4660" s="5" t="str">
        <f>IFERROR(__xludf.DUMMYFUNCTION("GOOGLETRANSLATE(A4660,""en"",""hy"")"),"Ո՞վ է նկարել հայտնի «Մարգարտյա ականջօղով աղջիկը» ստեղծագործությունը:")</f>
        <v>Ո՞վ է նկարել հայտնի «Մարգարտյա ականջօղով աղջիկը» ստեղծագործությունը:</v>
      </c>
      <c r="D4660" s="6" t="str">
        <f>IFERROR(__xludf.DUMMYFUNCTION("GOOGLETRANSLATE(B4660,""en"",""hy"")"),"Յոհաննես Վերմեեր.")</f>
        <v>Յոհաննես Վերմեեր.</v>
      </c>
    </row>
    <row r="4661">
      <c r="A4661" s="5" t="s">
        <v>8276</v>
      </c>
      <c r="B4661" s="5" t="s">
        <v>8277</v>
      </c>
      <c r="C4661" s="5" t="str">
        <f>IFERROR(__xludf.DUMMYFUNCTION("GOOGLETRANSLATE(A4661,""en"",""hy"")"),"Մեր Արեգակնային համակարգում քանի՞ մոլորակ ունի օղակ:")</f>
        <v>Մեր Արեգակնային համակարգում քանի՞ մոլորակ ունի օղակ:</v>
      </c>
      <c r="D4661" s="6" t="str">
        <f>IFERROR(__xludf.DUMMYFUNCTION("GOOGLETRANSLATE(B4661,""en"",""hy"")"),"Մեր Արեգակնային համակարգի չորս մոլորակներ ունեն օղակներ:")</f>
        <v>Մեր Արեգակնային համակարգի չորս մոլորակներ ունեն օղակներ:</v>
      </c>
    </row>
    <row r="4662">
      <c r="A4662" s="5" t="s">
        <v>7699</v>
      </c>
      <c r="B4662" s="5" t="s">
        <v>7700</v>
      </c>
      <c r="C4662" s="5" t="str">
        <f>IFERROR(__xludf.DUMMYFUNCTION("GOOGLETRANSLATE(A4662,""en"",""hy"")"),"Ո՞րն է ածխածնի քիմիական նշանը:")</f>
        <v>Ո՞րն է ածխածնի քիմիական նշանը:</v>
      </c>
      <c r="D4662" s="6" t="str">
        <f>IFERROR(__xludf.DUMMYFUNCTION("GOOGLETRANSLATE(B4662,""en"",""hy"")"),"Ածխածնի քիմիական նշանը C է:")</f>
        <v>Ածխածնի քիմիական նշանը C է:</v>
      </c>
    </row>
    <row r="4663">
      <c r="A4663" s="5" t="s">
        <v>7726</v>
      </c>
      <c r="B4663" s="5" t="s">
        <v>1016</v>
      </c>
      <c r="C4663" s="5" t="str">
        <f>IFERROR(__xludf.DUMMYFUNCTION("GOOGLETRANSLATE(A4663,""en"",""hy"")"),"Ո՞վ է գրել «Մակբեթ» պիեսը։")</f>
        <v>Ո՞վ է գրել «Մակբեթ» պիեսը։</v>
      </c>
      <c r="D4663" s="6" t="str">
        <f>IFERROR(__xludf.DUMMYFUNCTION("GOOGLETRANSLATE(B4663,""en"",""hy"")"),"Ուիլյամ Շեքսպիր.")</f>
        <v>Ուիլյամ Շեքսպիր.</v>
      </c>
    </row>
    <row r="4664">
      <c r="A4664" s="5" t="s">
        <v>7530</v>
      </c>
      <c r="B4664" s="5" t="s">
        <v>7531</v>
      </c>
      <c r="C4664" s="5" t="str">
        <f>IFERROR(__xludf.DUMMYFUNCTION("GOOGLETRANSLATE(A4664,""en"",""hy"")"),"Ո՞րն է Հնդկաստանի ազգային թռչունը:")</f>
        <v>Ո՞րն է Հնդկաստանի ազգային թռչունը:</v>
      </c>
      <c r="D4664" s="6" t="str">
        <f>IFERROR(__xludf.DUMMYFUNCTION("GOOGLETRANSLATE(B4664,""en"",""hy"")"),"Հնդկաստանի ազգային թռչունը սիրամարգն է։")</f>
        <v>Հնդկաստանի ազգային թռչունը սիրամարգն է։</v>
      </c>
    </row>
    <row r="4665">
      <c r="A4665" s="5" t="s">
        <v>8278</v>
      </c>
      <c r="B4665" s="5" t="s">
        <v>7648</v>
      </c>
      <c r="C4665" s="5" t="str">
        <f>IFERROR(__xludf.DUMMYFUNCTION("GOOGLETRANSLATE(A4665,""en"",""hy"")"),"Ո՞ր հայտնի նկարիչն է հայտնի «Աստղային գիշերը» նկարելով:")</f>
        <v>Ո՞ր հայտնի նկարիչն է հայտնի «Աստղային գիշերը» նկարելով:</v>
      </c>
      <c r="D4665" s="6" t="str">
        <f>IFERROR(__xludf.DUMMYFUNCTION("GOOGLETRANSLATE(B4665,""en"",""hy"")"),"Վինսենթ վան Գոգ.")</f>
        <v>Վինսենթ վան Գոգ.</v>
      </c>
    </row>
    <row r="4666">
      <c r="A4666" s="5" t="s">
        <v>7599</v>
      </c>
      <c r="B4666" s="5" t="s">
        <v>7600</v>
      </c>
      <c r="C4666" s="5" t="str">
        <f>IFERROR(__xludf.DUMMYFUNCTION("GOOGLETRANSLATE(A4666,""en"",""hy"")"),"Ո՞րն է աշխարհի ամենամեծ լիճը:")</f>
        <v>Ո՞րն է աշխարհի ամենամեծ լիճը:</v>
      </c>
      <c r="D4666" s="6" t="str">
        <f>IFERROR(__xludf.DUMMYFUNCTION("GOOGLETRANSLATE(B4666,""en"",""hy"")"),"Աշխարհի ամենամեծ լիճը Կասպից ծովն է։")</f>
        <v>Աշխարհի ամենամեծ լիճը Կասպից ծովն է։</v>
      </c>
    </row>
    <row r="4667">
      <c r="A4667" s="5" t="s">
        <v>8279</v>
      </c>
      <c r="B4667" s="5" t="s">
        <v>8038</v>
      </c>
      <c r="C4667" s="5" t="str">
        <f>IFERROR(__xludf.DUMMYFUNCTION("GOOGLETRANSLATE(A4667,""en"",""hy"")"),"Ո՞վ է հեղինակել հայտնի «Սիմֆոնիա թիվ 6» սիմֆոնիան։")</f>
        <v>Ո՞վ է հեղինակել հայտնի «Սիմֆոնիա թիվ 6» սիմֆոնիան։</v>
      </c>
      <c r="D4667" s="6" t="str">
        <f>IFERROR(__xludf.DUMMYFUNCTION("GOOGLETRANSLATE(B4667,""en"",""hy"")"),"Լյուդվիգ վան Բեթհովեն.")</f>
        <v>Լյուդվիգ վան Բեթհովեն.</v>
      </c>
    </row>
    <row r="4668">
      <c r="A4668" s="5" t="s">
        <v>8280</v>
      </c>
      <c r="B4668" s="5" t="s">
        <v>8281</v>
      </c>
      <c r="C4668" s="5" t="str">
        <f>IFERROR(__xludf.DUMMYFUNCTION("GOOGLETRANSLATE(A4668,""en"",""hy"")"),"Ո՞րն է Ֆրանսիայի պաշտոնական լեզուն:")</f>
        <v>Ո՞րն է Ֆրանսիայի պաշտոնական լեզուն:</v>
      </c>
      <c r="D4668" s="6" t="str">
        <f>IFERROR(__xludf.DUMMYFUNCTION("GOOGLETRANSLATE(B4668,""en"",""hy"")"),"Ֆրանսիայի պաշտոնական լեզուն ֆրանսերենն է։")</f>
        <v>Ֆրանսիայի պաշտոնական լեզուն ֆրանսերենն է։</v>
      </c>
    </row>
    <row r="4669">
      <c r="A4669" s="5" t="s">
        <v>8282</v>
      </c>
      <c r="B4669" s="5" t="s">
        <v>8283</v>
      </c>
      <c r="C4669" s="5" t="str">
        <f>IFERROR(__xludf.DUMMYFUNCTION("GOOGLETRANSLATE(A4669,""en"",""hy"")"),"Ո՞ր քաղաքում է գտնվում Գիզայի բուրգերը:")</f>
        <v>Ո՞ր քաղաքում է գտնվում Գիզայի բուրգերը:</v>
      </c>
      <c r="D4669" s="6" t="str">
        <f>IFERROR(__xludf.DUMMYFUNCTION("GOOGLETRANSLATE(B4669,""en"",""hy"")"),"Գիզայի բուրգերը գտնվում են Եգիպտոսի Կահիրե քաղաքում։")</f>
        <v>Գիզայի բուրգերը գտնվում են Եգիպտոսի Կահիրե քաղաքում։</v>
      </c>
    </row>
    <row r="4670">
      <c r="A4670" s="5" t="s">
        <v>7809</v>
      </c>
      <c r="B4670" s="5" t="s">
        <v>8061</v>
      </c>
      <c r="C4670" s="5" t="str">
        <f>IFERROR(__xludf.DUMMYFUNCTION("GOOGLETRANSLATE(A4670,""en"",""hy"")"),"Ո՞րն է հելիումի քիմիական նշանը:")</f>
        <v>Ո՞րն է հելիումի քիմիական նշանը:</v>
      </c>
      <c r="D4670" s="6" t="str">
        <f>IFERROR(__xludf.DUMMYFUNCTION("GOOGLETRANSLATE(B4670,""en"",""hy"")"),"Հելիումի քիմիական նշանը Նա է:")</f>
        <v>Հելիումի քիմիական նշանը Նա է:</v>
      </c>
    </row>
    <row r="4671">
      <c r="A4671" s="5" t="s">
        <v>8284</v>
      </c>
      <c r="B4671" s="5" t="s">
        <v>8285</v>
      </c>
      <c r="C4671" s="5" t="str">
        <f>IFERROR(__xludf.DUMMYFUNCTION("GOOGLETRANSLATE(A4671,""en"",""hy"")"),"Ո՞վ է գրել «Ոդիսականը» վեպը։")</f>
        <v>Ո՞վ է գրել «Ոդիսականը» վեպը։</v>
      </c>
      <c r="D4671" s="6" t="str">
        <f>IFERROR(__xludf.DUMMYFUNCTION("GOOGLETRANSLATE(B4671,""en"",""hy"")"),"Հոմերը գրել է «Ոդիսականը»։")</f>
        <v>Հոմերը գրել է «Ոդիսականը»։</v>
      </c>
    </row>
    <row r="4672">
      <c r="A4672" s="5" t="s">
        <v>8023</v>
      </c>
      <c r="B4672" s="5" t="s">
        <v>8109</v>
      </c>
      <c r="C4672" s="5" t="str">
        <f>IFERROR(__xludf.DUMMYFUNCTION("GOOGLETRANSLATE(A4672,""en"",""hy"")"),"Ո՞րն է աշխարհի ամենաբարձր կենդանին:")</f>
        <v>Ո՞րն է աշխարհի ամենաբարձր կենդանին:</v>
      </c>
      <c r="D4672" s="6" t="str">
        <f>IFERROR(__xludf.DUMMYFUNCTION("GOOGLETRANSLATE(B4672,""en"",""hy"")"),"Ընձուղտ.")</f>
        <v>Ընձուղտ.</v>
      </c>
    </row>
    <row r="4673">
      <c r="A4673" s="5" t="s">
        <v>7772</v>
      </c>
      <c r="B4673" s="5" t="s">
        <v>3535</v>
      </c>
      <c r="C4673" s="5" t="str">
        <f>IFERROR(__xludf.DUMMYFUNCTION("GOOGLETRANSLATE(A4673,""en"",""hy"")"),"Ո՞ր երկիրն է հայտնի որպես «Land Down Under»:")</f>
        <v>Ո՞ր երկիրն է հայտնի որպես «Land Down Under»:</v>
      </c>
      <c r="D4673" s="6" t="str">
        <f>IFERROR(__xludf.DUMMYFUNCTION("GOOGLETRANSLATE(B4673,""en"",""hy"")"),"Ավստրալիա.")</f>
        <v>Ավստրալիա.</v>
      </c>
    </row>
    <row r="4674">
      <c r="A4674" s="5" t="s">
        <v>8286</v>
      </c>
      <c r="B4674" s="5" t="s">
        <v>7905</v>
      </c>
      <c r="C4674" s="5" t="str">
        <f>IFERROR(__xludf.DUMMYFUNCTION("GOOGLETRANSLATE(A4674,""en"",""hy"")"),"Ո՞վ է նկարել հայտնի «Գիշերային պահակ» արվեստի գործը:")</f>
        <v>Ո՞վ է նկարել հայտնի «Գիշերային պահակ» արվեստի գործը:</v>
      </c>
      <c r="D4674" s="6" t="str">
        <f>IFERROR(__xludf.DUMMYFUNCTION("GOOGLETRANSLATE(B4674,""en"",""hy"")"),"Ռեմբրանդտը։")</f>
        <v>Ռեմբրանդտը։</v>
      </c>
    </row>
    <row r="4675">
      <c r="A4675" s="5" t="s">
        <v>8287</v>
      </c>
      <c r="B4675" s="5" t="s">
        <v>8288</v>
      </c>
      <c r="C4675" s="5" t="str">
        <f>IFERROR(__xludf.DUMMYFUNCTION("GOOGLETRANSLATE(A4675,""en"",""hy"")"),"Քանի՞ մայրցամաք կա:")</f>
        <v>Քանի՞ մայրցամաք կա:</v>
      </c>
      <c r="D4675" s="6" t="str">
        <f>IFERROR(__xludf.DUMMYFUNCTION("GOOGLETRANSLATE(B4675,""en"",""hy"")"),"Կան յոթ մայրցամաքներ.")</f>
        <v>Կան յոթ մայրցամաքներ.</v>
      </c>
    </row>
    <row r="4676">
      <c r="A4676" s="5" t="s">
        <v>8127</v>
      </c>
      <c r="B4676" s="5" t="s">
        <v>6556</v>
      </c>
      <c r="C4676" s="5" t="str">
        <f>IFERROR(__xludf.DUMMYFUNCTION("GOOGLETRANSLATE(A4676,""en"",""hy"")"),"Ո՞րն է Ռուսաստանի պաշտոնական լեզուն:")</f>
        <v>Ո՞րն է Ռուսաստանի պաշտոնական լեզուն:</v>
      </c>
      <c r="D4676" s="6" t="str">
        <f>IFERROR(__xludf.DUMMYFUNCTION("GOOGLETRANSLATE(B4676,""en"",""hy"")"),"Ռուսաստանի պաշտոնական լեզուն ռուսերենն է։")</f>
        <v>Ռուսաստանի պաշտոնական լեզուն ռուսերենն է։</v>
      </c>
    </row>
    <row r="4677">
      <c r="A4677" s="5" t="s">
        <v>8289</v>
      </c>
      <c r="B4677" s="5" t="s">
        <v>7731</v>
      </c>
      <c r="C4677" s="5" t="str">
        <f>IFERROR(__xludf.DUMMYFUNCTION("GOOGLETRANSLATE(A4677,""en"",""hy"")"),"Ո՞վ է «Նարնիայի քրոնիկները» գրքի հեղինակը։")</f>
        <v>Ո՞վ է «Նարնիայի քրոնիկները» գրքի հեղինակը։</v>
      </c>
      <c r="D4677" s="6" t="str">
        <f>IFERROR(__xludf.DUMMYFUNCTION("GOOGLETRANSLATE(B4677,""en"",""hy"")"),"C.S. Լյուիս")</f>
        <v>C.S. Լյուիս</v>
      </c>
    </row>
    <row r="4678">
      <c r="A4678" s="5" t="s">
        <v>8290</v>
      </c>
      <c r="B4678" s="5" t="s">
        <v>8291</v>
      </c>
      <c r="C4678" s="5" t="str">
        <f>IFERROR(__xludf.DUMMYFUNCTION("GOOGLETRANSLATE(A4678,""en"",""hy"")"),"Ո՞րն է Հարավային Աֆրիկայի ազգային կենդանին:")</f>
        <v>Ո՞րն է Հարավային Աֆրիկայի ազգային կենդանին:</v>
      </c>
      <c r="D4678" s="6" t="str">
        <f>IFERROR(__xludf.DUMMYFUNCTION("GOOGLETRANSLATE(B4678,""en"",""hy"")"),"Հարավային Աֆրիկայի ազգային կենդանին սփրինգբոկն է։")</f>
        <v>Հարավային Աֆրիկայի ազգային կենդանին սփրինգբոկն է։</v>
      </c>
    </row>
    <row r="4679">
      <c r="A4679" s="5" t="s">
        <v>8292</v>
      </c>
      <c r="B4679" s="5" t="s">
        <v>8293</v>
      </c>
      <c r="C4679" s="5" t="str">
        <f>IFERROR(__xludf.DUMMYFUNCTION("GOOGLETRANSLATE(A4679,""en"",""hy"")"),"Ո՞ր հայտնի գիտնականն է մշակել քվանտային մեխանիկայի տեսությունը:")</f>
        <v>Ո՞ր հայտնի գիտնականն է մշակել քվանտային մեխանիկայի տեսությունը:</v>
      </c>
      <c r="D4679" s="6" t="str">
        <f>IFERROR(__xludf.DUMMYFUNCTION("GOOGLETRANSLATE(B4679,""en"",""hy"")"),"Վերներ Հայզենբերգ.")</f>
        <v>Վերներ Հայզենբերգ.</v>
      </c>
    </row>
    <row r="4680">
      <c r="A4680" s="5" t="s">
        <v>8294</v>
      </c>
      <c r="B4680" s="5" t="s">
        <v>8038</v>
      </c>
      <c r="C4680" s="5" t="str">
        <f>IFERROR(__xludf.DUMMYFUNCTION("GOOGLETRANSLATE(A4680,""en"",""hy"")"),"Ո՞վ է հեղինակել հայտնի «Սիմֆոնիա թիվ 3» սիմֆոնիան:")</f>
        <v>Ո՞վ է հեղինակել հայտնի «Սիմֆոնիա թիվ 3» սիմֆոնիան:</v>
      </c>
      <c r="D4680" s="6" t="str">
        <f>IFERROR(__xludf.DUMMYFUNCTION("GOOGLETRANSLATE(B4680,""en"",""hy"")"),"Լյուդվիգ վան Բեթհովեն.")</f>
        <v>Լյուդվիգ վան Բեթհովեն.</v>
      </c>
    </row>
    <row r="4681">
      <c r="A4681" s="5" t="s">
        <v>7450</v>
      </c>
      <c r="B4681" s="5" t="s">
        <v>7451</v>
      </c>
      <c r="C4681" s="5" t="str">
        <f>IFERROR(__xludf.DUMMYFUNCTION("GOOGLETRANSLATE(A4681,""en"",""hy"")"),"Ո՞րն է Ավստրալիայի մայրաքաղաքը:")</f>
        <v>Ո՞րն է Ավստրալիայի մայրաքաղաքը:</v>
      </c>
      <c r="D4681" s="6" t="str">
        <f>IFERROR(__xludf.DUMMYFUNCTION("GOOGLETRANSLATE(B4681,""en"",""hy"")"),"Կանբերա.")</f>
        <v>Կանբերա.</v>
      </c>
    </row>
    <row r="4682">
      <c r="A4682" s="5" t="s">
        <v>7447</v>
      </c>
      <c r="B4682" s="5" t="s">
        <v>7448</v>
      </c>
      <c r="C4682" s="5" t="str">
        <f>IFERROR(__xludf.DUMMYFUNCTION("GOOGLETRANSLATE(A4682,""en"",""hy"")"),"Ո՞վ է նկարել Մոնա Լիզան:")</f>
        <v>Ո՞վ է նկարել Մոնա Լիզան:</v>
      </c>
      <c r="D4682" s="6" t="str">
        <f>IFERROR(__xludf.DUMMYFUNCTION("GOOGLETRANSLATE(B4682,""en"",""hy"")"),"Լեոնարդո դա Վինչի.")</f>
        <v>Լեոնարդո դա Վինչի.</v>
      </c>
    </row>
    <row r="4683">
      <c r="A4683" s="5" t="s">
        <v>7842</v>
      </c>
      <c r="B4683" s="5" t="s">
        <v>7843</v>
      </c>
      <c r="C4683" s="5" t="str">
        <f>IFERROR(__xludf.DUMMYFUNCTION("GOOGLETRANSLATE(A4683,""en"",""hy"")"),"Ո՞րն է աշխարհի ամենաերկար գետը:")</f>
        <v>Ո՞րն է աշխարհի ամենաերկար գետը:</v>
      </c>
      <c r="D4683" s="6" t="str">
        <f>IFERROR(__xludf.DUMMYFUNCTION("GOOGLETRANSLATE(B4683,""en"",""hy"")"),"Աշխարհի ամենաերկար գետը Նեղոս գետն է։")</f>
        <v>Աշխարհի ամենաերկար գետը Նեղոս գետն է։</v>
      </c>
    </row>
    <row r="4684">
      <c r="A4684" s="5" t="s">
        <v>8011</v>
      </c>
      <c r="B4684" s="5" t="s">
        <v>7470</v>
      </c>
      <c r="C4684" s="5" t="str">
        <f>IFERROR(__xludf.DUMMYFUNCTION("GOOGLETRANSLATE(A4684,""en"",""hy"")"),"Ո՞ր թվականին ավարտվեց Երկրորդ համաշխարհային պատերազմը:")</f>
        <v>Ո՞ր թվականին ավարտվեց Երկրորդ համաշխարհային պատերազմը:</v>
      </c>
      <c r="D4684" s="6" t="str">
        <f>IFERROR(__xludf.DUMMYFUNCTION("GOOGLETRANSLATE(B4684,""en"",""hy"")"),"Երկրորդ համաշխարհային պատերազմն ավարտվեց 1945 թվականին։")</f>
        <v>Երկրորդ համաշխարհային պատերազմն ավարտվեց 1945 թվականին։</v>
      </c>
    </row>
    <row r="4685">
      <c r="A4685" s="5" t="s">
        <v>8099</v>
      </c>
      <c r="B4685" s="5" t="s">
        <v>8100</v>
      </c>
      <c r="C4685" s="5" t="str">
        <f>IFERROR(__xludf.DUMMYFUNCTION("GOOGLETRANSLATE(A4685,""en"",""hy"")"),"Քանի՞ մոլորակ կա մեր արեգակնային համակարգում:")</f>
        <v>Քանի՞ մոլորակ կա մեր արեգակնային համակարգում:</v>
      </c>
      <c r="D4685" s="6" t="str">
        <f>IFERROR(__xludf.DUMMYFUNCTION("GOOGLETRANSLATE(B4685,""en"",""hy"")"),"Մեր Արեգակնային համակարգում կա ութ մոլորակ:")</f>
        <v>Մեր Արեգակնային համակարգում կա ութ մոլորակ:</v>
      </c>
    </row>
    <row r="4686">
      <c r="A4686" s="5" t="s">
        <v>7849</v>
      </c>
      <c r="B4686" s="5" t="s">
        <v>7541</v>
      </c>
      <c r="C4686" s="5" t="str">
        <f>IFERROR(__xludf.DUMMYFUNCTION("GOOGLETRANSLATE(A4686,""en"",""hy"")"),"Ո՞վ է գրել «Սպանել ծաղրող թռչունին» վեպը:")</f>
        <v>Ո՞վ է գրել «Սպանել ծաղրող թռչունին» վեպը:</v>
      </c>
      <c r="D4686" s="6" t="str">
        <f>IFERROR(__xludf.DUMMYFUNCTION("GOOGLETRANSLATE(B4686,""en"",""hy"")"),"Հարփեր Լի.")</f>
        <v>Հարփեր Լի.</v>
      </c>
    </row>
    <row r="4687">
      <c r="A4687" s="5" t="s">
        <v>7463</v>
      </c>
      <c r="B4687" s="5" t="s">
        <v>7464</v>
      </c>
      <c r="C4687" s="5" t="str">
        <f>IFERROR(__xludf.DUMMYFUNCTION("GOOGLETRANSLATE(A4687,""en"",""hy"")"),"Ո՞րն է աշխարհի ամենաբարձր լեռը:")</f>
        <v>Ո՞րն է աշխարհի ամենաբարձր լեռը:</v>
      </c>
      <c r="D4687" s="6" t="str">
        <f>IFERROR(__xludf.DUMMYFUNCTION("GOOGLETRANSLATE(B4687,""en"",""hy"")"),"Էվերեստ լեռ.")</f>
        <v>Էվերեստ լեռ.</v>
      </c>
    </row>
    <row r="4688">
      <c r="A4688" s="5" t="s">
        <v>7452</v>
      </c>
      <c r="B4688" s="5" t="s">
        <v>7453</v>
      </c>
      <c r="C4688" s="5" t="str">
        <f>IFERROR(__xludf.DUMMYFUNCTION("GOOGLETRANSLATE(A4688,""en"",""hy"")"),"Ո՞րն է ոսկու քիմիական նշանը:")</f>
        <v>Ո՞րն է ոսկու քիմիական նշանը:</v>
      </c>
      <c r="D4688" s="6" t="str">
        <f>IFERROR(__xludf.DUMMYFUNCTION("GOOGLETRANSLATE(B4688,""en"",""hy"")"),"Ոսկու քիմիական նշանը Au-ն է:")</f>
        <v>Ոսկու քիմիական նշանը Au-ն է:</v>
      </c>
    </row>
    <row r="4689">
      <c r="A4689" s="5" t="s">
        <v>8078</v>
      </c>
      <c r="B4689" s="5" t="s">
        <v>7784</v>
      </c>
      <c r="C4689" s="5" t="str">
        <f>IFERROR(__xludf.DUMMYFUNCTION("GOOGLETRANSLATE(A4689,""en"",""hy"")"),"Ո՞ր երկիրն է հայտնի որպես Ծագող Արևի երկիր:")</f>
        <v>Ո՞ր երկիրն է հայտնի որպես Ծագող Արևի երկիր:</v>
      </c>
      <c r="D4689" s="6" t="str">
        <f>IFERROR(__xludf.DUMMYFUNCTION("GOOGLETRANSLATE(B4689,""en"",""hy"")"),"Ճապոնիա")</f>
        <v>Ճապոնիա</v>
      </c>
    </row>
    <row r="4690">
      <c r="A4690" s="5" t="s">
        <v>7645</v>
      </c>
      <c r="B4690" s="5" t="s">
        <v>7646</v>
      </c>
      <c r="C4690" s="5" t="str">
        <f>IFERROR(__xludf.DUMMYFUNCTION("GOOGLETRANSLATE(A4690,""en"",""hy"")"),"Ո՞րն է Երկրի ամենամեծ օվկիանոսը:")</f>
        <v>Ո՞րն է Երկրի ամենամեծ օվկիանոսը:</v>
      </c>
      <c r="D4690" s="6" t="str">
        <f>IFERROR(__xludf.DUMMYFUNCTION("GOOGLETRANSLATE(B4690,""en"",""hy"")"),"Խաղաղ օվկիանոս.")</f>
        <v>Խաղաղ օվկիանոս.</v>
      </c>
    </row>
    <row r="4691">
      <c r="A4691" s="5" t="s">
        <v>8106</v>
      </c>
      <c r="B4691" s="5" t="s">
        <v>7916</v>
      </c>
      <c r="C4691" s="5" t="str">
        <f>IFERROR(__xludf.DUMMYFUNCTION("GOOGLETRANSLATE(A4691,""en"",""hy"")"),"Քանի՞ ոսկոր կա մարդու մարմնում:")</f>
        <v>Քանի՞ ոսկոր կա մարդու մարմնում:</v>
      </c>
      <c r="D4691" s="6" t="str">
        <f>IFERROR(__xludf.DUMMYFUNCTION("GOOGLETRANSLATE(B4691,""en"",""hy"")"),"Մարդու մարմնում կա 206 ոսկոր։")</f>
        <v>Մարդու մարմնում կա 206 ոսկոր։</v>
      </c>
    </row>
    <row r="4692">
      <c r="A4692" s="5" t="s">
        <v>7854</v>
      </c>
      <c r="B4692" s="5" t="s">
        <v>7458</v>
      </c>
      <c r="C4692" s="5" t="str">
        <f>IFERROR(__xludf.DUMMYFUNCTION("GOOGLETRANSLATE(A4692,""en"",""hy"")"),"Ո՞վ էր Միացյալ Նահանգների առաջին նախագահը:")</f>
        <v>Ո՞վ էր Միացյալ Նահանգների առաջին նախագահը:</v>
      </c>
      <c r="D4692" s="6" t="str">
        <f>IFERROR(__xludf.DUMMYFUNCTION("GOOGLETRANSLATE(B4692,""en"",""hy"")"),"Ջորջ Վաշինգտոն.")</f>
        <v>Ջորջ Վաշինգտոն.</v>
      </c>
    </row>
    <row r="4693">
      <c r="A4693" s="5" t="s">
        <v>7483</v>
      </c>
      <c r="B4693" s="5" t="s">
        <v>8295</v>
      </c>
      <c r="C4693" s="5" t="str">
        <f>IFERROR(__xludf.DUMMYFUNCTION("GOOGLETRANSLATE(A4693,""en"",""hy"")"),"Ո՞րն է ջրի քիմիական բանաձևը:")</f>
        <v>Ո՞րն է ջրի քիմիական բանաձևը:</v>
      </c>
      <c r="D4693" s="6" t="str">
        <f>IFERROR(__xludf.DUMMYFUNCTION("GOOGLETRANSLATE(B4693,""en"",""hy"")"),"H2O")</f>
        <v>H2O</v>
      </c>
    </row>
    <row r="4694">
      <c r="A4694" s="5" t="s">
        <v>7480</v>
      </c>
      <c r="B4694" s="5" t="s">
        <v>7481</v>
      </c>
      <c r="C4694" s="5" t="str">
        <f>IFERROR(__xludf.DUMMYFUNCTION("GOOGLETRANSLATE(A4694,""en"",""hy"")"),"Ո՞րն է Միացյալ Նահանգների ազգային թռչունը:")</f>
        <v>Ո՞րն է Միացյալ Նահանգների ազգային թռչունը:</v>
      </c>
      <c r="D4694" s="6" t="str">
        <f>IFERROR(__xludf.DUMMYFUNCTION("GOOGLETRANSLATE(B4694,""en"",""hy"")"),"Միացյալ Նահանգների ազգային թռչունը ճաղատ արծիվն է։")</f>
        <v>Միացյալ Նահանգների ազգային թռչունը ճաղատ արծիվն է։</v>
      </c>
    </row>
    <row r="4695">
      <c r="A4695" s="5" t="s">
        <v>8296</v>
      </c>
      <c r="B4695" s="5" t="s">
        <v>7556</v>
      </c>
      <c r="C4695" s="5" t="str">
        <f>IFERROR(__xludf.DUMMYFUNCTION("GOOGLETRANSLATE(A4695,""en"",""hy"")"),"Ո՞ր հայտնի գիտնականն է մշակել հարաբերականության ընդհանուր տեսությունը:")</f>
        <v>Ո՞ր հայտնի գիտնականն է մշակել հարաբերականության ընդհանուր տեսությունը:</v>
      </c>
      <c r="D4695" s="6" t="str">
        <f>IFERROR(__xludf.DUMMYFUNCTION("GOOGLETRANSLATE(B4695,""en"",""hy"")"),"Albert Einstein.")</f>
        <v>Albert Einstein.</v>
      </c>
    </row>
    <row r="4696">
      <c r="A4696" s="5" t="s">
        <v>7778</v>
      </c>
      <c r="B4696" s="5" t="s">
        <v>7474</v>
      </c>
      <c r="C4696" s="5" t="str">
        <f>IFERROR(__xludf.DUMMYFUNCTION("GOOGLETRANSLATE(A4696,""en"",""hy"")"),"Ո՞վ է նկարել Սիքստինյան կապելլայի առաստաղը:")</f>
        <v>Ո՞վ է նկարել Սիքստինյան կապելլայի առաստաղը:</v>
      </c>
      <c r="D4696" s="6" t="str">
        <f>IFERROR(__xludf.DUMMYFUNCTION("GOOGLETRANSLATE(B4696,""en"",""hy"")"),"Միքելանջելո.")</f>
        <v>Միքելանջելո.</v>
      </c>
    </row>
    <row r="4697">
      <c r="A4697" s="5" t="s">
        <v>8247</v>
      </c>
      <c r="B4697" s="5" t="s">
        <v>3535</v>
      </c>
      <c r="C4697" s="5" t="str">
        <f>IFERROR(__xludf.DUMMYFUNCTION("GOOGLETRANSLATE(A4697,""en"",""hy"")"),"Ո՞ր երկրում է գտնվում Մեծ արգելախութը:")</f>
        <v>Ո՞ր երկրում է գտնվում Մեծ արգելախութը:</v>
      </c>
      <c r="D4697" s="6" t="str">
        <f>IFERROR(__xludf.DUMMYFUNCTION("GOOGLETRANSLATE(B4697,""en"",""hy"")"),"Ավստրալիա.")</f>
        <v>Ավստրալիա.</v>
      </c>
    </row>
    <row r="4698">
      <c r="A4698" s="5" t="s">
        <v>7461</v>
      </c>
      <c r="B4698" s="5" t="s">
        <v>7462</v>
      </c>
      <c r="C4698" s="5" t="str">
        <f>IFERROR(__xludf.DUMMYFUNCTION("GOOGLETRANSLATE(A4698,""en"",""hy"")"),"Ո՞րն է մարդու մարմնի ամենամեծ օրգանը:")</f>
        <v>Ո՞րն է մարդու մարմնի ամենամեծ օրգանը:</v>
      </c>
      <c r="D4698" s="6" t="str">
        <f>IFERROR(__xludf.DUMMYFUNCTION("GOOGLETRANSLATE(B4698,""en"",""hy"")"),"Մաշկը.")</f>
        <v>Մաշկը.</v>
      </c>
    </row>
    <row r="4699">
      <c r="A4699" s="5" t="s">
        <v>8012</v>
      </c>
      <c r="B4699" s="5" t="s">
        <v>7446</v>
      </c>
      <c r="C4699" s="5" t="str">
        <f>IFERROR(__xludf.DUMMYFUNCTION("GOOGLETRANSLATE(A4699,""en"",""hy"")"),"Ո՞ր մոլորակն է հայտնի որպես Կարմիր մոլորակ:")</f>
        <v>Ո՞ր մոլորակն է հայտնի որպես Կարմիր մոլորակ:</v>
      </c>
      <c r="D4699" s="6" t="str">
        <f>IFERROR(__xludf.DUMMYFUNCTION("GOOGLETRANSLATE(B4699,""en"",""hy"")"),"Մարս.")</f>
        <v>Մարս.</v>
      </c>
    </row>
    <row r="4700">
      <c r="A4700" s="5" t="s">
        <v>8297</v>
      </c>
      <c r="B4700" s="5" t="s">
        <v>7535</v>
      </c>
      <c r="C4700" s="5" t="str">
        <f>IFERROR(__xludf.DUMMYFUNCTION("GOOGLETRANSLATE(A4700,""en"",""hy"")"),"Ո՞ւմ է վերագրվում հեռախոսի հայտնագործությունը:")</f>
        <v>Ո՞ւմ է վերագրվում հեռախոսի հայտնագործությունը:</v>
      </c>
      <c r="D4700" s="6" t="str">
        <f>IFERROR(__xludf.DUMMYFUNCTION("GOOGLETRANSLATE(B4700,""en"",""hy"")"),"Ալեքսանդր Գրեհեմ Բել.")</f>
        <v>Ալեքսանդր Գրեհեմ Բել.</v>
      </c>
    </row>
    <row r="4701">
      <c r="A4701" s="5" t="s">
        <v>7467</v>
      </c>
      <c r="B4701" s="5" t="s">
        <v>7468</v>
      </c>
      <c r="C4701" s="5" t="str">
        <f>IFERROR(__xludf.DUMMYFUNCTION("GOOGLETRANSLATE(A4701,""en"",""hy"")"),"Ո՞րն է Ճապոնիայի արժույթը:")</f>
        <v>Ո՞րն է Ճապոնիայի արժույթը:</v>
      </c>
      <c r="D4701" s="6" t="str">
        <f>IFERROR(__xludf.DUMMYFUNCTION("GOOGLETRANSLATE(B4701,""en"",""hy"")"),"Ճապոնիայի արժույթը ճապոնական իենն է։")</f>
        <v>Ճապոնիայի արժույթը ճապոնական իենն է։</v>
      </c>
    </row>
    <row r="4702">
      <c r="A4702" s="5" t="s">
        <v>7640</v>
      </c>
      <c r="B4702" s="5" t="s">
        <v>1016</v>
      </c>
      <c r="C4702" s="5" t="str">
        <f>IFERROR(__xludf.DUMMYFUNCTION("GOOGLETRANSLATE(A4702,""en"",""hy"")"),"Ո՞վ է գրել «Ռոմեո և Ջուլիետ» պիեսը:")</f>
        <v>Ո՞վ է գրել «Ռոմեո և Ջուլիետ» պիեսը:</v>
      </c>
      <c r="D4702" s="6" t="str">
        <f>IFERROR(__xludf.DUMMYFUNCTION("GOOGLETRANSLATE(B4702,""en"",""hy"")"),"Ուիլյամ Շեքսպիր.")</f>
        <v>Ուիլյամ Շեքսպիր.</v>
      </c>
    </row>
    <row r="4703">
      <c r="A4703" s="5" t="s">
        <v>8298</v>
      </c>
      <c r="B4703" s="7">
        <v>1989.0</v>
      </c>
      <c r="C4703" s="5" t="str">
        <f>IFERROR(__xludf.DUMMYFUNCTION("GOOGLETRANSLATE(A4703,""en"",""hy"")"),"Ո՞ր թվականին է փլվել Բեռլինի պատը:")</f>
        <v>Ո՞ր թվականին է փլվել Բեռլինի պատը:</v>
      </c>
      <c r="D4703" s="6" t="str">
        <f>IFERROR(__xludf.DUMMYFUNCTION("GOOGLETRANSLATE(B4703,""en"",""hy"")"),"1989 թ")</f>
        <v>1989 թ</v>
      </c>
    </row>
    <row r="4704">
      <c r="A4704" s="5" t="s">
        <v>7513</v>
      </c>
      <c r="B4704" s="5" t="s">
        <v>7783</v>
      </c>
      <c r="C4704" s="5" t="str">
        <f>IFERROR(__xludf.DUMMYFUNCTION("GOOGLETRANSLATE(A4704,""en"",""hy"")"),"Ո՞րն է աշխարհի ամենամեծ անապատը:")</f>
        <v>Ո՞րն է աշխարհի ամենամեծ անապատը:</v>
      </c>
      <c r="D4704" s="6" t="str">
        <f>IFERROR(__xludf.DUMMYFUNCTION("GOOGLETRANSLATE(B4704,""en"",""hy"")"),"Սահարա անապատ.")</f>
        <v>Սահարա անապատ.</v>
      </c>
    </row>
    <row r="4705">
      <c r="A4705" s="5" t="s">
        <v>7674</v>
      </c>
      <c r="B4705" s="5" t="s">
        <v>7675</v>
      </c>
      <c r="C4705" s="5" t="str">
        <f>IFERROR(__xludf.DUMMYFUNCTION("GOOGLETRANSLATE(A4705,""en"",""hy"")"),"Ո՞վ է հունական ծովի աստվածը:")</f>
        <v>Ո՞վ է հունական ծովի աստվածը:</v>
      </c>
      <c r="D4705" s="6" t="str">
        <f>IFERROR(__xludf.DUMMYFUNCTION("GOOGLETRANSLATE(B4705,""en"",""hy"")"),"Պոսեյդոն.")</f>
        <v>Պոսեյդոն.</v>
      </c>
    </row>
    <row r="4706">
      <c r="A4706" s="5" t="s">
        <v>7780</v>
      </c>
      <c r="B4706" s="5" t="s">
        <v>2951</v>
      </c>
      <c r="C4706" s="5" t="str">
        <f>IFERROR(__xludf.DUMMYFUNCTION("GOOGLETRANSLATE(A4706,""en"",""hy"")"),"Ո՞րն է Կանադայի մայրաքաղաքը:")</f>
        <v>Ո՞րն է Կանադայի մայրաքաղաքը:</v>
      </c>
      <c r="D4706" s="6" t="str">
        <f>IFERROR(__xludf.DUMMYFUNCTION("GOOGLETRANSLATE(B4706,""en"",""hy"")"),"Օտտավա.")</f>
        <v>Օտտավա.</v>
      </c>
    </row>
    <row r="4707">
      <c r="A4707" s="5" t="s">
        <v>7502</v>
      </c>
      <c r="B4707" s="5" t="s">
        <v>7503</v>
      </c>
      <c r="C4707" s="5" t="str">
        <f>IFERROR(__xludf.DUMMYFUNCTION("GOOGLETRANSLATE(A4707,""en"",""hy"")"),"Քանի՞ կողմ ունի վեցանկյունը:")</f>
        <v>Քանի՞ կողմ ունի վեցանկյունը:</v>
      </c>
      <c r="D4707" s="6" t="str">
        <f>IFERROR(__xludf.DUMMYFUNCTION("GOOGLETRANSLATE(B4707,""en"",""hy"")"),"Վեցանկյունն ունի վեց կողմ:")</f>
        <v>Վեցանկյունն ունի վեց կողմ:</v>
      </c>
    </row>
    <row r="4708">
      <c r="A4708" s="5" t="s">
        <v>8246</v>
      </c>
      <c r="B4708" s="5" t="s">
        <v>7648</v>
      </c>
      <c r="C4708" s="5" t="str">
        <f>IFERROR(__xludf.DUMMYFUNCTION("GOOGLETRANSLATE(A4708,""en"",""hy"")"),"Ո՞վ է նկարել հայտնի «Աստղային գիշերը» արվեստի գործը:")</f>
        <v>Ո՞վ է նկարել հայտնի «Աստղային գիշերը» արվեստի գործը:</v>
      </c>
      <c r="D4708" s="6" t="str">
        <f>IFERROR(__xludf.DUMMYFUNCTION("GOOGLETRANSLATE(B4708,""en"",""hy"")"),"Վինսենթ վան Գոգ.")</f>
        <v>Վինսենթ վան Գոգ.</v>
      </c>
    </row>
    <row r="4709">
      <c r="A4709" s="5" t="s">
        <v>7746</v>
      </c>
      <c r="B4709" s="5" t="s">
        <v>7747</v>
      </c>
      <c r="C4709" s="5" t="str">
        <f>IFERROR(__xludf.DUMMYFUNCTION("GOOGLETRANSLATE(A4709,""en"",""hy"")"),"Ո՞րն է Աֆրիկայի ամենամեծ երկիրը:")</f>
        <v>Ո՞րն է Աֆրիկայի ամենամեծ երկիրը:</v>
      </c>
      <c r="D4709" s="6" t="str">
        <f>IFERROR(__xludf.DUMMYFUNCTION("GOOGLETRANSLATE(B4709,""en"",""hy"")"),"Ալժիր.")</f>
        <v>Ալժիր.</v>
      </c>
    </row>
    <row r="4710">
      <c r="A4710" s="5" t="s">
        <v>8299</v>
      </c>
      <c r="B4710" s="5" t="s">
        <v>7512</v>
      </c>
      <c r="C4710" s="5" t="str">
        <f>IFERROR(__xludf.DUMMYFUNCTION("GOOGLETRANSLATE(A4710,""en"",""hy"")"),"Ո՞ր երկիրն է հայտնի իր հայտնի բուրգերով:")</f>
        <v>Ո՞ր երկիրն է հայտնի իր հայտնի բուրգերով:</v>
      </c>
      <c r="D4710" s="6" t="str">
        <f>IFERROR(__xludf.DUMMYFUNCTION("GOOGLETRANSLATE(B4710,""en"",""hy"")"),"Եգիպտոս.")</f>
        <v>Եգիպտոս.</v>
      </c>
    </row>
    <row r="4711">
      <c r="A4711" s="5" t="s">
        <v>7485</v>
      </c>
      <c r="B4711" s="5" t="s">
        <v>7486</v>
      </c>
      <c r="C4711" s="5" t="str">
        <f>IFERROR(__xludf.DUMMYFUNCTION("GOOGLETRANSLATE(A4711,""en"",""hy"")"),"Ո՞վ է Հարի Փոթերի շարքի հեղինակը:")</f>
        <v>Ո՞վ է Հարի Փոթերի շարքի հեղինակը:</v>
      </c>
      <c r="D4711" s="6" t="str">
        <f>IFERROR(__xludf.DUMMYFUNCTION("GOOGLETRANSLATE(B4711,""en"",""hy"")"),"Ջ.Կ. Ռոուլինգ.")</f>
        <v>Ջ.Կ. Ռոուլինգ.</v>
      </c>
    </row>
    <row r="4712">
      <c r="A4712" s="5" t="s">
        <v>7557</v>
      </c>
      <c r="B4712" s="5" t="s">
        <v>7857</v>
      </c>
      <c r="C4712" s="5" t="str">
        <f>IFERROR(__xludf.DUMMYFUNCTION("GOOGLETRANSLATE(A4712,""en"",""hy"")"),"Ո՞րն է երկաթի քիմիական նշանը:")</f>
        <v>Ո՞րն է երկաթի քիմիական նշանը:</v>
      </c>
      <c r="D4712" s="6" t="str">
        <f>IFERROR(__xludf.DUMMYFUNCTION("GOOGLETRANSLATE(B4712,""en"",""hy"")"),"Երկաթի քիմիական նշանը Fe է:")</f>
        <v>Երկաթի քիմիական նշանը Fe է:</v>
      </c>
    </row>
    <row r="4713">
      <c r="A4713" s="5" t="s">
        <v>7791</v>
      </c>
      <c r="B4713" s="5" t="s">
        <v>7792</v>
      </c>
      <c r="C4713" s="5" t="str">
        <f>IFERROR(__xludf.DUMMYFUNCTION("GOOGLETRANSLATE(A4713,""en"",""hy"")"),"Ո՞րն է Ավստրալիայի ազգային կենդանին:")</f>
        <v>Ո՞րն է Ավստրալիայի ազգային կենդանին:</v>
      </c>
      <c r="D4713" s="6" t="str">
        <f>IFERROR(__xludf.DUMMYFUNCTION("GOOGLETRANSLATE(B4713,""en"",""hy"")"),"Ավստրալիայի ազգային կենդանին կենգուրուն է։")</f>
        <v>Ավստրալիայի ազգային կենդանին կենգուրուն է։</v>
      </c>
    </row>
    <row r="4714">
      <c r="A4714" s="5" t="s">
        <v>8300</v>
      </c>
      <c r="B4714" s="5" t="s">
        <v>8301</v>
      </c>
      <c r="C4714" s="5" t="str">
        <f>IFERROR(__xludf.DUMMYFUNCTION("GOOGLETRANSLATE(A4714,""en"",""hy"")"),"Ո՞ր մոլորակն է ամենամոտն արեգակին:")</f>
        <v>Ո՞ր մոլորակն է ամենամոտն արեգակին:</v>
      </c>
      <c r="D4714" s="6" t="str">
        <f>IFERROR(__xludf.DUMMYFUNCTION("GOOGLETRANSLATE(B4714,""en"",""hy"")"),"Մերկուրի.")</f>
        <v>Մերկուրի.</v>
      </c>
    </row>
    <row r="4715">
      <c r="A4715" s="5" t="s">
        <v>7506</v>
      </c>
      <c r="B4715" s="5" t="s">
        <v>7507</v>
      </c>
      <c r="C4715" s="5" t="str">
        <f>IFERROR(__xludf.DUMMYFUNCTION("GOOGLETRANSLATE(A4715,""en"",""hy"")"),"Ո՞րն է աշխարհի ամենափոքր երկիրը:")</f>
        <v>Ո՞րն է աշխարհի ամենափոքր երկիրը:</v>
      </c>
      <c r="D4715" s="6" t="str">
        <f>IFERROR(__xludf.DUMMYFUNCTION("GOOGLETRANSLATE(B4715,""en"",""hy"")"),"Քաղաք Վատիկան.")</f>
        <v>Քաղաք Վատիկան.</v>
      </c>
    </row>
    <row r="4716">
      <c r="A4716" s="5" t="s">
        <v>7634</v>
      </c>
      <c r="B4716" s="5" t="s">
        <v>7635</v>
      </c>
      <c r="C4716" s="5" t="str">
        <f>IFERROR(__xludf.DUMMYFUNCTION("GOOGLETRANSLATE(A4716,""en"",""hy"")"),"Ո՞վ էր առաջին մարդը, ով ոտք դրեց լուսնի վրա:")</f>
        <v>Ո՞վ էր առաջին մարդը, ով ոտք դրեց լուսնի վրա:</v>
      </c>
      <c r="D4716" s="6" t="str">
        <f>IFERROR(__xludf.DUMMYFUNCTION("GOOGLETRANSLATE(B4716,""en"",""hy"")"),"Նիլ Արմսթրոնգ.")</f>
        <v>Նիլ Արմսթրոնգ.</v>
      </c>
    </row>
    <row r="4717">
      <c r="A4717" s="5" t="s">
        <v>8020</v>
      </c>
      <c r="B4717" s="5" t="s">
        <v>7961</v>
      </c>
      <c r="C4717" s="5" t="str">
        <f>IFERROR(__xludf.DUMMYFUNCTION("GOOGLETRANSLATE(A4717,""en"",""hy"")"),"Ո՞ր թվականին է խորտակվել Տիտանիկը:")</f>
        <v>Ո՞ր թվականին է խորտակվել Տիտանիկը:</v>
      </c>
      <c r="D4717" s="6" t="str">
        <f>IFERROR(__xludf.DUMMYFUNCTION("GOOGLETRANSLATE(B4717,""en"",""hy"")"),"Տիտանիկը խորտակվել է 1912 թվականին։")</f>
        <v>Տիտանիկը խորտակվել է 1912 թվականին։</v>
      </c>
    </row>
    <row r="4718">
      <c r="A4718" s="5" t="s">
        <v>8138</v>
      </c>
      <c r="B4718" s="5" t="s">
        <v>6236</v>
      </c>
      <c r="C4718" s="5" t="str">
        <f>IFERROR(__xludf.DUMMYFUNCTION("GOOGLETRANSLATE(A4718,""en"",""hy"")"),"Ո՞րն է Բրազիլիայում խոսվող հիմնական լեզուն:")</f>
        <v>Ո՞րն է Բրազիլիայում խոսվող հիմնական լեզուն:</v>
      </c>
      <c r="D4718" s="6" t="str">
        <f>IFERROR(__xludf.DUMMYFUNCTION("GOOGLETRANSLATE(B4718,""en"",""hy"")"),"պորտուգալերեն.")</f>
        <v>պորտուգալերեն.</v>
      </c>
    </row>
    <row r="4719">
      <c r="A4719" s="5" t="s">
        <v>7927</v>
      </c>
      <c r="B4719" s="5" t="s">
        <v>8302</v>
      </c>
      <c r="C4719" s="5" t="str">
        <f>IFERROR(__xludf.DUMMYFUNCTION("GOOGLETRANSLATE(A4719,""en"",""hy"")"),"Քանի՞ խաղացող կա բասկետբոլի թիմում:")</f>
        <v>Քանի՞ խաղացող կա բասկետբոլի թիմում:</v>
      </c>
      <c r="D4719" s="6" t="str">
        <f>IFERROR(__xludf.DUMMYFUNCTION("GOOGLETRANSLATE(B4719,""en"",""hy"")"),"Բասկետբոլի թիմում սովորաբար 5 խաղացող կա:")</f>
        <v>Բասկետբոլի թիմում սովորաբար 5 խաղացող կա:</v>
      </c>
    </row>
    <row r="4720">
      <c r="A4720" s="5" t="s">
        <v>8123</v>
      </c>
      <c r="B4720" s="5" t="s">
        <v>7448</v>
      </c>
      <c r="C4720" s="5" t="str">
        <f>IFERROR(__xludf.DUMMYFUNCTION("GOOGLETRANSLATE(A4720,""en"",""hy"")"),"Ո՞վ է նկարել հայտնի «Վերջին ընթրիքը» ստեղծագործությունը:")</f>
        <v>Ո՞վ է նկարել հայտնի «Վերջին ընթրիքը» ստեղծագործությունը:</v>
      </c>
      <c r="D4720" s="6" t="str">
        <f>IFERROR(__xludf.DUMMYFUNCTION("GOOGLETRANSLATE(B4720,""en"",""hy"")"),"Լեոնարդո դա Վինչի.")</f>
        <v>Լեոնարդո դա Վինչի.</v>
      </c>
    </row>
    <row r="4721">
      <c r="A4721" s="5" t="s">
        <v>7908</v>
      </c>
      <c r="B4721" s="5" t="s">
        <v>7909</v>
      </c>
      <c r="C4721" s="5" t="str">
        <f>IFERROR(__xludf.DUMMYFUNCTION("GOOGLETRANSLATE(A4721,""en"",""hy"")"),"Ո՞րն է Իտալիայի արժույթը:")</f>
        <v>Ո՞րն է Իտալիայի արժույթը:</v>
      </c>
      <c r="D4721" s="6" t="str">
        <f>IFERROR(__xludf.DUMMYFUNCTION("GOOGLETRANSLATE(B4721,""en"",""hy"")"),"Իտալիայի արժույթը եվրոն է։")</f>
        <v>Իտալիայի արժույթը եվրոն է։</v>
      </c>
    </row>
    <row r="4722">
      <c r="A4722" s="5" t="s">
        <v>8303</v>
      </c>
      <c r="B4722" s="5" t="s">
        <v>8304</v>
      </c>
      <c r="C4722" s="5" t="str">
        <f>IFERROR(__xludf.DUMMYFUNCTION("GOOGLETRANSLATE(A4722,""en"",""hy"")"),"Ո՞ր հայտնի փաստաթուղթն է սկսվում «Մենք՝ ժողովուրդը» բառերով։")</f>
        <v>Ո՞ր հայտնի փաստաթուղթն է սկսվում «Մենք՝ ժողովուրդը» բառերով։</v>
      </c>
      <c r="D4722" s="6" t="str">
        <f>IFERROR(__xludf.DUMMYFUNCTION("GOOGLETRANSLATE(B4722,""en"",""hy"")"),"Միացյալ Նահանգների Սահմանադրությունը.")</f>
        <v>Միացյալ Նահանգների Սահմանադրությունը.</v>
      </c>
    </row>
    <row r="4723">
      <c r="A4723" s="5" t="s">
        <v>7939</v>
      </c>
      <c r="B4723" s="5" t="s">
        <v>7940</v>
      </c>
      <c r="C4723" s="5" t="str">
        <f>IFERROR(__xludf.DUMMYFUNCTION("GOOGLETRANSLATE(A4723,""en"",""hy"")"),"Քանի՞ մայրցամաք կա աշխարհում:")</f>
        <v>Քանի՞ մայրցամաք կա աշխարհում:</v>
      </c>
      <c r="D4723" s="6" t="str">
        <f>IFERROR(__xludf.DUMMYFUNCTION("GOOGLETRANSLATE(B4723,""en"",""hy"")"),"Աշխարհում կան յոթ մայրցամաքներ։")</f>
        <v>Աշխարհում կան յոթ մայրցամաքներ։</v>
      </c>
    </row>
    <row r="4724">
      <c r="A4724" s="5" t="s">
        <v>7698</v>
      </c>
      <c r="B4724" s="5" t="s">
        <v>7630</v>
      </c>
      <c r="C4724" s="5" t="str">
        <f>IFERROR(__xludf.DUMMYFUNCTION("GOOGLETRANSLATE(A4724,""en"",""hy"")"),"Ո՞վ է գրել «Հպարտություն և նախապաշարմունք» վեպը:")</f>
        <v>Ո՞վ է գրել «Հպարտություն և նախապաշարմունք» վեպը:</v>
      </c>
      <c r="D4724" s="6" t="str">
        <f>IFERROR(__xludf.DUMMYFUNCTION("GOOGLETRANSLATE(B4724,""en"",""hy"")"),"Ջեյն Օսթին.")</f>
        <v>Ջեյն Օսթին.</v>
      </c>
    </row>
    <row r="4725">
      <c r="A4725" s="5" t="s">
        <v>7787</v>
      </c>
      <c r="B4725" s="5" t="s">
        <v>7788</v>
      </c>
      <c r="C4725" s="5" t="str">
        <f>IFERROR(__xludf.DUMMYFUNCTION("GOOGLETRANSLATE(A4725,""en"",""hy"")"),"Ո՞րն է շնաձկան ամենամեծ տեսակը:")</f>
        <v>Ո՞րն է շնաձկան ամենամեծ տեսակը:</v>
      </c>
      <c r="D4725" s="6" t="str">
        <f>IFERROR(__xludf.DUMMYFUNCTION("GOOGLETRANSLATE(B4725,""en"",""hy"")"),"Շնաձկների ամենամեծ տեսակը կետ շնաձուկն է։")</f>
        <v>Շնաձկների ամենամեծ տեսակը կետ շնաձուկն է։</v>
      </c>
    </row>
    <row r="4726">
      <c r="A4726" s="5" t="s">
        <v>7553</v>
      </c>
      <c r="B4726" s="5" t="s">
        <v>8305</v>
      </c>
      <c r="C4726" s="5" t="str">
        <f>IFERROR(__xludf.DUMMYFUNCTION("GOOGLETRANSLATE(A4726,""en"",""hy"")"),"Ո՞րն է Հարավային Աֆրիկայի մայրաքաղաքը:")</f>
        <v>Ո՞րն է Հարավային Աֆրիկայի մայրաքաղաքը:</v>
      </c>
      <c r="D4726" s="6" t="str">
        <f>IFERROR(__xludf.DUMMYFUNCTION("GOOGLETRANSLATE(B4726,""en"",""hy"")"),"Պրետորիա")</f>
        <v>Պրետորիա</v>
      </c>
    </row>
    <row r="4727">
      <c r="A4727" s="5" t="s">
        <v>8306</v>
      </c>
      <c r="B4727" s="5" t="s">
        <v>7444</v>
      </c>
      <c r="C4727" s="5" t="str">
        <f>IFERROR(__xludf.DUMMYFUNCTION("GOOGLETRANSLATE(A4727,""en"",""hy"")"),"Ո՞վ է «1984» գրքի հեղինակը.")</f>
        <v>Ո՞վ է «1984» գրքի հեղինակը.</v>
      </c>
      <c r="D4727" s="6" t="str">
        <f>IFERROR(__xludf.DUMMYFUNCTION("GOOGLETRANSLATE(B4727,""en"",""hy"")"),"Ջորջ Օրուել.")</f>
        <v>Ջորջ Օրուել.</v>
      </c>
    </row>
    <row r="4728">
      <c r="A4728" s="5" t="s">
        <v>7734</v>
      </c>
      <c r="B4728" s="5" t="s">
        <v>7828</v>
      </c>
      <c r="C4728" s="5" t="str">
        <f>IFERROR(__xludf.DUMMYFUNCTION("GOOGLETRANSLATE(A4728,""en"",""hy"")"),"Ո՞վ է նկարել հայտնի «Մոնա Լիզա» ստեղծագործությունը:")</f>
        <v>Ո՞վ է նկարել հայտնի «Մոնա Լիզա» ստեղծագործությունը:</v>
      </c>
      <c r="D4728" s="6" t="str">
        <f>IFERROR(__xludf.DUMMYFUNCTION("GOOGLETRANSLATE(B4728,""en"",""hy"")"),"Լեոնարդո դա Վինչի")</f>
        <v>Լեոնարդո դա Վինչի</v>
      </c>
    </row>
    <row r="4729">
      <c r="A4729" s="5" t="s">
        <v>7665</v>
      </c>
      <c r="B4729" s="5" t="s">
        <v>7781</v>
      </c>
      <c r="C4729" s="5" t="str">
        <f>IFERROR(__xludf.DUMMYFUNCTION("GOOGLETRANSLATE(A4729,""en"",""hy"")"),"Ո՞րն է նատրիումի քիմիական նշանը:")</f>
        <v>Ո՞րն է նատրիումի քիմիական նշանը:</v>
      </c>
      <c r="D4729" s="6" t="str">
        <f>IFERROR(__xludf.DUMMYFUNCTION("GOOGLETRANSLATE(B4729,""en"",""hy"")"),"Նատրիումի քիմիական նշանը Na է:")</f>
        <v>Նատրիումի քիմիական նշանը Na է:</v>
      </c>
    </row>
    <row r="4730">
      <c r="A4730" s="5" t="s">
        <v>8307</v>
      </c>
      <c r="B4730" s="5" t="s">
        <v>7921</v>
      </c>
      <c r="C4730" s="5" t="str">
        <f>IFERROR(__xludf.DUMMYFUNCTION("GOOGLETRANSLATE(A4730,""en"",""hy"")"),"Ո՞ր երկրում է հորինվել շախմատի խաղը.")</f>
        <v>Ո՞ր երկրում է հորինվել շախմատի խաղը.</v>
      </c>
      <c r="D4730" s="6" t="str">
        <f>IFERROR(__xludf.DUMMYFUNCTION("GOOGLETRANSLATE(B4730,""en"",""hy"")"),"Հնդկաստան.")</f>
        <v>Հնդկաստան.</v>
      </c>
    </row>
    <row r="4731">
      <c r="A4731" s="5" t="s">
        <v>8016</v>
      </c>
      <c r="B4731" s="5" t="s">
        <v>8017</v>
      </c>
      <c r="C4731" s="5" t="str">
        <f>IFERROR(__xludf.DUMMYFUNCTION("GOOGLETRANSLATE(A4731,""en"",""hy"")"),"Ո՞րն է Անգլիայի ազգային ծաղիկը:")</f>
        <v>Ո՞րն է Անգլիայի ազգային ծաղիկը:</v>
      </c>
      <c r="D4731" s="6" t="str">
        <f>IFERROR(__xludf.DUMMYFUNCTION("GOOGLETRANSLATE(B4731,""en"",""hy"")"),"Անգլիայի ազգային ծաղիկը վարդն է։")</f>
        <v>Անգլիայի ազգային ծաղիկը վարդն է։</v>
      </c>
    </row>
    <row r="4732">
      <c r="A4732" s="5" t="s">
        <v>7946</v>
      </c>
      <c r="B4732" s="5" t="s">
        <v>8111</v>
      </c>
      <c r="C4732" s="5" t="str">
        <f>IFERROR(__xludf.DUMMYFUNCTION("GOOGLETRANSLATE(A4732,""en"",""hy"")"),"Քանի՞ խաղացող կա ֆուտբոլային թիմում:")</f>
        <v>Քանի՞ խաղացող կա ֆուտբոլային թիմում:</v>
      </c>
      <c r="D4732" s="6" t="str">
        <f>IFERROR(__xludf.DUMMYFUNCTION("GOOGLETRANSLATE(B4732,""en"",""hy"")"),"Ֆուտբոլային թիմում կա 11 խաղացող։")</f>
        <v>Ֆուտբոլային թիմում կա 11 խաղացող։</v>
      </c>
    </row>
    <row r="4733">
      <c r="A4733" s="5" t="s">
        <v>8308</v>
      </c>
      <c r="B4733" s="5" t="s">
        <v>8309</v>
      </c>
      <c r="C4733" s="5" t="str">
        <f>IFERROR(__xludf.DUMMYFUNCTION("GOOGLETRANSLATE(A4733,""en"",""hy"")"),"Ո՞վ է հունական իմաստության աստվածուհին:")</f>
        <v>Ո՞վ է հունական իմաստության աստվածուհին:</v>
      </c>
      <c r="D4733" s="6" t="str">
        <f>IFERROR(__xludf.DUMMYFUNCTION("GOOGLETRANSLATE(B4733,""en"",""hy"")"),"Աթենա.")</f>
        <v>Աթենա.</v>
      </c>
    </row>
    <row r="4734">
      <c r="A4734" s="5" t="s">
        <v>7561</v>
      </c>
      <c r="B4734" s="5" t="s">
        <v>7669</v>
      </c>
      <c r="C4734" s="5" t="str">
        <f>IFERROR(__xludf.DUMMYFUNCTION("GOOGLETRANSLATE(A4734,""en"",""hy"")"),"Ո՞րն է Մեքսիկայի արժույթը:")</f>
        <v>Ո՞րն է Մեքսիկայի արժույթը:</v>
      </c>
      <c r="D4734" s="6" t="str">
        <f>IFERROR(__xludf.DUMMYFUNCTION("GOOGLETRANSLATE(B4734,""en"",""hy"")"),"Մեքսիկայի արժույթը մեքսիկական պեսոն է։")</f>
        <v>Մեքսիկայի արժույթը մեքսիկական պեսոն է։</v>
      </c>
    </row>
    <row r="4735">
      <c r="A4735" s="5" t="s">
        <v>7683</v>
      </c>
      <c r="B4735" s="5" t="s">
        <v>1016</v>
      </c>
      <c r="C4735" s="5" t="str">
        <f>IFERROR(__xludf.DUMMYFUNCTION("GOOGLETRANSLATE(A4735,""en"",""hy"")"),"Ո՞վ է գրել «Համլետ» պիեսը։")</f>
        <v>Ո՞վ է գրել «Համլետ» պիեսը։</v>
      </c>
      <c r="D4735" s="6" t="str">
        <f>IFERROR(__xludf.DUMMYFUNCTION("GOOGLETRANSLATE(B4735,""en"",""hy"")"),"Ուիլյամ Շեքսպիր.")</f>
        <v>Ուիլյամ Շեքսպիր.</v>
      </c>
    </row>
    <row r="4736">
      <c r="A4736" s="5" t="s">
        <v>7592</v>
      </c>
      <c r="B4736" s="5" t="s">
        <v>7593</v>
      </c>
      <c r="C4736" s="5" t="str">
        <f>IFERROR(__xludf.DUMMYFUNCTION("GOOGLETRANSLATE(A4736,""en"",""hy"")"),"Ո՞րն է թթվածնի քիմիական նշանը:")</f>
        <v>Ո՞րն է թթվածնի քիմիական նշանը:</v>
      </c>
      <c r="D4736" s="6" t="str">
        <f>IFERROR(__xludf.DUMMYFUNCTION("GOOGLETRANSLATE(B4736,""en"",""hy"")"),"Թթվածնի քիմիական նշանը O է:")</f>
        <v>Թթվածնի քիմիական նշանը O է:</v>
      </c>
    </row>
    <row r="4737">
      <c r="A4737" s="5" t="s">
        <v>8121</v>
      </c>
      <c r="B4737" s="5" t="s">
        <v>8122</v>
      </c>
      <c r="C4737" s="5" t="str">
        <f>IFERROR(__xludf.DUMMYFUNCTION("GOOGLETRANSLATE(A4737,""en"",""hy"")"),"Քանի՞ աստղ կա ամերիկյան դրոշի վրա:")</f>
        <v>Քանի՞ աստղ կա ամերիկյան դրոշի վրա:</v>
      </c>
      <c r="D4737" s="6" t="str">
        <f>IFERROR(__xludf.DUMMYFUNCTION("GOOGLETRANSLATE(B4737,""en"",""hy"")"),"Ամերիկյան դրոշի վրա 50 աստղ կա։")</f>
        <v>Ամերիկյան դրոշի վրա 50 աստղ կա։</v>
      </c>
    </row>
    <row r="4738">
      <c r="A4738" s="5" t="s">
        <v>8132</v>
      </c>
      <c r="B4738" s="5" t="s">
        <v>4457</v>
      </c>
      <c r="C4738" s="5" t="str">
        <f>IFERROR(__xludf.DUMMYFUNCTION("GOOGLETRANSLATE(A4738,""en"",""hy"")"),"Ո՞րն է բնակչության թվով աշխարհի ամենամեծ քաղաքը:")</f>
        <v>Ո՞րն է բնակչության թվով աշխարհի ամենամեծ քաղաքը:</v>
      </c>
      <c r="D4738" s="6" t="str">
        <f>IFERROR(__xludf.DUMMYFUNCTION("GOOGLETRANSLATE(B4738,""en"",""hy"")"),"Տոկիո, Ճապոնիա.")</f>
        <v>Տոկիո, Ճապոնիա.</v>
      </c>
    </row>
    <row r="4739">
      <c r="A4739" s="5" t="s">
        <v>7773</v>
      </c>
      <c r="B4739" s="5" t="s">
        <v>7774</v>
      </c>
      <c r="C4739" s="5" t="str">
        <f>IFERROR(__xludf.DUMMYFUNCTION("GOOGLETRANSLATE(A4739,""en"",""hy"")"),"Ո՞վ է հայտնաբերել պենիցիլինը:")</f>
        <v>Ո՞վ է հայտնաբերել պենիցիլինը:</v>
      </c>
      <c r="D4739" s="6" t="str">
        <f>IFERROR(__xludf.DUMMYFUNCTION("GOOGLETRANSLATE(B4739,""en"",""hy"")"),"Ալեքսանդր Ֆլեմինգը հայտնաբերել է պենիցիլին:")</f>
        <v>Ալեքսանդր Ֆլեմինգը հայտնաբերել է պենիցիլին:</v>
      </c>
    </row>
    <row r="4740">
      <c r="A4740" s="5" t="s">
        <v>7461</v>
      </c>
      <c r="B4740" s="5" t="s">
        <v>7639</v>
      </c>
      <c r="C4740" s="5" t="str">
        <f>IFERROR(__xludf.DUMMYFUNCTION("GOOGLETRANSLATE(A4740,""en"",""hy"")"),"Ո՞րն է մարդու մարմնի ամենամեծ օրգանը:")</f>
        <v>Ո՞րն է մարդու մարմնի ամենամեծ օրգանը:</v>
      </c>
      <c r="D4740" s="6" t="str">
        <f>IFERROR(__xludf.DUMMYFUNCTION("GOOGLETRANSLATE(B4740,""en"",""hy"")"),"Մարդու մարմնի ամենամեծ օրգանը մաշկն է։")</f>
        <v>Մարդու մարմնի ամենամեծ օրգանը մաշկն է։</v>
      </c>
    </row>
    <row r="4741">
      <c r="A4741" s="5" t="s">
        <v>7872</v>
      </c>
      <c r="B4741" s="5" t="s">
        <v>6011</v>
      </c>
      <c r="C4741" s="5" t="str">
        <f>IFERROR(__xludf.DUMMYFUNCTION("GOOGLETRANSLATE(A4741,""en"",""hy"")"),"Ո՞րն է Իսպանիայի մայրաքաղաքը:")</f>
        <v>Ո՞րն է Իսպանիայի մայրաքաղաքը:</v>
      </c>
      <c r="D4741" s="6" t="str">
        <f>IFERROR(__xludf.DUMMYFUNCTION("GOOGLETRANSLATE(B4741,""en"",""hy"")"),"Մադրիդ")</f>
        <v>Մադրիդ</v>
      </c>
    </row>
    <row r="4742">
      <c r="A4742" s="5" t="s">
        <v>8310</v>
      </c>
      <c r="B4742" s="5" t="s">
        <v>7585</v>
      </c>
      <c r="C4742" s="5" t="str">
        <f>IFERROR(__xludf.DUMMYFUNCTION("GOOGLETRANSLATE(A4742,""en"",""hy"")"),"Ո՞վ է նկարել հայտնի «Ճիչ»-ը:")</f>
        <v>Ո՞վ է նկարել հայտնի «Ճիչ»-ը:</v>
      </c>
      <c r="D4742" s="6" t="str">
        <f>IFERROR(__xludf.DUMMYFUNCTION("GOOGLETRANSLATE(B4742,""en"",""hy"")"),"Էդվարդ Մունկ.")</f>
        <v>Էդվարդ Մունկ.</v>
      </c>
    </row>
    <row r="4743">
      <c r="A4743" s="5" t="s">
        <v>7817</v>
      </c>
      <c r="B4743" s="5" t="s">
        <v>7818</v>
      </c>
      <c r="C4743" s="5" t="str">
        <f>IFERROR(__xludf.DUMMYFUNCTION("GOOGLETRANSLATE(A4743,""en"",""hy"")"),"Ո՞րն է Կանադայի ազգային կենդանին:")</f>
        <v>Ո՞րն է Կանադայի ազգային կենդանին:</v>
      </c>
      <c r="D4743" s="6" t="str">
        <f>IFERROR(__xludf.DUMMYFUNCTION("GOOGLETRANSLATE(B4743,""en"",""hy"")"),"Կանադայի ազգային կենդանին կեղևն է:")</f>
        <v>Կանադայի ազգային կենդանին կեղևն է:</v>
      </c>
    </row>
    <row r="4744">
      <c r="A4744" s="5" t="s">
        <v>8311</v>
      </c>
      <c r="B4744" s="5" t="s">
        <v>7806</v>
      </c>
      <c r="C4744" s="5" t="str">
        <f>IFERROR(__xludf.DUMMYFUNCTION("GOOGLETRANSLATE(A4744,""en"",""hy"")"),"Ո՞ր մոլորակն է հայտնի որպես Կապույտ մոլորակ:")</f>
        <v>Ո՞ր մոլորակն է հայտնի որպես Կապույտ մոլորակ:</v>
      </c>
      <c r="D4744" s="6" t="str">
        <f>IFERROR(__xludf.DUMMYFUNCTION("GOOGLETRANSLATE(B4744,""en"",""hy"")"),"Երկիր.")</f>
        <v>Երկիր.</v>
      </c>
    </row>
    <row r="4745">
      <c r="A4745" s="5" t="s">
        <v>8312</v>
      </c>
      <c r="B4745" s="5" t="s">
        <v>8313</v>
      </c>
      <c r="C4745" s="5" t="str">
        <f>IFERROR(__xludf.DUMMYFUNCTION("GOOGLETRANSLATE(A4745,""en"",""hy"")"),"Ո՞ւմ է վերագրվում լամպի հայտնագործությունը:")</f>
        <v>Ո՞ւմ է վերագրվում լամպի հայտնագործությունը:</v>
      </c>
      <c r="D4745" s="6" t="str">
        <f>IFERROR(__xludf.DUMMYFUNCTION("GOOGLETRANSLATE(B4745,""en"",""hy"")"),"Թոմաս Էդիսոն")</f>
        <v>Թոմաս Էդիսոն</v>
      </c>
    </row>
    <row r="4746">
      <c r="A4746" s="5" t="s">
        <v>7662</v>
      </c>
      <c r="B4746" s="5" t="s">
        <v>7663</v>
      </c>
      <c r="C4746" s="5" t="str">
        <f>IFERROR(__xludf.DUMMYFUNCTION("GOOGLETRANSLATE(A4746,""en"",""hy"")"),"Ո՞րն է Հնդկաստանի արժույթը:")</f>
        <v>Ո՞րն է Հնդկաստանի արժույթը:</v>
      </c>
      <c r="D4746" s="6" t="str">
        <f>IFERROR(__xludf.DUMMYFUNCTION("GOOGLETRANSLATE(B4746,""en"",""hy"")"),"Հնդկաստանի արժույթը հնդկական ռուփին է։")</f>
        <v>Հնդկաստանի արժույթը հնդկական ռուփին է։</v>
      </c>
    </row>
    <row r="4747">
      <c r="A4747" s="5" t="s">
        <v>8010</v>
      </c>
      <c r="B4747" s="5" t="s">
        <v>7578</v>
      </c>
      <c r="C4747" s="5" t="str">
        <f>IFERROR(__xludf.DUMMYFUNCTION("GOOGLETRANSLATE(A4747,""en"",""hy"")"),"Ո՞վ է գրել «Մոբի-Դիկ» վեպը:")</f>
        <v>Ո՞վ է գրել «Մոբի-Դիկ» վեպը:</v>
      </c>
      <c r="D4747" s="6" t="str">
        <f>IFERROR(__xludf.DUMMYFUNCTION("GOOGLETRANSLATE(B4747,""en"",""hy"")"),"Հերման Մելվիլ.")</f>
        <v>Հերման Մելվիլ.</v>
      </c>
    </row>
    <row r="4748">
      <c r="A4748" s="5" t="s">
        <v>8314</v>
      </c>
      <c r="B4748" s="5" t="s">
        <v>8315</v>
      </c>
      <c r="C4748" s="5" t="str">
        <f>IFERROR(__xludf.DUMMYFUNCTION("GOOGLETRANSLATE(A4748,""en"",""hy"")"),"Ո՞ր տարում ավարտվեց Սառը պատերազմը:")</f>
        <v>Ո՞ր տարում ավարտվեց Սառը պատերազմը:</v>
      </c>
      <c r="D4748" s="6" t="str">
        <f>IFERROR(__xludf.DUMMYFUNCTION("GOOGLETRANSLATE(B4748,""en"",""hy"")"),"Սառը պատերազմն ավարտվեց 1991թ.")</f>
        <v>Սառը պատերազմն ավարտվեց 1991թ.</v>
      </c>
    </row>
    <row r="4749">
      <c r="A4749" s="5" t="s">
        <v>7526</v>
      </c>
      <c r="B4749" s="5" t="s">
        <v>7527</v>
      </c>
      <c r="C4749" s="5" t="str">
        <f>IFERROR(__xludf.DUMMYFUNCTION("GOOGLETRANSLATE(A4749,""en"",""hy"")"),"Ո՞րն է աշխարհի ամենամեծ կղզին:")</f>
        <v>Ո՞րն է աշխարհի ամենամեծ կղզին:</v>
      </c>
      <c r="D4749" s="6" t="str">
        <f>IFERROR(__xludf.DUMMYFUNCTION("GOOGLETRANSLATE(B4749,""en"",""hy"")"),"Գրենլանդիա.")</f>
        <v>Գրենլանդիա.</v>
      </c>
    </row>
    <row r="4750">
      <c r="A4750" s="5" t="s">
        <v>8316</v>
      </c>
      <c r="B4750" s="5" t="s">
        <v>8317</v>
      </c>
      <c r="C4750" s="5" t="str">
        <f>IFERROR(__xludf.DUMMYFUNCTION("GOOGLETRANSLATE(A4750,""en"",""hy"")"),"Ո՞վ է հունական պատերազմի աստվածը:")</f>
        <v>Ո՞վ է հունական պատերազմի աստվածը:</v>
      </c>
      <c r="D4750" s="6" t="str">
        <f>IFERROR(__xludf.DUMMYFUNCTION("GOOGLETRANSLATE(B4750,""en"",""hy"")"),"Հունական պատերազմի աստվածը Արեսն է:")</f>
        <v>Հունական պատերազմի աստվածը Արեսն է:</v>
      </c>
    </row>
    <row r="4751">
      <c r="A4751" s="5" t="s">
        <v>7839</v>
      </c>
      <c r="B4751" s="5" t="s">
        <v>7753</v>
      </c>
      <c r="C4751" s="5" t="str">
        <f>IFERROR(__xludf.DUMMYFUNCTION("GOOGLETRANSLATE(A4751,""en"",""hy"")"),"Ո՞րն է Ճապոնիայի մայրաքաղաքը:")</f>
        <v>Ո՞րն է Ճապոնիայի մայրաքաղաքը:</v>
      </c>
      <c r="D4751" s="6" t="str">
        <f>IFERROR(__xludf.DUMMYFUNCTION("GOOGLETRANSLATE(B4751,""en"",""hy"")"),"Տոկիո.")</f>
        <v>Տոկիո.</v>
      </c>
    </row>
    <row r="4752">
      <c r="A4752" s="5" t="s">
        <v>8088</v>
      </c>
      <c r="B4752" s="5" t="s">
        <v>8228</v>
      </c>
      <c r="C4752" s="5" t="str">
        <f>IFERROR(__xludf.DUMMYFUNCTION("GOOGLETRANSLATE(A4752,""en"",""hy"")"),"Քանի՞ կողմ ունի հնգանկյունը:")</f>
        <v>Քանի՞ կողմ ունի հնգանկյունը:</v>
      </c>
      <c r="D4752" s="6" t="str">
        <f>IFERROR(__xludf.DUMMYFUNCTION("GOOGLETRANSLATE(B4752,""en"",""hy"")"),"Պենտագոնն ունի հինգ կողմ:")</f>
        <v>Պենտագոնն ունի հինգ կողմ:</v>
      </c>
    </row>
    <row r="4753">
      <c r="A4753" s="5" t="s">
        <v>8318</v>
      </c>
      <c r="B4753" s="5" t="s">
        <v>7549</v>
      </c>
      <c r="C4753" s="5" t="str">
        <f>IFERROR(__xludf.DUMMYFUNCTION("GOOGLETRANSLATE(A4753,""en"",""hy"")"),"Ո՞վ է նկարել հայտնի «Մարգարտյա ականջօղով աղջիկը» ստեղծագործությունը:")</f>
        <v>Ո՞վ է նկարել հայտնի «Մարգարտյա ականջօղով աղջիկը» ստեղծագործությունը:</v>
      </c>
      <c r="D4753" s="6" t="str">
        <f>IFERROR(__xludf.DUMMYFUNCTION("GOOGLETRANSLATE(B4753,""en"",""hy"")"),"Յոհաննես Վերմեեր.")</f>
        <v>Յոհաննես Վերմեեր.</v>
      </c>
    </row>
    <row r="4754">
      <c r="A4754" s="5" t="s">
        <v>7672</v>
      </c>
      <c r="B4754" s="5" t="s">
        <v>7673</v>
      </c>
      <c r="C4754" s="5" t="str">
        <f>IFERROR(__xludf.DUMMYFUNCTION("GOOGLETRANSLATE(A4754,""en"",""hy"")"),"Ո՞րն է Հարավային Ամերիկայի ամենամեծ երկիրը:")</f>
        <v>Ո՞րն է Հարավային Ամերիկայի ամենամեծ երկիրը:</v>
      </c>
      <c r="D4754" s="6" t="str">
        <f>IFERROR(__xludf.DUMMYFUNCTION("GOOGLETRANSLATE(B4754,""en"",""hy"")"),"Բրազիլիա.")</f>
        <v>Բրազիլիա.</v>
      </c>
    </row>
    <row r="4755">
      <c r="A4755" s="5" t="s">
        <v>8319</v>
      </c>
      <c r="B4755" s="5" t="s">
        <v>7625</v>
      </c>
      <c r="C4755" s="5" t="str">
        <f>IFERROR(__xludf.DUMMYFUNCTION("GOOGLETRANSLATE(A4755,""en"",""hy"")"),"Ո՞ր երկիրն է հայտնի որպես Կեսգիշերային Արևի երկիր:")</f>
        <v>Ո՞ր երկիրն է հայտնի որպես Կեսգիշերային Արևի երկիր:</v>
      </c>
      <c r="D4755" s="6" t="str">
        <f>IFERROR(__xludf.DUMMYFUNCTION("GOOGLETRANSLATE(B4755,""en"",""hy"")"),"Նորվեգիա")</f>
        <v>Նորվեգիա</v>
      </c>
    </row>
    <row r="4756">
      <c r="A4756" s="5" t="s">
        <v>8320</v>
      </c>
      <c r="B4756" s="5" t="s">
        <v>8273</v>
      </c>
      <c r="C4756" s="5" t="str">
        <f>IFERROR(__xludf.DUMMYFUNCTION("GOOGLETRANSLATE(A4756,""en"",""hy"")"),"Ո՞վ է «Աշորայի մեջ բռնողը» գրքի հեղինակը.")</f>
        <v>Ո՞վ է «Աշորայի մեջ բռնողը» գրքի հեղինակը.</v>
      </c>
      <c r="D4756" s="6" t="str">
        <f>IFERROR(__xludf.DUMMYFUNCTION("GOOGLETRANSLATE(B4756,""en"",""hy"")"),"Ջ.Դ.Սելինջեր")</f>
        <v>Ջ.Դ.Սելինջեր</v>
      </c>
    </row>
    <row r="4757">
      <c r="A4757" s="5" t="s">
        <v>7699</v>
      </c>
      <c r="B4757" s="5" t="s">
        <v>7700</v>
      </c>
      <c r="C4757" s="5" t="str">
        <f>IFERROR(__xludf.DUMMYFUNCTION("GOOGLETRANSLATE(A4757,""en"",""hy"")"),"Ո՞րն է ածխածնի քիմիական նշանը:")</f>
        <v>Ո՞րն է ածխածնի քիմիական նշանը:</v>
      </c>
      <c r="D4757" s="6" t="str">
        <f>IFERROR(__xludf.DUMMYFUNCTION("GOOGLETRANSLATE(B4757,""en"",""hy"")"),"Ածխածնի քիմիական նշանը C է:")</f>
        <v>Ածխածնի քիմիական նշանը C է:</v>
      </c>
    </row>
    <row r="4758">
      <c r="A4758" s="5" t="s">
        <v>7602</v>
      </c>
      <c r="B4758" s="5" t="s">
        <v>8321</v>
      </c>
      <c r="C4758" s="5" t="str">
        <f>IFERROR(__xludf.DUMMYFUNCTION("GOOGLETRANSLATE(A4758,""en"",""hy"")"),"Ո՞րն է Կանադայի ազգային թռչունը:")</f>
        <v>Ո՞րն է Կանադայի ազգային թռչունը:</v>
      </c>
      <c r="D4758" s="6" t="str">
        <f>IFERROR(__xludf.DUMMYFUNCTION("GOOGLETRANSLATE(B4758,""en"",""hy"")"),"Կանադայի ազգային թռչունը Գրեյ Ջեյն է:")</f>
        <v>Կանադայի ազգային թռչունը Գրեյ Ջեյն է:</v>
      </c>
    </row>
    <row r="4759">
      <c r="A4759" s="5" t="s">
        <v>8322</v>
      </c>
      <c r="B4759" s="5" t="s">
        <v>8323</v>
      </c>
      <c r="C4759" s="5" t="str">
        <f>IFERROR(__xludf.DUMMYFUNCTION("GOOGLETRANSLATE(A4759,""en"",""hy"")"),"Ո՞ր մոլորակն է հայտնի որպես օղակավոր մոլորակ:")</f>
        <v>Ո՞ր մոլորակն է հայտնի որպես օղակավոր մոլորակ:</v>
      </c>
      <c r="D4759" s="6" t="str">
        <f>IFERROR(__xludf.DUMMYFUNCTION("GOOGLETRANSLATE(B4759,""en"",""hy"")"),"Սատուրն")</f>
        <v>Սատուրն</v>
      </c>
    </row>
    <row r="4760">
      <c r="A4760" s="5" t="s">
        <v>8324</v>
      </c>
      <c r="B4760" s="5" t="s">
        <v>7956</v>
      </c>
      <c r="C4760" s="5" t="str">
        <f>IFERROR(__xludf.DUMMYFUNCTION("GOOGLETRANSLATE(A4760,""en"",""hy"")"),"Ո՞ւմ է վերագրվում գրավիտացիայի հայտնաբերումը:")</f>
        <v>Ո՞ւմ է վերագրվում գրավիտացիայի հայտնաբերումը:</v>
      </c>
      <c r="D4760" s="6" t="str">
        <f>IFERROR(__xludf.DUMMYFUNCTION("GOOGLETRANSLATE(B4760,""en"",""hy"")"),"Իսահակ Նյուտոն.")</f>
        <v>Իսահակ Նյուտոն.</v>
      </c>
    </row>
    <row r="4761">
      <c r="A4761" s="5" t="s">
        <v>7500</v>
      </c>
      <c r="B4761" s="5" t="s">
        <v>7501</v>
      </c>
      <c r="C4761" s="5" t="str">
        <f>IFERROR(__xludf.DUMMYFUNCTION("GOOGLETRANSLATE(A4761,""en"",""hy"")"),"Ո՞րն է Ֆրանսիայի մայրաքաղաքը:")</f>
        <v>Ո՞րն է Ֆրանսիայի մայրաքաղաքը:</v>
      </c>
      <c r="D4761" s="6" t="str">
        <f>IFERROR(__xludf.DUMMYFUNCTION("GOOGLETRANSLATE(B4761,""en"",""hy"")"),"Փարիզ.")</f>
        <v>Փարիզ.</v>
      </c>
    </row>
    <row r="4762">
      <c r="A4762" s="5" t="s">
        <v>7744</v>
      </c>
      <c r="B4762" s="5" t="s">
        <v>8043</v>
      </c>
      <c r="C4762" s="5" t="str">
        <f>IFERROR(__xludf.DUMMYFUNCTION("GOOGLETRANSLATE(A4762,""en"",""hy"")"),"Ո՞վ է նկարել հայտնի «Հիշողության համառությունը» ստեղծագործությունը:")</f>
        <v>Ո՞վ է նկարել հայտնի «Հիշողության համառությունը» ստեղծագործությունը:</v>
      </c>
      <c r="D4762" s="6" t="str">
        <f>IFERROR(__xludf.DUMMYFUNCTION("GOOGLETRANSLATE(B4762,""en"",""hy"")"),"Սալվադոր Դալի.")</f>
        <v>Սալվադոր Դալի.</v>
      </c>
    </row>
    <row r="4763">
      <c r="A4763" s="5" t="s">
        <v>8151</v>
      </c>
      <c r="B4763" s="5" t="s">
        <v>8152</v>
      </c>
      <c r="C4763" s="5" t="str">
        <f>IFERROR(__xludf.DUMMYFUNCTION("GOOGLETRANSLATE(A4763,""en"",""hy"")"),"Ո՞րն է Հնդկաստանի ազգային կենդանին:")</f>
        <v>Ո՞րն է Հնդկաստանի ազգային կենդանին:</v>
      </c>
      <c r="D4763" s="6" t="str">
        <f>IFERROR(__xludf.DUMMYFUNCTION("GOOGLETRANSLATE(B4763,""en"",""hy"")"),"Հնդկաստանի ազգային կենդանին Բենգալյան վագրն է:")</f>
        <v>Հնդկաստանի ազգային կենդանին Բենգալյան վագրն է:</v>
      </c>
    </row>
    <row r="4764">
      <c r="A4764" s="5" t="s">
        <v>7599</v>
      </c>
      <c r="B4764" s="5" t="s">
        <v>7600</v>
      </c>
      <c r="C4764" s="5" t="str">
        <f>IFERROR(__xludf.DUMMYFUNCTION("GOOGLETRANSLATE(A4764,""en"",""hy"")"),"Ո՞րն է աշխարհի ամենամեծ լիճը:")</f>
        <v>Ո՞րն է աշխարհի ամենամեծ լիճը:</v>
      </c>
      <c r="D4764" s="6" t="str">
        <f>IFERROR(__xludf.DUMMYFUNCTION("GOOGLETRANSLATE(B4764,""en"",""hy"")"),"Աշխարհի ամենամեծ լիճը Կասպից ծովն է։")</f>
        <v>Աշխարհի ամենամեծ լիճը Կասպից ծովն է։</v>
      </c>
    </row>
    <row r="4765">
      <c r="A4765" s="5" t="s">
        <v>8325</v>
      </c>
      <c r="B4765" s="5" t="s">
        <v>8326</v>
      </c>
      <c r="C4765" s="5" t="str">
        <f>IFERROR(__xludf.DUMMYFUNCTION("GOOGLETRANSLATE(A4765,""en"",""hy"")"),"Ո՞վ է հունական սիրո և գեղեցկության աստվածուհին:")</f>
        <v>Ո՞վ է հունական սիրո և գեղեցկության աստվածուհին:</v>
      </c>
      <c r="D4765" s="6" t="str">
        <f>IFERROR(__xludf.DUMMYFUNCTION("GOOGLETRANSLATE(B4765,""en"",""hy"")"),"Աֆրոդիտե.")</f>
        <v>Աֆրոդիտե.</v>
      </c>
    </row>
    <row r="4766">
      <c r="A4766" s="5" t="s">
        <v>7649</v>
      </c>
      <c r="B4766" s="5" t="s">
        <v>7756</v>
      </c>
      <c r="C4766" s="5" t="str">
        <f>IFERROR(__xludf.DUMMYFUNCTION("GOOGLETRANSLATE(A4766,""en"",""hy"")"),"Ո՞րն է Ավստրալիայի արժույթը:")</f>
        <v>Ո՞րն է Ավստրալիայի արժույթը:</v>
      </c>
      <c r="D4766" s="6" t="str">
        <f>IFERROR(__xludf.DUMMYFUNCTION("GOOGLETRANSLATE(B4766,""en"",""hy"")"),"Ավստրալիայի արժույթը ավստրալիական դոլարն է։")</f>
        <v>Ավստրալիայի արժույթը ավստրալիական դոլարն է։</v>
      </c>
    </row>
    <row r="4767">
      <c r="A4767" s="5" t="s">
        <v>7726</v>
      </c>
      <c r="B4767" s="5" t="s">
        <v>1016</v>
      </c>
      <c r="C4767" s="5" t="str">
        <f>IFERROR(__xludf.DUMMYFUNCTION("GOOGLETRANSLATE(A4767,""en"",""hy"")"),"Ո՞վ է գրել «Մակբեթ» պիեսը։")</f>
        <v>Ո՞վ է գրել «Մակբեթ» պիեսը։</v>
      </c>
      <c r="D4767" s="6" t="str">
        <f>IFERROR(__xludf.DUMMYFUNCTION("GOOGLETRANSLATE(B4767,""en"",""hy"")"),"Ուիլյամ Շեքսպիր.")</f>
        <v>Ուիլյամ Շեքսպիր.</v>
      </c>
    </row>
    <row r="4768">
      <c r="A4768" s="5" t="s">
        <v>8327</v>
      </c>
      <c r="B4768" s="5" t="s">
        <v>7837</v>
      </c>
      <c r="C4768" s="5" t="str">
        <f>IFERROR(__xludf.DUMMYFUNCTION("GOOGLETRANSLATE(A4768,""en"",""hy"")"),"Ո՞ր թվականին սկսվեց Առաջին համաշխարհային պատերազմը:")</f>
        <v>Ո՞ր թվականին սկսվեց Առաջին համաշխարհային պատերազմը:</v>
      </c>
      <c r="D4768" s="6" t="str">
        <f>IFERROR(__xludf.DUMMYFUNCTION("GOOGLETRANSLATE(B4768,""en"",""hy"")"),"Առաջին համաշխարհային պատերազմը սկսվել է 1914 թ.")</f>
        <v>Առաջին համաշխարհային պատերազմը սկսվել է 1914 թ.</v>
      </c>
    </row>
    <row r="4769">
      <c r="A4769" s="5" t="s">
        <v>8328</v>
      </c>
      <c r="B4769" s="5" t="s">
        <v>8329</v>
      </c>
      <c r="C4769" s="5" t="str">
        <f>IFERROR(__xludf.DUMMYFUNCTION("GOOGLETRANSLATE(A4769,""en"",""hy"")"),"Ո՞րն է Երկրի ամենափոքր օվկիանոսը:")</f>
        <v>Ո՞րն է Երկրի ամենափոքր օվկիանոսը:</v>
      </c>
      <c r="D4769" s="6" t="str">
        <f>IFERROR(__xludf.DUMMYFUNCTION("GOOGLETRANSLATE(B4769,""en"",""hy"")"),"Հյուսիսային սառուցյալ օվկիանոս.")</f>
        <v>Հյուսիսային սառուցյալ օվկիանոս.</v>
      </c>
    </row>
    <row r="4770">
      <c r="A4770" s="5" t="s">
        <v>7966</v>
      </c>
      <c r="B4770" s="5" t="s">
        <v>7967</v>
      </c>
      <c r="C4770" s="5" t="str">
        <f>IFERROR(__xludf.DUMMYFUNCTION("GOOGLETRANSLATE(A4770,""en"",""hy"")"),"Ո՞վ է եղել առաջին կինը, ով Նոբելյան մրցանակ է ստացել:")</f>
        <v>Ո՞վ է եղել առաջին կինը, ով Նոբելյան մրցանակ է ստացել:</v>
      </c>
      <c r="D4770" s="6" t="str">
        <f>IFERROR(__xludf.DUMMYFUNCTION("GOOGLETRANSLATE(B4770,""en"",""hy"")"),"Մարի Կյուրի.")</f>
        <v>Մարի Կյուրի.</v>
      </c>
    </row>
    <row r="4771">
      <c r="A4771" s="5" t="s">
        <v>7509</v>
      </c>
      <c r="B4771" s="5" t="s">
        <v>7510</v>
      </c>
      <c r="C4771" s="5" t="str">
        <f>IFERROR(__xludf.DUMMYFUNCTION("GOOGLETRANSLATE(A4771,""en"",""hy"")"),"Ո՞րն է արծաթի քիմիական նշանը:")</f>
        <v>Ո՞րն է արծաթի քիմիական նշանը:</v>
      </c>
      <c r="D4771" s="6" t="str">
        <f>IFERROR(__xludf.DUMMYFUNCTION("GOOGLETRANSLATE(B4771,""en"",""hy"")"),"Ագ")</f>
        <v>Ագ</v>
      </c>
    </row>
    <row r="4772">
      <c r="A4772" s="5" t="s">
        <v>8330</v>
      </c>
      <c r="B4772" s="5" t="s">
        <v>8331</v>
      </c>
      <c r="C4772" s="5" t="str">
        <f>IFERROR(__xludf.DUMMYFUNCTION("GOOGLETRANSLATE(A4772,""en"",""hy"")"),"Ո՞րն է Միացյալ Նահանգների ազգային ծաղիկը:")</f>
        <v>Ո՞րն է Միացյալ Նահանգների ազգային ծաղիկը:</v>
      </c>
      <c r="D4772" s="6" t="str">
        <f>IFERROR(__xludf.DUMMYFUNCTION("GOOGLETRANSLATE(B4772,""en"",""hy"")"),"Միացյալ Նահանգների ազգային ծաղիկը վարդն է։")</f>
        <v>Միացյալ Նահանգների ազգային ծաղիկը վարդն է։</v>
      </c>
    </row>
    <row r="4773">
      <c r="A4773" s="5" t="s">
        <v>8332</v>
      </c>
      <c r="B4773" s="5" t="s">
        <v>8333</v>
      </c>
      <c r="C4773" s="5" t="str">
        <f>IFERROR(__xludf.DUMMYFUNCTION("GOOGLETRANSLATE(A4773,""en"",""hy"")"),"Քանի՞ լար ունի ստանդարտ կիթառը:")</f>
        <v>Քանի՞ լար ունի ստանդարտ կիթառը:</v>
      </c>
      <c r="D4773" s="6" t="str">
        <f>IFERROR(__xludf.DUMMYFUNCTION("GOOGLETRANSLATE(B4773,""en"",""hy"")"),"Ստանդարտ կիթառն ունի վեց լար:")</f>
        <v>Ստանդարտ կիթառն ունի վեց լար:</v>
      </c>
    </row>
    <row r="4774">
      <c r="A4774" s="5" t="s">
        <v>8264</v>
      </c>
      <c r="B4774" s="5" t="s">
        <v>7621</v>
      </c>
      <c r="C4774" s="5" t="str">
        <f>IFERROR(__xludf.DUMMYFUNCTION("GOOGLETRANSLATE(A4774,""en"",""hy"")"),"Ո՞վ է նկարել հայտնի «Վեներայի ծնունդը» ստեղծագործությունը:")</f>
        <v>Ո՞վ է նկարել հայտնի «Վեներայի ծնունդը» ստեղծագործությունը:</v>
      </c>
      <c r="D4774" s="6" t="str">
        <f>IFERROR(__xludf.DUMMYFUNCTION("GOOGLETRANSLATE(B4774,""en"",""hy"")"),"Սանդրո Բոտիչելի.")</f>
        <v>Սանդրո Բոտիչելի.</v>
      </c>
    </row>
    <row r="4775">
      <c r="A4775" s="5" t="s">
        <v>8140</v>
      </c>
      <c r="B4775" s="5" t="s">
        <v>7343</v>
      </c>
      <c r="C4775" s="5" t="str">
        <f>IFERROR(__xludf.DUMMYFUNCTION("GOOGLETRANSLATE(A4775,""en"",""hy"")"),"Ո՞րն է Եվրոպայի ամենամեծ երկիրը:")</f>
        <v>Ո՞րն է Եվրոպայի ամենամեծ երկիրը:</v>
      </c>
      <c r="D4775" s="6" t="str">
        <f>IFERROR(__xludf.DUMMYFUNCTION("GOOGLETRANSLATE(B4775,""en"",""hy"")"),"Ռուսաստան.")</f>
        <v>Ռուսաստան.</v>
      </c>
    </row>
    <row r="4776">
      <c r="A4776" s="5" t="s">
        <v>8334</v>
      </c>
      <c r="B4776" s="5" t="s">
        <v>7972</v>
      </c>
      <c r="C4776" s="5" t="str">
        <f>IFERROR(__xludf.DUMMYFUNCTION("GOOGLETRANSLATE(A4776,""en"",""hy"")"),"Ո՞ր երկիրն է հայտնի իր հայտնի աշտարակով՝ Էյֆելյան աշտարակով:")</f>
        <v>Ո՞ր երկիրն է հայտնի իր հայտնի աշտարակով՝ Էյֆելյան աշտարակով:</v>
      </c>
      <c r="D4776" s="6" t="str">
        <f>IFERROR(__xludf.DUMMYFUNCTION("GOOGLETRANSLATE(B4776,""en"",""hy"")"),"Ֆրանսիա.")</f>
        <v>Ֆրանսիա.</v>
      </c>
    </row>
    <row r="4777">
      <c r="A4777" s="5" t="s">
        <v>8263</v>
      </c>
      <c r="B4777" s="5" t="s">
        <v>7613</v>
      </c>
      <c r="C4777" s="5" t="str">
        <f>IFERROR(__xludf.DUMMYFUNCTION("GOOGLETRANSLATE(A4777,""en"",""hy"")"),"Ո՞վ է «Մեծն Գեթսբի» գրքի հեղինակը.")</f>
        <v>Ո՞վ է «Մեծն Գեթսբի» գրքի հեղինակը.</v>
      </c>
      <c r="D4777" s="6" t="str">
        <f>IFERROR(__xludf.DUMMYFUNCTION("GOOGLETRANSLATE(B4777,""en"",""hy"")"),"F. Scott Fitzgerald")</f>
        <v>F. Scott Fitzgerald</v>
      </c>
    </row>
    <row r="4778">
      <c r="A4778" s="5" t="s">
        <v>7809</v>
      </c>
      <c r="B4778" s="5" t="s">
        <v>8061</v>
      </c>
      <c r="C4778" s="5" t="str">
        <f>IFERROR(__xludf.DUMMYFUNCTION("GOOGLETRANSLATE(A4778,""en"",""hy"")"),"Ո՞րն է հելիումի քիմիական նշանը:")</f>
        <v>Ո՞րն է հելիումի քիմիական նշանը:</v>
      </c>
      <c r="D4778" s="6" t="str">
        <f>IFERROR(__xludf.DUMMYFUNCTION("GOOGLETRANSLATE(B4778,""en"",""hy"")"),"Հելիումի քիմիական նշանը Նա է:")</f>
        <v>Հելիումի քիմիական նշանը Նա է:</v>
      </c>
    </row>
    <row r="4779">
      <c r="A4779" s="5" t="s">
        <v>8198</v>
      </c>
      <c r="B4779" s="5" t="s">
        <v>8199</v>
      </c>
      <c r="C4779" s="5" t="str">
        <f>IFERROR(__xludf.DUMMYFUNCTION("GOOGLETRANSLATE(A4779,""en"",""hy"")"),"Ո՞րն է Չինաստանի ազգային կենդանին:")</f>
        <v>Ո՞րն է Չինաստանի ազգային կենդանին:</v>
      </c>
      <c r="D4779" s="6" t="str">
        <f>IFERROR(__xludf.DUMMYFUNCTION("GOOGLETRANSLATE(B4779,""en"",""hy"")"),"Չինաստանի ազգային կենդանին հսկա պանդան է։")</f>
        <v>Չինաստանի ազգային կենդանին հսկա պանդան է։</v>
      </c>
    </row>
    <row r="4780">
      <c r="A4780" s="5" t="s">
        <v>8335</v>
      </c>
      <c r="B4780" s="5" t="s">
        <v>8323</v>
      </c>
      <c r="C4780" s="5" t="str">
        <f>IFERROR(__xludf.DUMMYFUNCTION("GOOGLETRANSLATE(A4780,""en"",""hy"")"),"Ո՞ր մոլորակն է հայտնի որպես Արեգակնային համակարգի գոհար:")</f>
        <v>Ո՞ր մոլորակն է հայտնի որպես Արեգակնային համակարգի գոհար:</v>
      </c>
      <c r="D4780" s="6" t="str">
        <f>IFERROR(__xludf.DUMMYFUNCTION("GOOGLETRANSLATE(B4780,""en"",""hy"")"),"Սատուրն")</f>
        <v>Սատուրն</v>
      </c>
    </row>
    <row r="4781">
      <c r="A4781" s="5" t="s">
        <v>7450</v>
      </c>
      <c r="B4781" s="5" t="s">
        <v>7451</v>
      </c>
      <c r="C4781" s="5" t="str">
        <f>IFERROR(__xludf.DUMMYFUNCTION("GOOGLETRANSLATE(A4781,""en"",""hy"")"),"Ո՞րն է Ավստրալիայի մայրաքաղաքը:")</f>
        <v>Ո՞րն է Ավստրալիայի մայրաքաղաքը:</v>
      </c>
      <c r="D4781" s="6" t="str">
        <f>IFERROR(__xludf.DUMMYFUNCTION("GOOGLETRANSLATE(B4781,""en"",""hy"")"),"Կանբերա.")</f>
        <v>Կանբերա.</v>
      </c>
    </row>
    <row r="4782">
      <c r="A4782" s="5" t="s">
        <v>7447</v>
      </c>
      <c r="B4782" s="5" t="s">
        <v>7448</v>
      </c>
      <c r="C4782" s="5" t="str">
        <f>IFERROR(__xludf.DUMMYFUNCTION("GOOGLETRANSLATE(A4782,""en"",""hy"")"),"Ո՞վ է նկարել Մոնա Լիզան:")</f>
        <v>Ո՞վ է նկարել Մոնա Լիզան:</v>
      </c>
      <c r="D4782" s="6" t="str">
        <f>IFERROR(__xludf.DUMMYFUNCTION("GOOGLETRANSLATE(B4782,""en"",""hy"")"),"Լեոնարդո դա Վինչի.")</f>
        <v>Լեոնարդո դա Վինչի.</v>
      </c>
    </row>
    <row r="4783">
      <c r="A4783" s="5" t="s">
        <v>7461</v>
      </c>
      <c r="B4783" s="5" t="s">
        <v>7639</v>
      </c>
      <c r="C4783" s="5" t="str">
        <f>IFERROR(__xludf.DUMMYFUNCTION("GOOGLETRANSLATE(A4783,""en"",""hy"")"),"Ո՞րն է մարդու մարմնի ամենամեծ օրգանը:")</f>
        <v>Ո՞րն է մարդու մարմնի ամենամեծ օրգանը:</v>
      </c>
      <c r="D4783" s="6" t="str">
        <f>IFERROR(__xludf.DUMMYFUNCTION("GOOGLETRANSLATE(B4783,""en"",""hy"")"),"Մարդու մարմնի ամենամեծ օրգանը մաշկն է։")</f>
        <v>Մարդու մարմնի ամենամեծ օրգանը մաշկն է։</v>
      </c>
    </row>
    <row r="4784">
      <c r="A4784" s="5" t="s">
        <v>7779</v>
      </c>
      <c r="B4784" s="5" t="s">
        <v>7446</v>
      </c>
      <c r="C4784" s="5" t="str">
        <f>IFERROR(__xludf.DUMMYFUNCTION("GOOGLETRANSLATE(A4784,""en"",""hy"")"),"Ո՞ր մոլորակն է հայտնի որպես «Կարմիր մոլորակ»:")</f>
        <v>Ո՞ր մոլորակն է հայտնի որպես «Կարմիր մոլորակ»:</v>
      </c>
      <c r="D4784" s="6" t="str">
        <f>IFERROR(__xludf.DUMMYFUNCTION("GOOGLETRANSLATE(B4784,""en"",""hy"")"),"Մարս.")</f>
        <v>Մարս.</v>
      </c>
    </row>
    <row r="4785">
      <c r="A4785" s="5" t="s">
        <v>7698</v>
      </c>
      <c r="B4785" s="5" t="s">
        <v>7630</v>
      </c>
      <c r="C4785" s="5" t="str">
        <f>IFERROR(__xludf.DUMMYFUNCTION("GOOGLETRANSLATE(A4785,""en"",""hy"")"),"Ո՞վ է գրել «Հպարտություն և նախապաշարմունք» վեպը:")</f>
        <v>Ո՞վ է գրել «Հպարտություն և նախապաշարմունք» վեպը:</v>
      </c>
      <c r="D4785" s="6" t="str">
        <f>IFERROR(__xludf.DUMMYFUNCTION("GOOGLETRANSLATE(B4785,""en"",""hy"")"),"Ջեյն Օսթին.")</f>
        <v>Ջեյն Օսթին.</v>
      </c>
    </row>
    <row r="4786">
      <c r="A4786" s="5" t="s">
        <v>7463</v>
      </c>
      <c r="B4786" s="5" t="s">
        <v>7464</v>
      </c>
      <c r="C4786" s="5" t="str">
        <f>IFERROR(__xludf.DUMMYFUNCTION("GOOGLETRANSLATE(A4786,""en"",""hy"")"),"Ո՞րն է աշխարհի ամենաբարձր լեռը:")</f>
        <v>Ո՞րն է աշխարհի ամենաբարձր լեռը:</v>
      </c>
      <c r="D4786" s="6" t="str">
        <f>IFERROR(__xludf.DUMMYFUNCTION("GOOGLETRANSLATE(B4786,""en"",""hy"")"),"Էվերեստ լեռ.")</f>
        <v>Էվերեստ լեռ.</v>
      </c>
    </row>
    <row r="4787">
      <c r="A4787" s="5" t="s">
        <v>7452</v>
      </c>
      <c r="B4787" s="5" t="s">
        <v>7631</v>
      </c>
      <c r="C4787" s="5" t="str">
        <f>IFERROR(__xludf.DUMMYFUNCTION("GOOGLETRANSLATE(A4787,""en"",""hy"")"),"Ո՞րն է ոսկու քիմիական նշանը:")</f>
        <v>Ո՞րն է ոսկու քիմիական նշանը:</v>
      </c>
      <c r="D4787" s="6" t="str">
        <f>IFERROR(__xludf.DUMMYFUNCTION("GOOGLETRANSLATE(B4787,""en"",""hy"")"),"Ավ")</f>
        <v>Ավ</v>
      </c>
    </row>
    <row r="4788">
      <c r="A4788" s="5" t="s">
        <v>7504</v>
      </c>
      <c r="B4788" s="5" t="s">
        <v>8097</v>
      </c>
      <c r="C4788" s="5" t="str">
        <f>IFERROR(__xludf.DUMMYFUNCTION("GOOGLETRANSLATE(A4788,""en"",""hy"")"),"Ո՞վ է Միացյալ Նահանգների ներկայիս նախագահը:")</f>
        <v>Ո՞վ է Միացյալ Նահանգների ներկայիս նախագահը:</v>
      </c>
      <c r="D4788" s="6" t="str">
        <f>IFERROR(__xludf.DUMMYFUNCTION("GOOGLETRANSLATE(B4788,""en"",""hy"")"),"Ջո Բայդեն")</f>
        <v>Ջո Բայդեն</v>
      </c>
    </row>
    <row r="4789">
      <c r="A4789" s="5" t="s">
        <v>7645</v>
      </c>
      <c r="B4789" s="5" t="s">
        <v>8336</v>
      </c>
      <c r="C4789" s="5" t="str">
        <f>IFERROR(__xludf.DUMMYFUNCTION("GOOGLETRANSLATE(A4789,""en"",""hy"")"),"Ո՞րն է Երկրի ամենամեծ օվկիանոսը:")</f>
        <v>Ո՞րն է Երկրի ամենամեծ օվկիանոսը:</v>
      </c>
      <c r="D4789" s="6" t="str">
        <f>IFERROR(__xludf.DUMMYFUNCTION("GOOGLETRANSLATE(B4789,""en"",""hy"")"),"Երկրի ամենամեծ օվկիանոսը Խաղաղ օվկիանոսն է։")</f>
        <v>Երկրի ամենամեծ օվկիանոսը Խաղաղ օվկիանոսն է։</v>
      </c>
    </row>
    <row r="4790">
      <c r="A4790" s="5" t="s">
        <v>7477</v>
      </c>
      <c r="B4790" s="5" t="s">
        <v>7478</v>
      </c>
      <c r="C4790" s="5" t="str">
        <f>IFERROR(__xludf.DUMMYFUNCTION("GOOGLETRANSLATE(A4790,""en"",""hy"")"),"Ո՞ր երկիրն է հայտնի որպես «Ծագող արևի երկիր»:")</f>
        <v>Ո՞ր երկիրն է հայտնի որպես «Ծագող արևի երկիր»:</v>
      </c>
      <c r="D4790" s="6" t="str">
        <f>IFERROR(__xludf.DUMMYFUNCTION("GOOGLETRANSLATE(B4790,""en"",""hy"")"),"Ճապոնիա.")</f>
        <v>Ճապոնիա.</v>
      </c>
    </row>
    <row r="4791">
      <c r="A4791" s="5" t="s">
        <v>7769</v>
      </c>
      <c r="B4791" s="5" t="s">
        <v>8110</v>
      </c>
      <c r="C4791" s="5" t="str">
        <f>IFERROR(__xludf.DUMMYFUNCTION("GOOGLETRANSLATE(A4791,""en"",""hy"")"),"Ո՞վ է Հարրի Փոթերի գրքերի շարքի հեղինակը:")</f>
        <v>Ո՞վ է Հարրի Փոթերի գրքերի շարքի հեղինակը:</v>
      </c>
      <c r="D4791" s="6" t="str">
        <f>IFERROR(__xludf.DUMMYFUNCTION("GOOGLETRANSLATE(B4791,""en"",""hy"")"),"Ջ.Կ. Ռոուլինգ")</f>
        <v>Ջ.Կ. Ռոուլինգ</v>
      </c>
    </row>
    <row r="4792">
      <c r="A4792" s="5" t="s">
        <v>8245</v>
      </c>
      <c r="B4792" s="5" t="s">
        <v>7501</v>
      </c>
      <c r="C4792" s="5" t="str">
        <f>IFERROR(__xludf.DUMMYFUNCTION("GOOGLETRANSLATE(A4792,""en"",""hy"")"),"Ո՞ր քաղաքում է գտնվում Էյֆելյան աշտարակը:")</f>
        <v>Ո՞ր քաղաքում է գտնվում Էյֆելյան աշտարակը:</v>
      </c>
      <c r="D4792" s="6" t="str">
        <f>IFERROR(__xludf.DUMMYFUNCTION("GOOGLETRANSLATE(B4792,""en"",""hy"")"),"Փարիզ.")</f>
        <v>Փարիզ.</v>
      </c>
    </row>
    <row r="4793">
      <c r="A4793" s="5" t="s">
        <v>7513</v>
      </c>
      <c r="B4793" s="5" t="s">
        <v>8337</v>
      </c>
      <c r="C4793" s="5" t="str">
        <f>IFERROR(__xludf.DUMMYFUNCTION("GOOGLETRANSLATE(A4793,""en"",""hy"")"),"Ո՞րն է աշխարհի ամենամեծ անապատը:")</f>
        <v>Ո՞րն է աշխարհի ամենամեծ անապատը:</v>
      </c>
      <c r="D4793" s="6" t="str">
        <f>IFERROR(__xludf.DUMMYFUNCTION("GOOGLETRANSLATE(B4793,""en"",""hy"")"),"Աշխարհի ամենամեծ անապատը Անտարկտիդայի անապատն է։")</f>
        <v>Աշխարհի ամենամեծ անապատը Անտարկտիդայի անապատն է։</v>
      </c>
    </row>
    <row r="4794">
      <c r="A4794" s="5" t="s">
        <v>7773</v>
      </c>
      <c r="B4794" s="5" t="s">
        <v>7774</v>
      </c>
      <c r="C4794" s="5" t="str">
        <f>IFERROR(__xludf.DUMMYFUNCTION("GOOGLETRANSLATE(A4794,""en"",""hy"")"),"Ո՞վ է հայտնաբերել պենիցիլինը:")</f>
        <v>Ո՞վ է հայտնաբերել պենիցիլինը:</v>
      </c>
      <c r="D4794" s="6" t="str">
        <f>IFERROR(__xludf.DUMMYFUNCTION("GOOGLETRANSLATE(B4794,""en"",""hy"")"),"Ալեքսանդր Ֆլեմինգը հայտնաբերել է պենիցիլին:")</f>
        <v>Ալեքսանդր Ֆլեմինգը հայտնաբերել է պենիցիլին:</v>
      </c>
    </row>
    <row r="4795">
      <c r="A4795" s="5" t="s">
        <v>8198</v>
      </c>
      <c r="B4795" s="5" t="s">
        <v>8199</v>
      </c>
      <c r="C4795" s="5" t="str">
        <f>IFERROR(__xludf.DUMMYFUNCTION("GOOGLETRANSLATE(A4795,""en"",""hy"")"),"Ո՞րն է Չինաստանի ազգային կենդանին:")</f>
        <v>Ո՞րն է Չինաստանի ազգային կենդանին:</v>
      </c>
      <c r="D4795" s="6" t="str">
        <f>IFERROR(__xludf.DUMMYFUNCTION("GOOGLETRANSLATE(B4795,""en"",""hy"")"),"Չինաստանի ազգային կենդանին հսկա պանդան է։")</f>
        <v>Չինաստանի ազգային կենդանին հսկա պանդան է։</v>
      </c>
    </row>
    <row r="4796">
      <c r="A4796" s="5" t="s">
        <v>7809</v>
      </c>
      <c r="B4796" s="5" t="s">
        <v>7810</v>
      </c>
      <c r="C4796" s="5" t="str">
        <f>IFERROR(__xludf.DUMMYFUNCTION("GOOGLETRANSLATE(A4796,""en"",""hy"")"),"Ո՞րն է հելիումի քիմիական նշանը:")</f>
        <v>Ո՞րն է հելիումի քիմիական նշանը:</v>
      </c>
      <c r="D4796" s="6" t="str">
        <f>IFERROR(__xludf.DUMMYFUNCTION("GOOGLETRANSLATE(B4796,""en"",""hy"")"),"Նա")</f>
        <v>Նա</v>
      </c>
    </row>
    <row r="4797">
      <c r="A4797" s="5" t="s">
        <v>8338</v>
      </c>
      <c r="B4797" s="5" t="s">
        <v>7556</v>
      </c>
      <c r="C4797" s="5" t="str">
        <f>IFERROR(__xludf.DUMMYFUNCTION("GOOGLETRANSLATE(A4797,""en"",""hy"")"),"Ո՞ր հայտնի գիտնականն է ձևակերպել հարաբերականության տեսությունը:")</f>
        <v>Ո՞ր հայտնի գիտնականն է ձևակերպել հարաբերականության տեսությունը:</v>
      </c>
      <c r="D4797" s="6" t="str">
        <f>IFERROR(__xludf.DUMMYFUNCTION("GOOGLETRANSLATE(B4797,""en"",""hy"")"),"Albert Einstein.")</f>
        <v>Albert Einstein.</v>
      </c>
    </row>
    <row r="4798">
      <c r="A4798" s="5" t="s">
        <v>7480</v>
      </c>
      <c r="B4798" s="5" t="s">
        <v>7481</v>
      </c>
      <c r="C4798" s="5" t="str">
        <f>IFERROR(__xludf.DUMMYFUNCTION("GOOGLETRANSLATE(A4798,""en"",""hy"")"),"Ո՞րն է Միացյալ Նահանգների ազգային թռչունը:")</f>
        <v>Ո՞րն է Միացյալ Նահանգների ազգային թռչունը:</v>
      </c>
      <c r="D4798" s="6" t="str">
        <f>IFERROR(__xludf.DUMMYFUNCTION("GOOGLETRANSLATE(B4798,""en"",""hy"")"),"Միացյալ Նահանգների ազգային թռչունը ճաղատ արծիվն է։")</f>
        <v>Միացյալ Նահանգների ազգային թռչունը ճաղատ արծիվն է։</v>
      </c>
    </row>
    <row r="4799">
      <c r="A4799" s="5" t="s">
        <v>7506</v>
      </c>
      <c r="B4799" s="5" t="s">
        <v>7507</v>
      </c>
      <c r="C4799" s="5" t="str">
        <f>IFERROR(__xludf.DUMMYFUNCTION("GOOGLETRANSLATE(A4799,""en"",""hy"")"),"Ո՞րն է աշխարհի ամենափոքր երկիրը:")</f>
        <v>Ո՞րն է աշխարհի ամենափոքր երկիրը:</v>
      </c>
      <c r="D4799" s="6" t="str">
        <f>IFERROR(__xludf.DUMMYFUNCTION("GOOGLETRANSLATE(B4799,""en"",""hy"")"),"Քաղաք Վատիկան.")</f>
        <v>Քաղաք Վատիկան.</v>
      </c>
    </row>
    <row r="4800">
      <c r="A4800" s="5" t="s">
        <v>8246</v>
      </c>
      <c r="B4800" s="5" t="s">
        <v>7492</v>
      </c>
      <c r="C4800" s="5" t="str">
        <f>IFERROR(__xludf.DUMMYFUNCTION("GOOGLETRANSLATE(A4800,""en"",""hy"")"),"Ո՞վ է նկարել հայտնի «Աստղային գիշերը» արվեստի գործը:")</f>
        <v>Ո՞վ է նկարել հայտնի «Աստղային գիշերը» արվեստի գործը:</v>
      </c>
      <c r="D4800" s="6" t="str">
        <f>IFERROR(__xludf.DUMMYFUNCTION("GOOGLETRANSLATE(B4800,""en"",""hy"")"),"Վինսենթ վան Գոգ")</f>
        <v>Վինսենթ վան Գոգ</v>
      </c>
    </row>
    <row r="4801">
      <c r="A4801" s="5" t="s">
        <v>7842</v>
      </c>
      <c r="B4801" s="5" t="s">
        <v>7671</v>
      </c>
      <c r="C4801" s="5" t="str">
        <f>IFERROR(__xludf.DUMMYFUNCTION("GOOGLETRANSLATE(A4801,""en"",""hy"")"),"Ո՞րն է աշխարհի ամենաերկար գետը:")</f>
        <v>Ո՞րն է աշխարհի ամենաերկար գետը:</v>
      </c>
      <c r="D4801" s="6" t="str">
        <f>IFERROR(__xludf.DUMMYFUNCTION("GOOGLETRANSLATE(B4801,""en"",""hy"")"),"Նեղոս գետ.")</f>
        <v>Նեղոս գետ.</v>
      </c>
    </row>
    <row r="4802">
      <c r="A4802" s="5" t="s">
        <v>7515</v>
      </c>
      <c r="B4802" s="5" t="s">
        <v>7516</v>
      </c>
      <c r="C4802" s="5" t="str">
        <f>IFERROR(__xludf.DUMMYFUNCTION("GOOGLETRANSLATE(A4802,""en"",""hy"")"),"Ո՞րն է Բրազիլիայի մայրաքաղաքը:")</f>
        <v>Ո՞րն է Բրազիլիայի մայրաքաղաքը:</v>
      </c>
      <c r="D4802" s="6" t="str">
        <f>IFERROR(__xludf.DUMMYFUNCTION("GOOGLETRANSLATE(B4802,""en"",""hy"")"),"Բրազիլիա.")</f>
        <v>Բրազիլիա.</v>
      </c>
    </row>
    <row r="4803">
      <c r="A4803" s="5" t="s">
        <v>7640</v>
      </c>
      <c r="B4803" s="5" t="s">
        <v>1016</v>
      </c>
      <c r="C4803" s="5" t="str">
        <f>IFERROR(__xludf.DUMMYFUNCTION("GOOGLETRANSLATE(A4803,""en"",""hy"")"),"Ո՞վ է գրել «Ռոմեո և Ջուլիետ» պիեսը:")</f>
        <v>Ո՞վ է գրել «Ռոմեո և Ջուլիետ» պիեսը:</v>
      </c>
      <c r="D4803" s="6" t="str">
        <f>IFERROR(__xludf.DUMMYFUNCTION("GOOGLETRANSLATE(B4803,""en"",""hy"")"),"Ուիլյամ Շեքսպիր.")</f>
        <v>Ուիլյամ Շեքսպիր.</v>
      </c>
    </row>
    <row r="4804">
      <c r="A4804" s="5" t="s">
        <v>7935</v>
      </c>
      <c r="B4804" s="5" t="s">
        <v>7936</v>
      </c>
      <c r="C4804" s="5" t="str">
        <f>IFERROR(__xludf.DUMMYFUNCTION("GOOGLETRANSLATE(A4804,""en"",""hy"")"),"Ո՞ր կենդանին է հայտնի որպես «ջունգլիների արքա»:")</f>
        <v>Ո՞ր կենդանին է հայտնի որպես «ջունգլիների արքա»:</v>
      </c>
      <c r="D4804" s="6" t="str">
        <f>IFERROR(__xludf.DUMMYFUNCTION("GOOGLETRANSLATE(B4804,""en"",""hy"")"),"Առյուծը.")</f>
        <v>Առյուծը.</v>
      </c>
    </row>
    <row r="4805">
      <c r="A4805" s="5" t="s">
        <v>8339</v>
      </c>
      <c r="B4805" s="5" t="s">
        <v>8340</v>
      </c>
      <c r="C4805" s="5" t="str">
        <f>IFERROR(__xludf.DUMMYFUNCTION("GOOGLETRANSLATE(A4805,""en"",""hy"")"),"Ո՞ր հայտնի շենքն է կառուցվել Հին Հռոմում և համարվում է աշխարհի նոր յոթ հրաշալիքներից մեկը:")</f>
        <v>Ո՞ր հայտնի շենքն է կառուցվել Հին Հռոմում և համարվում է աշխարհի նոր յոթ հրաշալիքներից մեկը:</v>
      </c>
      <c r="D4805" s="6" t="str">
        <f>IFERROR(__xludf.DUMMYFUNCTION("GOOGLETRANSLATE(B4805,""en"",""hy"")"),"Կոլիզեյը.")</f>
        <v>Կոլիզեյը.</v>
      </c>
    </row>
    <row r="4806">
      <c r="A4806" s="5" t="s">
        <v>7665</v>
      </c>
      <c r="B4806" s="5" t="s">
        <v>7781</v>
      </c>
      <c r="C4806" s="5" t="str">
        <f>IFERROR(__xludf.DUMMYFUNCTION("GOOGLETRANSLATE(A4806,""en"",""hy"")"),"Ո՞րն է նատրիումի քիմիական նշանը:")</f>
        <v>Ո՞րն է նատրիումի քիմիական նշանը:</v>
      </c>
      <c r="D4806" s="6" t="str">
        <f>IFERROR(__xludf.DUMMYFUNCTION("GOOGLETRANSLATE(B4806,""en"",""hy"")"),"Նատրիումի քիմիական նշանը Na է:")</f>
        <v>Նատրիումի քիմիական նշանը Na է:</v>
      </c>
    </row>
    <row r="4807">
      <c r="A4807" s="5" t="s">
        <v>8171</v>
      </c>
      <c r="B4807" s="5" t="s">
        <v>3535</v>
      </c>
      <c r="C4807" s="5" t="str">
        <f>IFERROR(__xludf.DUMMYFUNCTION("GOOGLETRANSLATE(A4807,""en"",""hy"")"),"Ո՞ր երկրում կգտնեք Մեծ արգելախութը:")</f>
        <v>Ո՞ր երկրում կգտնեք Մեծ արգելախութը:</v>
      </c>
      <c r="D4807" s="6" t="str">
        <f>IFERROR(__xludf.DUMMYFUNCTION("GOOGLETRANSLATE(B4807,""en"",""hy"")"),"Ավստրալիա.")</f>
        <v>Ավստրալիա.</v>
      </c>
    </row>
    <row r="4808">
      <c r="A4808" s="5" t="s">
        <v>7634</v>
      </c>
      <c r="B4808" s="5" t="s">
        <v>7635</v>
      </c>
      <c r="C4808" s="5" t="str">
        <f>IFERROR(__xludf.DUMMYFUNCTION("GOOGLETRANSLATE(A4808,""en"",""hy"")"),"Ո՞վ էր առաջին մարդը, ով ոտք դրեց լուսնի վրա:")</f>
        <v>Ո՞վ էր առաջին մարդը, ով ոտք դրեց լուսնի վրա:</v>
      </c>
      <c r="D4808" s="6" t="str">
        <f>IFERROR(__xludf.DUMMYFUNCTION("GOOGLETRANSLATE(B4808,""en"",""hy"")"),"Նիլ Արմսթրոնգ.")</f>
        <v>Նիլ Արմսթրոնգ.</v>
      </c>
    </row>
    <row r="4809">
      <c r="A4809" s="5" t="s">
        <v>8341</v>
      </c>
      <c r="B4809" s="5" t="s">
        <v>8342</v>
      </c>
      <c r="C4809" s="5" t="str">
        <f>IFERROR(__xludf.DUMMYFUNCTION("GOOGLETRANSLATE(A4809,""en"",""hy"")"),"Ո՞րն է Հնդկաստանի ամենամեծ քաղաքը:")</f>
        <v>Ո՞րն է Հնդկաստանի ամենամեծ քաղաքը:</v>
      </c>
      <c r="D4809" s="6" t="str">
        <f>IFERROR(__xludf.DUMMYFUNCTION("GOOGLETRANSLATE(B4809,""en"",""hy"")"),"Մումբայ.")</f>
        <v>Մումբայ.</v>
      </c>
    </row>
    <row r="4810">
      <c r="A4810" s="5" t="s">
        <v>7479</v>
      </c>
      <c r="B4810" s="5" t="s">
        <v>1996</v>
      </c>
      <c r="C4810" s="5" t="str">
        <f>IFERROR(__xludf.DUMMYFUNCTION("GOOGLETRANSLATE(A4810,""en"",""hy"")"),"Ո՞վ է Միացյալ Թագավորության ներկայիս վարչապետը:")</f>
        <v>Ո՞վ է Միացյալ Թագավորության ներկայիս վարչապետը:</v>
      </c>
      <c r="D4810" s="6" t="str">
        <f>IFERROR(__xludf.DUMMYFUNCTION("GOOGLETRANSLATE(B4810,""en"",""hy"")"),"Բորիս Ջոնսոն.")</f>
        <v>Բորիս Ջոնսոն.</v>
      </c>
    </row>
    <row r="4811">
      <c r="A4811" s="5" t="s">
        <v>8343</v>
      </c>
      <c r="B4811" s="5" t="s">
        <v>8344</v>
      </c>
      <c r="C4811" s="5" t="str">
        <f>IFERROR(__xludf.DUMMYFUNCTION("GOOGLETRANSLATE(A4811,""en"",""hy"")"),"Ո՞րն է Շոտլանդիայի ազգային ծաղիկը:")</f>
        <v>Ո՞րն է Շոտլանդիայի ազգային ծաղիկը:</v>
      </c>
      <c r="D4811" s="6" t="str">
        <f>IFERROR(__xludf.DUMMYFUNCTION("GOOGLETRANSLATE(B4811,""en"",""hy"")"),"Շոտլանդիայի ազգային ծաղիկը տատասկափուշն է:")</f>
        <v>Շոտլանդիայի ազգային ծաղիկը տատասկափուշն է:</v>
      </c>
    </row>
    <row r="4812">
      <c r="A4812" s="5" t="s">
        <v>8345</v>
      </c>
      <c r="B4812" s="5" t="s">
        <v>8346</v>
      </c>
      <c r="C4812" s="5" t="str">
        <f>IFERROR(__xludf.DUMMYFUNCTION("GOOGLETRANSLATE(A4812,""en"",""hy"")"),"Որտե՞ղ են առաջին անգամ անցկացվել Օլիմպիական խաղերը:")</f>
        <v>Որտե՞ղ են առաջին անգամ անցկացվել Օլիմպիական խաղերը:</v>
      </c>
      <c r="D4812" s="6" t="str">
        <f>IFERROR(__xludf.DUMMYFUNCTION("GOOGLETRANSLATE(B4812,""en"",""hy"")"),"Առաջին օլիմպիադան անցկացվել է Հունաստանի Աթենք քաղաքում։")</f>
        <v>Առաջին օլիմպիադան անցկացվել է Հունաստանի Աթենք քաղաքում։</v>
      </c>
    </row>
    <row r="4813">
      <c r="A4813" s="5" t="s">
        <v>8347</v>
      </c>
      <c r="B4813" s="5" t="s">
        <v>7496</v>
      </c>
      <c r="C4813" s="5" t="str">
        <f>IFERROR(__xludf.DUMMYFUNCTION("GOOGLETRANSLATE(A4813,""en"",""hy"")"),"Մեր Արեգակնային համակարգի ո՞ր մոլորակն է հայտնի իր գեղեցիկ օղակներով:")</f>
        <v>Մեր Արեգակնային համակարգի ո՞ր մոլորակն է հայտնի իր գեղեցիկ օղակներով:</v>
      </c>
      <c r="D4813" s="6" t="str">
        <f>IFERROR(__xludf.DUMMYFUNCTION("GOOGLETRANSLATE(B4813,""en"",""hy"")"),"Սատուրն.")</f>
        <v>Սատուրն.</v>
      </c>
    </row>
    <row r="4814">
      <c r="A4814" s="5" t="s">
        <v>7780</v>
      </c>
      <c r="B4814" s="5" t="s">
        <v>2951</v>
      </c>
      <c r="C4814" s="5" t="str">
        <f>IFERROR(__xludf.DUMMYFUNCTION("GOOGLETRANSLATE(A4814,""en"",""hy"")"),"Ո՞րն է Կանադայի մայրաքաղաքը:")</f>
        <v>Ո՞րն է Կանադայի մայրաքաղաքը:</v>
      </c>
      <c r="D4814" s="6" t="str">
        <f>IFERROR(__xludf.DUMMYFUNCTION("GOOGLETRANSLATE(B4814,""en"",""hy"")"),"Օտտավա.")</f>
        <v>Օտտավա.</v>
      </c>
    </row>
    <row r="4815">
      <c r="A4815" s="5" t="s">
        <v>7473</v>
      </c>
      <c r="B4815" s="5" t="s">
        <v>7474</v>
      </c>
      <c r="C4815" s="5" t="str">
        <f>IFERROR(__xludf.DUMMYFUNCTION("GOOGLETRANSLATE(A4815,""en"",""hy"")"),"Ո՞վ է նկարել Սիքստինյան կապելլայի առաստաղը:")</f>
        <v>Ո՞վ է նկարել Սիքստինյան կապելլայի առաստաղը:</v>
      </c>
      <c r="D4815" s="6" t="str">
        <f>IFERROR(__xludf.DUMMYFUNCTION("GOOGLETRANSLATE(B4815,""en"",""hy"")"),"Միքելանջելո.")</f>
        <v>Միքելանջելո.</v>
      </c>
    </row>
    <row r="4816">
      <c r="A4816" s="5" t="s">
        <v>7791</v>
      </c>
      <c r="B4816" s="5" t="s">
        <v>7792</v>
      </c>
      <c r="C4816" s="5" t="str">
        <f>IFERROR(__xludf.DUMMYFUNCTION("GOOGLETRANSLATE(A4816,""en"",""hy"")"),"Ո՞րն է Ավստրալիայի ազգային կենդանին:")</f>
        <v>Ո՞րն է Ավստրալիայի ազգային կենդանին:</v>
      </c>
      <c r="D4816" s="6" t="str">
        <f>IFERROR(__xludf.DUMMYFUNCTION("GOOGLETRANSLATE(B4816,""en"",""hy"")"),"Ավստրալիայի ազգային կենդանին կենգուրուն է։")</f>
        <v>Ավստրալիայի ազգային կենդանին կենգուրուն է։</v>
      </c>
    </row>
    <row r="4817">
      <c r="A4817" s="5" t="s">
        <v>7592</v>
      </c>
      <c r="B4817" s="5" t="s">
        <v>7593</v>
      </c>
      <c r="C4817" s="5" t="str">
        <f>IFERROR(__xludf.DUMMYFUNCTION("GOOGLETRANSLATE(A4817,""en"",""hy"")"),"Ո՞րն է թթվածնի քիմիական նշանը:")</f>
        <v>Ո՞րն է թթվածնի քիմիական նշանը:</v>
      </c>
      <c r="D4817" s="6" t="str">
        <f>IFERROR(__xludf.DUMMYFUNCTION("GOOGLETRANSLATE(B4817,""en"",""hy"")"),"Թթվածնի քիմիական նշանը O է:")</f>
        <v>Թթվածնի քիմիական նշանը O է:</v>
      </c>
    </row>
    <row r="4818">
      <c r="A4818" s="5" t="s">
        <v>8348</v>
      </c>
      <c r="B4818" s="5" t="s">
        <v>7499</v>
      </c>
      <c r="C4818" s="5" t="str">
        <f>IFERROR(__xludf.DUMMYFUNCTION("GOOGLETRANSLATE(A4818,""en"",""hy"")"),"Ո՞վ է համարվում ժամանակակից ֆիզիկայի հայրը և ձևակերպել հարաբերականության ընդհանուր տեսությունը:")</f>
        <v>Ո՞վ է համարվում ժամանակակից ֆիզիկայի հայրը և ձևակերպել հարաբերականության ընդհանուր տեսությունը:</v>
      </c>
      <c r="D4818" s="6" t="str">
        <f>IFERROR(__xludf.DUMMYFUNCTION("GOOGLETRANSLATE(B4818,""en"",""hy"")"),"Albert Einstein")</f>
        <v>Albert Einstein</v>
      </c>
    </row>
    <row r="4819">
      <c r="A4819" s="5" t="s">
        <v>8055</v>
      </c>
      <c r="B4819" s="5" t="s">
        <v>8349</v>
      </c>
      <c r="C4819" s="5" t="str">
        <f>IFERROR(__xludf.DUMMYFUNCTION("GOOGLETRANSLATE(A4819,""en"",""hy"")"),"Ո՞րն է Ճապոնիայի ազգային սպորտը:")</f>
        <v>Ո՞րն է Ճապոնիայի ազգային սպորտը:</v>
      </c>
      <c r="D4819" s="6" t="str">
        <f>IFERROR(__xludf.DUMMYFUNCTION("GOOGLETRANSLATE(B4819,""en"",""hy"")"),"Ճապոնիայի ազգային մարզաձևը սումո ըմբշամարտն է։")</f>
        <v>Ճապոնիայի ազգային մարզաձևը սումո ըմբշամարտն է։</v>
      </c>
    </row>
    <row r="4820">
      <c r="A4820" s="5" t="s">
        <v>8023</v>
      </c>
      <c r="B4820" s="5" t="s">
        <v>8024</v>
      </c>
      <c r="C4820" s="5" t="str">
        <f>IFERROR(__xludf.DUMMYFUNCTION("GOOGLETRANSLATE(A4820,""en"",""hy"")"),"Ո՞րն է աշխարհի ամենաբարձր կենդանին:")</f>
        <v>Ո՞րն է աշխարհի ամենաբարձր կենդանին:</v>
      </c>
      <c r="D4820" s="6" t="str">
        <f>IFERROR(__xludf.DUMMYFUNCTION("GOOGLETRANSLATE(B4820,""en"",""hy"")"),"Ընձուղտը.")</f>
        <v>Ընձուղտը.</v>
      </c>
    </row>
    <row r="4821">
      <c r="A4821" s="5" t="s">
        <v>8350</v>
      </c>
      <c r="B4821" s="5" t="s">
        <v>998</v>
      </c>
      <c r="C4821" s="5" t="str">
        <f>IFERROR(__xludf.DUMMYFUNCTION("GOOGLETRANSLATE(A4821,""en"",""hy"")"),"Ո՞ր երկիրն է հայտնի իր կակաչներով և հողմաղացներով:")</f>
        <v>Ո՞ր երկիրն է հայտնի իր կակաչներով և հողմաղացներով:</v>
      </c>
      <c r="D4821" s="6" t="str">
        <f>IFERROR(__xludf.DUMMYFUNCTION("GOOGLETRANSLATE(B4821,""en"",""hy"")"),"Նիդերլանդներ.")</f>
        <v>Նիդերլանդներ.</v>
      </c>
    </row>
    <row r="4822">
      <c r="A4822" s="5" t="s">
        <v>7644</v>
      </c>
      <c r="B4822" s="5" t="s">
        <v>7541</v>
      </c>
      <c r="C4822" s="5" t="str">
        <f>IFERROR(__xludf.DUMMYFUNCTION("GOOGLETRANSLATE(A4822,""en"",""hy"")"),"Ո՞վ է «Սպանել ծաղրող թռչունին» գրքի հեղինակը.")</f>
        <v>Ո՞վ է «Սպանել ծաղրող թռչունին» գրքի հեղինակը.</v>
      </c>
      <c r="D4822" s="6" t="str">
        <f>IFERROR(__xludf.DUMMYFUNCTION("GOOGLETRANSLATE(B4822,""en"",""hy"")"),"Հարփեր Լի.")</f>
        <v>Հարփեր Լի.</v>
      </c>
    </row>
    <row r="4823">
      <c r="A4823" s="5" t="s">
        <v>7497</v>
      </c>
      <c r="B4823" s="5" t="s">
        <v>1299</v>
      </c>
      <c r="C4823" s="5" t="str">
        <f>IFERROR(__xludf.DUMMYFUNCTION("GOOGLETRANSLATE(A4823,""en"",""hy"")"),"Ո՞րն է աշխարհի ամենամեծ մայրցամաքը:")</f>
        <v>Ո՞րն է աշխարհի ամենամեծ մայրցամաքը:</v>
      </c>
      <c r="D4823" s="6" t="str">
        <f>IFERROR(__xludf.DUMMYFUNCTION("GOOGLETRANSLATE(B4823,""en"",""hy"")"),"Ասիա.")</f>
        <v>Ասիա.</v>
      </c>
    </row>
    <row r="4824">
      <c r="A4824" s="5" t="s">
        <v>7872</v>
      </c>
      <c r="B4824" s="5" t="s">
        <v>6011</v>
      </c>
      <c r="C4824" s="5" t="str">
        <f>IFERROR(__xludf.DUMMYFUNCTION("GOOGLETRANSLATE(A4824,""en"",""hy"")"),"Ո՞րն է Իսպանիայի մայրաքաղաքը:")</f>
        <v>Ո՞րն է Իսպանիայի մայրաքաղաքը:</v>
      </c>
      <c r="D4824" s="6" t="str">
        <f>IFERROR(__xludf.DUMMYFUNCTION("GOOGLETRANSLATE(B4824,""en"",""hy"")"),"Մադրիդ")</f>
        <v>Մադրիդ</v>
      </c>
    </row>
    <row r="4825">
      <c r="A4825" s="5" t="s">
        <v>8123</v>
      </c>
      <c r="B4825" s="5" t="s">
        <v>7448</v>
      </c>
      <c r="C4825" s="5" t="str">
        <f>IFERROR(__xludf.DUMMYFUNCTION("GOOGLETRANSLATE(A4825,""en"",""hy"")"),"Ո՞վ է նկարել հայտնի «Վերջին ընթրիքը» ստեղծագործությունը:")</f>
        <v>Ո՞վ է նկարել հայտնի «Վերջին ընթրիքը» ստեղծագործությունը:</v>
      </c>
      <c r="D4825" s="6" t="str">
        <f>IFERROR(__xludf.DUMMYFUNCTION("GOOGLETRANSLATE(B4825,""en"",""hy"")"),"Լեոնարդո դա Վինչի.")</f>
        <v>Լեոնարդո դա Վինչի.</v>
      </c>
    </row>
    <row r="4826">
      <c r="A4826" s="5" t="s">
        <v>8351</v>
      </c>
      <c r="B4826" s="5" t="s">
        <v>8352</v>
      </c>
      <c r="C4826" s="5" t="str">
        <f>IFERROR(__xludf.DUMMYFUNCTION("GOOGLETRANSLATE(A4826,""en"",""hy"")"),"Ո՞րն է Հնդկաստանի ազգային պտուղը:")</f>
        <v>Ո՞րն է Հնդկաստանի ազգային պտուղը:</v>
      </c>
      <c r="D4826" s="6" t="str">
        <f>IFERROR(__xludf.DUMMYFUNCTION("GOOGLETRANSLATE(B4826,""en"",""hy"")"),"Հնդկաստանի ազգային միրգը մանգոն է։")</f>
        <v>Հնդկաստանի ազգային միրգը մանգոն է։</v>
      </c>
    </row>
    <row r="4827">
      <c r="A4827" s="5" t="s">
        <v>7699</v>
      </c>
      <c r="B4827" s="5" t="s">
        <v>7700</v>
      </c>
      <c r="C4827" s="5" t="str">
        <f>IFERROR(__xludf.DUMMYFUNCTION("GOOGLETRANSLATE(A4827,""en"",""hy"")"),"Ո՞րն է ածխածնի քիմիական նշանը:")</f>
        <v>Ո՞րն է ածխածնի քիմիական նշանը:</v>
      </c>
      <c r="D4827" s="6" t="str">
        <f>IFERROR(__xludf.DUMMYFUNCTION("GOOGLETRANSLATE(B4827,""en"",""hy"")"),"Ածխածնի քիմիական նշանը C է:")</f>
        <v>Ածխածնի քիմիական նշանը C է:</v>
      </c>
    </row>
    <row r="4828">
      <c r="A4828" s="5" t="s">
        <v>8353</v>
      </c>
      <c r="B4828" s="5" t="s">
        <v>7607</v>
      </c>
      <c r="C4828" s="5" t="str">
        <f>IFERROR(__xludf.DUMMYFUNCTION("GOOGLETRANSLATE(A4828,""en"",""hy"")"),"Ո՞ր հայտնի գիտնականն է հայտնի էվոլյուցիայի իր տեսությամբ:")</f>
        <v>Ո՞ր հայտնի գիտնականն է հայտնի էվոլյուցիայի իր տեսությամբ:</v>
      </c>
      <c r="D4828" s="6" t="str">
        <f>IFERROR(__xludf.DUMMYFUNCTION("GOOGLETRANSLATE(B4828,""en"",""hy"")"),"Չարլզ Դարվին.")</f>
        <v>Չարլզ Դարվին.</v>
      </c>
    </row>
    <row r="4829">
      <c r="A4829" s="5" t="s">
        <v>8028</v>
      </c>
      <c r="B4829" s="5" t="s">
        <v>8354</v>
      </c>
      <c r="C4829" s="5" t="str">
        <f>IFERROR(__xludf.DUMMYFUNCTION("GOOGLETRANSLATE(A4829,""en"",""hy"")"),"Ո՞րն է Կանադայի ազգային սպորտը:")</f>
        <v>Ո՞րն է Կանադայի ազգային սպորտը:</v>
      </c>
      <c r="D4829" s="6" t="str">
        <f>IFERROR(__xludf.DUMMYFUNCTION("GOOGLETRANSLATE(B4829,""en"",""hy"")"),"Կանադայի ազգային սպորտաձևը հոկեյն է։")</f>
        <v>Կանադայի ազգային սպորտաձևը հոկեյն է։</v>
      </c>
    </row>
    <row r="4830">
      <c r="A4830" s="5" t="s">
        <v>7449</v>
      </c>
      <c r="B4830" s="5" t="s">
        <v>8141</v>
      </c>
      <c r="C4830" s="5" t="str">
        <f>IFERROR(__xludf.DUMMYFUNCTION("GOOGLETRANSLATE(A4830,""en"",""hy"")"),"Ո՞րն է աշխարհի ամենամեծ երկիրը ցամաքային տարածքով:")</f>
        <v>Ո՞րն է աշխարհի ամենամեծ երկիրը ցամաքային տարածքով:</v>
      </c>
      <c r="D4830" s="6" t="str">
        <f>IFERROR(__xludf.DUMMYFUNCTION("GOOGLETRANSLATE(B4830,""en"",""hy"")"),"Ռուսաստան")</f>
        <v>Ռուսաստան</v>
      </c>
    </row>
    <row r="4831">
      <c r="A4831" s="5" t="s">
        <v>7443</v>
      </c>
      <c r="B4831" s="5" t="s">
        <v>8355</v>
      </c>
      <c r="C4831" s="5" t="str">
        <f>IFERROR(__xludf.DUMMYFUNCTION("GOOGLETRANSLATE(A4831,""en"",""hy"")"),"Ո՞վ է գրել «1984» վեպը։")</f>
        <v>Ո՞վ է գրել «1984» վեպը։</v>
      </c>
      <c r="D4831" s="6" t="str">
        <f>IFERROR(__xludf.DUMMYFUNCTION("GOOGLETRANSLATE(B4831,""en"",""hy"")"),"Ջորջ Օրուել")</f>
        <v>Ջորջ Օրուել</v>
      </c>
    </row>
    <row r="4832">
      <c r="A4832" s="5" t="s">
        <v>7742</v>
      </c>
      <c r="B4832" s="5" t="s">
        <v>7743</v>
      </c>
      <c r="C4832" s="5" t="str">
        <f>IFERROR(__xludf.DUMMYFUNCTION("GOOGLETRANSLATE(A4832,""en"",""hy"")"),"Ո՞րն է օվկիանոսի ամենախոր կետը:")</f>
        <v>Ո՞րն է օվկիանոսի ամենախոր կետը:</v>
      </c>
      <c r="D4832" s="6" t="str">
        <f>IFERROR(__xludf.DUMMYFUNCTION("GOOGLETRANSLATE(B4832,""en"",""hy"")"),"Մարիանայի խրամատ.")</f>
        <v>Մարիանայի խրամատ.</v>
      </c>
    </row>
    <row r="4833">
      <c r="A4833" s="5" t="s">
        <v>7500</v>
      </c>
      <c r="B4833" s="5" t="s">
        <v>7501</v>
      </c>
      <c r="C4833" s="5" t="str">
        <f>IFERROR(__xludf.DUMMYFUNCTION("GOOGLETRANSLATE(A4833,""en"",""hy"")"),"Ո՞րն է Ֆրանսիայի մայրաքաղաքը:")</f>
        <v>Ո՞րն է Ֆրանսիայի մայրաքաղաքը:</v>
      </c>
      <c r="D4833" s="6" t="str">
        <f>IFERROR(__xludf.DUMMYFUNCTION("GOOGLETRANSLATE(B4833,""en"",""hy"")"),"Փարիզ.")</f>
        <v>Փարիզ.</v>
      </c>
    </row>
    <row r="4834">
      <c r="A4834" s="5" t="s">
        <v>8318</v>
      </c>
      <c r="B4834" s="5" t="s">
        <v>7549</v>
      </c>
      <c r="C4834" s="5" t="str">
        <f>IFERROR(__xludf.DUMMYFUNCTION("GOOGLETRANSLATE(A4834,""en"",""hy"")"),"Ո՞վ է նկարել հայտնի «Մարգարտյա ականջօղով աղջիկը» ստեղծագործությունը:")</f>
        <v>Ո՞վ է նկարել հայտնի «Մարգարտյա ականջօղով աղջիկը» ստեղծագործությունը:</v>
      </c>
      <c r="D4834" s="6" t="str">
        <f>IFERROR(__xludf.DUMMYFUNCTION("GOOGLETRANSLATE(B4834,""en"",""hy"")"),"Յոհաննես Վերմեեր.")</f>
        <v>Յոհաննես Վերմեեր.</v>
      </c>
    </row>
    <row r="4835">
      <c r="A4835" s="5" t="s">
        <v>7568</v>
      </c>
      <c r="B4835" s="5" t="s">
        <v>7569</v>
      </c>
      <c r="C4835" s="5" t="str">
        <f>IFERROR(__xludf.DUMMYFUNCTION("GOOGLETRANSLATE(A4835,""en"",""hy"")"),"Ո՞րն է Ավստրալիայի ազգային թռչունը:")</f>
        <v>Ո՞րն է Ավստրալիայի ազգային թռչունը:</v>
      </c>
      <c r="D4835" s="6" t="str">
        <f>IFERROR(__xludf.DUMMYFUNCTION("GOOGLETRANSLATE(B4835,""en"",""hy"")"),"Ավստրալիայի ազգային թռչունը էմուն է:")</f>
        <v>Ավստրալիայի ազգային թռչունը էմուն է:</v>
      </c>
    </row>
    <row r="4836">
      <c r="A4836" s="5" t="s">
        <v>7875</v>
      </c>
      <c r="B4836" s="5" t="s">
        <v>7876</v>
      </c>
      <c r="C4836" s="5" t="str">
        <f>IFERROR(__xludf.DUMMYFUNCTION("GOOGLETRANSLATE(A4836,""en"",""hy"")"),"Ո՞րն է ազոտի քիմիական նշանը:")</f>
        <v>Ո՞րն է ազոտի քիմիական նշանը:</v>
      </c>
      <c r="D4836" s="6" t="str">
        <f>IFERROR(__xludf.DUMMYFUNCTION("GOOGLETRANSLATE(B4836,""en"",""hy"")"),"Ազոտի քիմիական նշանն է N.")</f>
        <v>Ազոտի քիմիական նշանն է N.</v>
      </c>
    </row>
    <row r="4837">
      <c r="A4837" s="5" t="s">
        <v>8356</v>
      </c>
      <c r="B4837" s="5" t="s">
        <v>7956</v>
      </c>
      <c r="C4837" s="5" t="str">
        <f>IFERROR(__xludf.DUMMYFUNCTION("GOOGLETRANSLATE(A4837,""en"",""hy"")"),"Ո՞ր հայտնի գիտնականն է հայտնի գրավիտացիայի ուսումնասիրությամբ և շարժման օրենքների ձևակերպմամբ:")</f>
        <v>Ո՞ր հայտնի գիտնականն է հայտնի գրավիտացիայի ուսումնասիրությամբ և շարժման օրենքների ձևակերպմամբ:</v>
      </c>
      <c r="D4837" s="6" t="str">
        <f>IFERROR(__xludf.DUMMYFUNCTION("GOOGLETRANSLATE(B4837,""en"",""hy"")"),"Իսահակ Նյուտոն.")</f>
        <v>Իսահակ Նյուտոն.</v>
      </c>
    </row>
    <row r="4838">
      <c r="A4838" s="5" t="s">
        <v>8091</v>
      </c>
      <c r="B4838" s="5" t="s">
        <v>8092</v>
      </c>
      <c r="C4838" s="5" t="str">
        <f>IFERROR(__xludf.DUMMYFUNCTION("GOOGLETRANSLATE(A4838,""en"",""hy"")"),"Ո՞րն է Բրազիլիայի ազգային սպորտը:")</f>
        <v>Ո՞րն է Բրազիլիայի ազգային սպորտը:</v>
      </c>
      <c r="D4838" s="6" t="str">
        <f>IFERROR(__xludf.DUMMYFUNCTION("GOOGLETRANSLATE(B4838,""en"",""hy"")"),"Բրազիլիայի ազգային սպորտը ֆուտբոլն է։")</f>
        <v>Բրազիլիայի ազգային սպորտը ֆուտբոլն է։</v>
      </c>
    </row>
    <row r="4839">
      <c r="A4839" s="5" t="s">
        <v>8172</v>
      </c>
      <c r="B4839" s="5" t="s">
        <v>8357</v>
      </c>
      <c r="C4839" s="5" t="str">
        <f>IFERROR(__xludf.DUMMYFUNCTION("GOOGLETRANSLATE(A4839,""en"",""hy"")"),"Ո՞րն է աշխարհի ամենաբարձր ջրվեժը:")</f>
        <v>Ո՞րն է աշխարհի ամենաբարձր ջրվեժը:</v>
      </c>
      <c r="D4839" s="6" t="str">
        <f>IFERROR(__xludf.DUMMYFUNCTION("GOOGLETRANSLATE(B4839,""en"",""hy"")"),"Աշխարհի ամենաբարձր ջրվեժը Վենեսուելայում գտնվող Angel Falls-ն է:")</f>
        <v>Աշխարհի ամենաբարձր ջրվեժը Վենեսուելայում գտնվող Angel Falls-ն է:</v>
      </c>
    </row>
    <row r="4840">
      <c r="A4840" s="5" t="s">
        <v>8358</v>
      </c>
      <c r="B4840" s="5" t="s">
        <v>8359</v>
      </c>
      <c r="C4840" s="5" t="str">
        <f>IFERROR(__xludf.DUMMYFUNCTION("GOOGLETRANSLATE(A4840,""en"",""hy"")"),"Ո՞ր մայրցամաքն է հաճախ անվանում «քաղաքակրթության օրրան»:")</f>
        <v>Ո՞ր մայրցամաքն է հաճախ անվանում «քաղաքակրթության օրրան»:</v>
      </c>
      <c r="D4840" s="6" t="str">
        <f>IFERROR(__xludf.DUMMYFUNCTION("GOOGLETRANSLATE(B4840,""en"",""hy"")"),"Աֆրիկա.")</f>
        <v>Աֆրիկա.</v>
      </c>
    </row>
    <row r="4841">
      <c r="A4841" s="5" t="s">
        <v>8320</v>
      </c>
      <c r="B4841" s="5" t="s">
        <v>7560</v>
      </c>
      <c r="C4841" s="5" t="str">
        <f>IFERROR(__xludf.DUMMYFUNCTION("GOOGLETRANSLATE(A4841,""en"",""hy"")"),"Ո՞վ է «Աշորայի մեջ բռնողը» գրքի հեղինակը.")</f>
        <v>Ո՞վ է «Աշորայի մեջ բռնողը» գրքի հեղինակը.</v>
      </c>
      <c r="D4841" s="6" t="str">
        <f>IFERROR(__xludf.DUMMYFUNCTION("GOOGLETRANSLATE(B4841,""en"",""hy"")"),"Ջ.Դ.Սելինջեր.")</f>
        <v>Ջ.Դ.Սելինջեր.</v>
      </c>
    </row>
    <row r="4842">
      <c r="A4842" s="5" t="s">
        <v>8254</v>
      </c>
      <c r="B4842" s="5" t="s">
        <v>3535</v>
      </c>
      <c r="C4842" s="5" t="str">
        <f>IFERROR(__xludf.DUMMYFUNCTION("GOOGLETRANSLATE(A4842,""en"",""hy"")"),"Ո՞րն է աշխարհի ամենափոքր մայրցամաքը:")</f>
        <v>Ո՞րն է աշխարհի ամենափոքր մայրցամաքը:</v>
      </c>
      <c r="D4842" s="6" t="str">
        <f>IFERROR(__xludf.DUMMYFUNCTION("GOOGLETRANSLATE(B4842,""en"",""hy"")"),"Ավստրալիա.")</f>
        <v>Ավստրալիա.</v>
      </c>
    </row>
    <row r="4843">
      <c r="A4843" s="5" t="s">
        <v>7589</v>
      </c>
      <c r="B4843" s="5" t="s">
        <v>7545</v>
      </c>
      <c r="C4843" s="5" t="str">
        <f>IFERROR(__xludf.DUMMYFUNCTION("GOOGLETRANSLATE(A4843,""en"",""hy"")"),"Ո՞րն է Իտալիայի մայրաքաղաքը:")</f>
        <v>Ո՞րն է Իտալիայի մայրաքաղաքը:</v>
      </c>
      <c r="D4843" s="6" t="str">
        <f>IFERROR(__xludf.DUMMYFUNCTION("GOOGLETRANSLATE(B4843,""en"",""hy"")"),"Հռոմ.")</f>
        <v>Հռոմ.</v>
      </c>
    </row>
    <row r="4844">
      <c r="A4844" s="5" t="s">
        <v>7744</v>
      </c>
      <c r="B4844" s="5" t="s">
        <v>8218</v>
      </c>
      <c r="C4844" s="5" t="str">
        <f>IFERROR(__xludf.DUMMYFUNCTION("GOOGLETRANSLATE(A4844,""en"",""hy"")"),"Ո՞վ է նկարել հայտնի «Հիշողության համառությունը» ստեղծագործությունը:")</f>
        <v>Ո՞վ է նկարել հայտնի «Հիշողության համառությունը» ստեղծագործությունը:</v>
      </c>
      <c r="D4844" s="6" t="str">
        <f>IFERROR(__xludf.DUMMYFUNCTION("GOOGLETRANSLATE(B4844,""en"",""hy"")"),"Սալվադոր Դալի")</f>
        <v>Սալվադոր Դալի</v>
      </c>
    </row>
    <row r="4845">
      <c r="A4845" s="5" t="s">
        <v>7817</v>
      </c>
      <c r="B4845" s="5" t="s">
        <v>7818</v>
      </c>
      <c r="C4845" s="5" t="str">
        <f>IFERROR(__xludf.DUMMYFUNCTION("GOOGLETRANSLATE(A4845,""en"",""hy"")"),"Ո՞րն է Կանադայի ազգային կենդանին:")</f>
        <v>Ո՞րն է Կանադայի ազգային կենդանին:</v>
      </c>
      <c r="D4845" s="6" t="str">
        <f>IFERROR(__xludf.DUMMYFUNCTION("GOOGLETRANSLATE(B4845,""en"",""hy"")"),"Կանադայի ազգային կենդանին կեղևն է:")</f>
        <v>Կանադայի ազգային կենդանին կեղևն է:</v>
      </c>
    </row>
    <row r="4846">
      <c r="A4846" s="5" t="s">
        <v>7557</v>
      </c>
      <c r="B4846" s="5" t="s">
        <v>7857</v>
      </c>
      <c r="C4846" s="5" t="str">
        <f>IFERROR(__xludf.DUMMYFUNCTION("GOOGLETRANSLATE(A4846,""en"",""hy"")"),"Ո՞րն է երկաթի քիմիական նշանը:")</f>
        <v>Ո՞րն է երկաթի քիմիական նշանը:</v>
      </c>
      <c r="D4846" s="6" t="str">
        <f>IFERROR(__xludf.DUMMYFUNCTION("GOOGLETRANSLATE(B4846,""en"",""hy"")"),"Երկաթի քիմիական նշանը Fe է:")</f>
        <v>Երկաթի քիմիական նշանը Fe է:</v>
      </c>
    </row>
    <row r="4847">
      <c r="A4847" s="5" t="s">
        <v>8360</v>
      </c>
      <c r="B4847" s="5" t="s">
        <v>7956</v>
      </c>
      <c r="C4847" s="5" t="str">
        <f>IFERROR(__xludf.DUMMYFUNCTION("GOOGLETRANSLATE(A4847,""en"",""hy"")"),"Ո՞ր հայտնի գիտնականն է հայտնի իր ձգողականության տեսությամբ և ձևակերպել է շարժման օրենքները։")</f>
        <v>Ո՞ր հայտնի գիտնականն է հայտնի իր ձգողականության տեսությամբ և ձևակերպել է շարժման օրենքները։</v>
      </c>
      <c r="D4847" s="6" t="str">
        <f>IFERROR(__xludf.DUMMYFUNCTION("GOOGLETRANSLATE(B4847,""en"",""hy"")"),"Իսահակ Նյուտոն.")</f>
        <v>Իսահակ Նյուտոն.</v>
      </c>
    </row>
    <row r="4848">
      <c r="A4848" s="5" t="s">
        <v>8044</v>
      </c>
      <c r="B4848" s="5" t="s">
        <v>8045</v>
      </c>
      <c r="C4848" s="5" t="str">
        <f>IFERROR(__xludf.DUMMYFUNCTION("GOOGLETRANSLATE(A4848,""en"",""hy"")"),"Ո՞րն է Անգլիայի ազգային սպորտը:")</f>
        <v>Ո՞րն է Անգլիայի ազգային սպորտը:</v>
      </c>
      <c r="D4848" s="6" t="str">
        <f>IFERROR(__xludf.DUMMYFUNCTION("GOOGLETRANSLATE(B4848,""en"",""hy"")"),"Անգլիայի ազգային սպորտը կրիկետն է։")</f>
        <v>Անգլիայի ազգային սպորտը կրիկետն է։</v>
      </c>
    </row>
    <row r="4849">
      <c r="A4849" s="5" t="s">
        <v>8361</v>
      </c>
      <c r="B4849" s="5" t="s">
        <v>8362</v>
      </c>
      <c r="C4849" s="5" t="str">
        <f>IFERROR(__xludf.DUMMYFUNCTION("GOOGLETRANSLATE(A4849,""en"",""hy"")"),"Ո՞րն է Հյուսիսային Ամերիկայի ամենամեծ ջրվեժը:")</f>
        <v>Ո՞րն է Հյուսիսային Ամերիկայի ամենամեծ ջրվեժը:</v>
      </c>
      <c r="D4849" s="6" t="str">
        <f>IFERROR(__xludf.DUMMYFUNCTION("GOOGLETRANSLATE(B4849,""en"",""hy"")"),"Հյուսիսային Ամերիկայի ամենամեծ ջրվեժը Նիագարայի ջրվեժն է:")</f>
        <v>Հյուսիսային Ամերիկայի ամենամեծ ջրվեժը Նիագարայի ջրվեժն է:</v>
      </c>
    </row>
    <row r="4850">
      <c r="A4850" s="5" t="s">
        <v>8363</v>
      </c>
      <c r="B4850" s="5" t="s">
        <v>8359</v>
      </c>
      <c r="C4850" s="5" t="str">
        <f>IFERROR(__xludf.DUMMYFUNCTION("GOOGLETRANSLATE(A4850,""en"",""hy"")"),"Ո՞ր մայրցամաքն է հայտնի իր բազմազան վայրի բնությամբ՝ ներառյալ փղերը, առյուծները և ընձուղտները:")</f>
        <v>Ո՞ր մայրցամաքն է հայտնի իր բազմազան վայրի բնությամբ՝ ներառյալ փղերը, առյուծները և ընձուղտները:</v>
      </c>
      <c r="D4850" s="6" t="str">
        <f>IFERROR(__xludf.DUMMYFUNCTION("GOOGLETRANSLATE(B4850,""en"",""hy"")"),"Աֆրիկա.")</f>
        <v>Աֆրիկա.</v>
      </c>
    </row>
    <row r="4851">
      <c r="A4851" s="5" t="s">
        <v>8263</v>
      </c>
      <c r="B4851" s="5" t="s">
        <v>7613</v>
      </c>
      <c r="C4851" s="5" t="str">
        <f>IFERROR(__xludf.DUMMYFUNCTION("GOOGLETRANSLATE(A4851,""en"",""hy"")"),"Ո՞վ է «Մեծն Գեթսբի» գրքի հեղինակը.")</f>
        <v>Ո՞վ է «Մեծն Գեթսբի» գրքի հեղինակը.</v>
      </c>
      <c r="D4851" s="6" t="str">
        <f>IFERROR(__xludf.DUMMYFUNCTION("GOOGLETRANSLATE(B4851,""en"",""hy"")"),"F. Scott Fitzgerald")</f>
        <v>F. Scott Fitzgerald</v>
      </c>
    </row>
    <row r="4852">
      <c r="A4852" s="5" t="s">
        <v>7536</v>
      </c>
      <c r="B4852" s="5" t="s">
        <v>8364</v>
      </c>
      <c r="C4852" s="5" t="str">
        <f>IFERROR(__xludf.DUMMYFUNCTION("GOOGLETRANSLATE(A4852,""en"",""hy"")"),"Ո՞րն է Ռուսաստանի մայրաքաղաքը:")</f>
        <v>Ո՞րն է Ռուսաստանի մայրաքաղաքը:</v>
      </c>
      <c r="D4852" s="6" t="str">
        <f>IFERROR(__xludf.DUMMYFUNCTION("GOOGLETRANSLATE(B4852,""en"",""hy"")"),"Ռուսաստանի մայրաքաղաքը Մոսկվան է։")</f>
        <v>Ռուսաստանի մայրաքաղաքը Մոսկվան է։</v>
      </c>
    </row>
    <row r="4853">
      <c r="A4853" s="5" t="s">
        <v>8264</v>
      </c>
      <c r="B4853" s="5" t="s">
        <v>7832</v>
      </c>
      <c r="C4853" s="5" t="str">
        <f>IFERROR(__xludf.DUMMYFUNCTION("GOOGLETRANSLATE(A4853,""en"",""hy"")"),"Ո՞վ է նկարել հայտնի «Վեներայի ծնունդը» ստեղծագործությունը:")</f>
        <v>Ո՞վ է նկարել հայտնի «Վեներայի ծնունդը» ստեղծագործությունը:</v>
      </c>
      <c r="D4853" s="6" t="str">
        <f>IFERROR(__xludf.DUMMYFUNCTION("GOOGLETRANSLATE(B4853,""en"",""hy"")"),"Սանդրո Բոտիչելի")</f>
        <v>Սանդրո Բոտիչելի</v>
      </c>
    </row>
    <row r="4854">
      <c r="A4854" s="5" t="s">
        <v>8177</v>
      </c>
      <c r="B4854" s="5" t="s">
        <v>8178</v>
      </c>
      <c r="C4854" s="5" t="str">
        <f>IFERROR(__xludf.DUMMYFUNCTION("GOOGLETRANSLATE(A4854,""en"",""hy"")"),"Ո՞րն է Հնդկաստանի ազգային ծաղիկը:")</f>
        <v>Ո՞րն է Հնդկաստանի ազգային ծաղիկը:</v>
      </c>
      <c r="D4854" s="6" t="str">
        <f>IFERROR(__xludf.DUMMYFUNCTION("GOOGLETRANSLATE(B4854,""en"",""hy"")"),"Հնդկաստանի ազգային ծաղիկը լոտոսն է:")</f>
        <v>Հնդկաստանի ազգային ծաղիկը լոտոսն է:</v>
      </c>
    </row>
    <row r="4855">
      <c r="A4855" s="5" t="s">
        <v>7509</v>
      </c>
      <c r="B4855" s="5" t="s">
        <v>7510</v>
      </c>
      <c r="C4855" s="5" t="str">
        <f>IFERROR(__xludf.DUMMYFUNCTION("GOOGLETRANSLATE(A4855,""en"",""hy"")"),"Ո՞րն է արծաթի քիմիական նշանը:")</f>
        <v>Ո՞րն է արծաթի քիմիական նշանը:</v>
      </c>
      <c r="D4855" s="6" t="str">
        <f>IFERROR(__xludf.DUMMYFUNCTION("GOOGLETRANSLATE(B4855,""en"",""hy"")"),"Ագ")</f>
        <v>Ագ</v>
      </c>
    </row>
    <row r="4856">
      <c r="A4856" s="5" t="s">
        <v>8365</v>
      </c>
      <c r="B4856" s="5" t="s">
        <v>8366</v>
      </c>
      <c r="C4856" s="5" t="str">
        <f>IFERROR(__xludf.DUMMYFUNCTION("GOOGLETRANSLATE(A4856,""en"",""hy"")"),"Ո՞ր հայտնի գիտնականն է հայտնի գենետիկայի ուսումնասիրությամբ և ժառանգականության օրենքների ձևակերպմամբ:")</f>
        <v>Ո՞ր հայտնի գիտնականն է հայտնի գենետիկայի ուսումնասիրությամբ և ժառանգականության օրենքների ձևակերպմամբ:</v>
      </c>
      <c r="D4856" s="6" t="str">
        <f>IFERROR(__xludf.DUMMYFUNCTION("GOOGLETRANSLATE(B4856,""en"",""hy"")"),"Գրեգոր Մենդել.")</f>
        <v>Գրեգոր Մենդել.</v>
      </c>
    </row>
    <row r="4857">
      <c r="A4857" s="5" t="s">
        <v>8079</v>
      </c>
      <c r="B4857" s="5" t="s">
        <v>8367</v>
      </c>
      <c r="C4857" s="5" t="str">
        <f>IFERROR(__xludf.DUMMYFUNCTION("GOOGLETRANSLATE(A4857,""en"",""hy"")"),"Ո՞րն է Ավստրալիայի ազգային սպորտը:")</f>
        <v>Ո՞րն է Ավստրալիայի ազգային սպորտը:</v>
      </c>
      <c r="D4857" s="6" t="str">
        <f>IFERROR(__xludf.DUMMYFUNCTION("GOOGLETRANSLATE(B4857,""en"",""hy"")"),"Ավստրալիայի ազգային մարզաձևը Australian Rules Football-ն է:")</f>
        <v>Ավստրալիայի ազգային մարզաձևը Australian Rules Football-ն է:</v>
      </c>
    </row>
    <row r="4858">
      <c r="A4858" s="5" t="s">
        <v>7489</v>
      </c>
      <c r="B4858" s="5" t="s">
        <v>8368</v>
      </c>
      <c r="C4858" s="5" t="str">
        <f>IFERROR(__xludf.DUMMYFUNCTION("GOOGLETRANSLATE(A4858,""en"",""hy"")"),"Ո՞րն է աշխարհի ամենաբարձր շենքը:")</f>
        <v>Ո՞րն է աշխարհի ամենաբարձր շենքը:</v>
      </c>
      <c r="D4858" s="6" t="str">
        <f>IFERROR(__xludf.DUMMYFUNCTION("GOOGLETRANSLATE(B4858,""en"",""hy"")"),"Բուրջ Խալիֆան ներկայումս աշխարհի ամենաբարձր շենքն է:")</f>
        <v>Բուրջ Խալիֆան ներկայումս աշխարհի ամենաբարձր շենքն է:</v>
      </c>
    </row>
    <row r="4859">
      <c r="A4859" s="5" t="s">
        <v>8369</v>
      </c>
      <c r="B4859" s="5" t="s">
        <v>717</v>
      </c>
      <c r="C4859" s="5" t="str">
        <f>IFERROR(__xludf.DUMMYFUNCTION("GOOGLETRANSLATE(A4859,""en"",""hy"")"),"Ո՞ր մայրցամաքն է հայտնի իր բուրգերով, ներառյալ Գիզայի Մեծ բուրգը:")</f>
        <v>Ո՞ր մայրցամաքն է հայտնի իր բուրգերով, ներառյալ Գիզայի Մեծ բուրգը:</v>
      </c>
      <c r="D4859" s="6" t="str">
        <f>IFERROR(__xludf.DUMMYFUNCTION("GOOGLETRANSLATE(B4859,""en"",""hy"")"),"Աֆրիկա")</f>
        <v>Աֆրիկա</v>
      </c>
    </row>
    <row r="4860">
      <c r="A4860" s="5" t="s">
        <v>8370</v>
      </c>
      <c r="B4860" s="5" t="s">
        <v>7688</v>
      </c>
      <c r="C4860" s="5" t="str">
        <f>IFERROR(__xludf.DUMMYFUNCTION("GOOGLETRANSLATE(A4860,""en"",""hy"")"),"Ո՞վ է «Մատանիների տիրակալը» գրքի հեղինակը.")</f>
        <v>Ո՞վ է «Մատանիների տիրակալը» գրքի հեղինակը.</v>
      </c>
      <c r="D4860" s="6" t="str">
        <f>IFERROR(__xludf.DUMMYFUNCTION("GOOGLETRANSLATE(B4860,""en"",""hy"")"),"Ջ.Ռ.Ռ. Թոլքինը")</f>
        <v>Ջ.Ռ.Ռ. Թոլքինը</v>
      </c>
    </row>
    <row r="4861">
      <c r="A4861" s="5" t="s">
        <v>7574</v>
      </c>
      <c r="B4861" s="5" t="s">
        <v>7525</v>
      </c>
      <c r="C4861" s="5" t="str">
        <f>IFERROR(__xludf.DUMMYFUNCTION("GOOGLETRANSLATE(A4861,""en"",""hy"")"),"Ո՞րն է Չինաստանի մայրաքաղաքը:")</f>
        <v>Ո՞րն է Չինաստանի մայրաքաղաքը:</v>
      </c>
      <c r="D4861" s="6" t="str">
        <f>IFERROR(__xludf.DUMMYFUNCTION("GOOGLETRANSLATE(B4861,""en"",""hy"")"),"Պեկին.")</f>
        <v>Պեկին.</v>
      </c>
    </row>
    <row r="4862">
      <c r="A4862" s="5" t="s">
        <v>8371</v>
      </c>
      <c r="B4862" s="5" t="s">
        <v>7474</v>
      </c>
      <c r="C4862" s="5" t="str">
        <f>IFERROR(__xludf.DUMMYFUNCTION("GOOGLETRANSLATE(A4862,""en"",""hy"")"),"Ո՞վ է նկարել հայտնի «Ադամի ստեղծումը» ստեղծագործությունը:")</f>
        <v>Ո՞վ է նկարել հայտնի «Ադամի ստեղծումը» ստեղծագործությունը:</v>
      </c>
      <c r="D4862" s="6" t="str">
        <f>IFERROR(__xludf.DUMMYFUNCTION("GOOGLETRANSLATE(B4862,""en"",""hy"")"),"Միքելանջելո.")</f>
        <v>Միքելանջելո.</v>
      </c>
    </row>
    <row r="4863">
      <c r="A4863" s="5" t="s">
        <v>8372</v>
      </c>
      <c r="B4863" s="5" t="s">
        <v>8373</v>
      </c>
      <c r="C4863" s="5" t="str">
        <f>IFERROR(__xludf.DUMMYFUNCTION("GOOGLETRANSLATE(A4863,""en"",""hy"")"),"Ո՞րն է Ճապոնիայի ազգային կենդանին:")</f>
        <v>Ո՞րն է Ճապոնիայի ազգային կենդանին:</v>
      </c>
      <c r="D4863" s="6" t="str">
        <f>IFERROR(__xludf.DUMMYFUNCTION("GOOGLETRANSLATE(B4863,""en"",""hy"")"),"Ճապոնիայի ազգային կենդանին կանաչ փասիանն է։")</f>
        <v>Ճապոնիայի ազգային կենդանին կանաչ փասիանն է։</v>
      </c>
    </row>
    <row r="4864">
      <c r="A4864" s="5" t="s">
        <v>8068</v>
      </c>
      <c r="B4864" s="5" t="s">
        <v>8374</v>
      </c>
      <c r="C4864" s="5" t="str">
        <f>IFERROR(__xludf.DUMMYFUNCTION("GOOGLETRANSLATE(A4864,""en"",""hy"")"),"Ո՞րն է պղնձի քիմիական նշանը:")</f>
        <v>Ո՞րն է պղնձի քիմիական նշանը:</v>
      </c>
      <c r="D4864" s="6" t="str">
        <f>IFERROR(__xludf.DUMMYFUNCTION("GOOGLETRANSLATE(B4864,""en"",""hy"")"),"Պղնձի քիմիական նշանը Cu-ն է։")</f>
        <v>Պղնձի քիմիական նշանը Cu-ն է։</v>
      </c>
    </row>
    <row r="4865">
      <c r="A4865" s="5" t="s">
        <v>8375</v>
      </c>
      <c r="B4865" s="5" t="s">
        <v>7556</v>
      </c>
      <c r="C4865" s="5" t="str">
        <f>IFERROR(__xludf.DUMMYFUNCTION("GOOGLETRANSLATE(A4865,""en"",""hy"")"),"Ո՞ր հայտնի գիտնականն է հայտնի իր հարաբերականության տեսությամբ և E=mc² հավասարմամբ:")</f>
        <v>Ո՞ր հայտնի գիտնականն է հայտնի իր հարաբերականության տեսությամբ և E=mc² հավասարմամբ:</v>
      </c>
      <c r="D4865" s="6" t="str">
        <f>IFERROR(__xludf.DUMMYFUNCTION("GOOGLETRANSLATE(B4865,""en"",""hy"")"),"Albert Einstein.")</f>
        <v>Albert Einstein.</v>
      </c>
    </row>
    <row r="4866">
      <c r="A4866" s="5" t="s">
        <v>8376</v>
      </c>
      <c r="B4866" s="5" t="s">
        <v>8377</v>
      </c>
      <c r="C4866" s="5" t="str">
        <f>IFERROR(__xludf.DUMMYFUNCTION("GOOGLETRANSLATE(A4866,""en"",""hy"")"),"Ո՞րն է Գերմանիայի ազգային սպորտը:")</f>
        <v>Ո՞րն է Գերմանիայի ազգային սպորտը:</v>
      </c>
      <c r="D4866" s="6" t="str">
        <f>IFERROR(__xludf.DUMMYFUNCTION("GOOGLETRANSLATE(B4866,""en"",""hy"")"),"Ֆուտբոլ.")</f>
        <v>Ֆուտբոլ.</v>
      </c>
    </row>
    <row r="4867">
      <c r="A4867" s="5" t="s">
        <v>8378</v>
      </c>
      <c r="B4867" s="5" t="s">
        <v>8379</v>
      </c>
      <c r="C4867" s="5" t="str">
        <f>IFERROR(__xludf.DUMMYFUNCTION("GOOGLETRANSLATE(A4867,""en"",""hy"")"),"Ո՞րն է աշխարհի ամենամեծ ձորը:")</f>
        <v>Ո՞րն է աշխարհի ամենամեծ ձորը:</v>
      </c>
      <c r="D4867" s="6" t="str">
        <f>IFERROR(__xludf.DUMMYFUNCTION("GOOGLETRANSLATE(B4867,""en"",""hy"")"),"Աշխարհի ամենամեծ կիրճը Գրանդ կանյոնն է։")</f>
        <v>Աշխարհի ամենամեծ կիրճը Գրանդ կանյոնն է։</v>
      </c>
    </row>
    <row r="4868">
      <c r="A4868" s="5" t="s">
        <v>8380</v>
      </c>
      <c r="B4868" s="5" t="s">
        <v>7181</v>
      </c>
      <c r="C4868" s="5" t="str">
        <f>IFERROR(__xludf.DUMMYFUNCTION("GOOGLETRANSLATE(A4868,""en"",""hy"")"),"Ո՞ր մայրցամաքն է հայտնի իր ապշեցուցիչ լողափերով, ներառյալ Մեծ արգելախութը:")</f>
        <v>Ո՞ր մայրցամաքն է հայտնի իր ապշեցուցիչ լողափերով, ներառյալ Մեծ արգելախութը:</v>
      </c>
      <c r="D4868" s="6" t="str">
        <f>IFERROR(__xludf.DUMMYFUNCTION("GOOGLETRANSLATE(B4868,""en"",""hy"")"),"Ավստրալիա")</f>
        <v>Ավստրալիա</v>
      </c>
    </row>
    <row r="4869">
      <c r="A4869" s="5" t="s">
        <v>8381</v>
      </c>
      <c r="B4869" s="5" t="s">
        <v>8382</v>
      </c>
      <c r="C4869" s="5" t="str">
        <f>IFERROR(__xludf.DUMMYFUNCTION("GOOGLETRANSLATE(A4869,""en"",""hy"")"),"Ո՞վ է «Քաջ նոր աշխարհ» գրքի հեղինակը.")</f>
        <v>Ո՞վ է «Քաջ նոր աշխարհ» գրքի հեղինակը.</v>
      </c>
      <c r="D4869" s="6" t="str">
        <f>IFERROR(__xludf.DUMMYFUNCTION("GOOGLETRANSLATE(B4869,""en"",""hy"")"),"Օլդոս Հաքսլի")</f>
        <v>Օլդոս Հաքսլի</v>
      </c>
    </row>
    <row r="4870">
      <c r="A4870" s="5" t="s">
        <v>7553</v>
      </c>
      <c r="B4870" s="5" t="s">
        <v>7554</v>
      </c>
      <c r="C4870" s="5" t="str">
        <f>IFERROR(__xludf.DUMMYFUNCTION("GOOGLETRANSLATE(A4870,""en"",""hy"")"),"Ո՞րն է Հարավային Աֆրիկայի մայրաքաղաքը:")</f>
        <v>Ո՞րն է Հարավային Աֆրիկայի մայրաքաղաքը:</v>
      </c>
      <c r="D4870" s="6" t="str">
        <f>IFERROR(__xludf.DUMMYFUNCTION("GOOGLETRANSLATE(B4870,""en"",""hy"")"),"Պրետորիա.")</f>
        <v>Պրետորիա.</v>
      </c>
    </row>
    <row r="4871">
      <c r="A4871" s="5" t="s">
        <v>8383</v>
      </c>
      <c r="B4871" s="5" t="s">
        <v>8212</v>
      </c>
      <c r="C4871" s="5" t="str">
        <f>IFERROR(__xludf.DUMMYFUNCTION("GOOGLETRANSLATE(A4871,""en"",""hy"")"),"Ո՞վ է նկարել հայտնի «Ջրաշուշաններ» ստեղծագործությունը:")</f>
        <v>Ո՞վ է նկարել հայտնի «Ջրաշուշաններ» ստեղծագործությունը:</v>
      </c>
      <c r="D4871" s="6" t="str">
        <f>IFERROR(__xludf.DUMMYFUNCTION("GOOGLETRANSLATE(B4871,""en"",""hy"")"),"Կլոդ Մոնե.")</f>
        <v>Կլոդ Մոնե.</v>
      </c>
    </row>
    <row r="4872">
      <c r="A4872" s="5" t="s">
        <v>8330</v>
      </c>
      <c r="B4872" s="5" t="s">
        <v>8331</v>
      </c>
      <c r="C4872" s="5" t="str">
        <f>IFERROR(__xludf.DUMMYFUNCTION("GOOGLETRANSLATE(A4872,""en"",""hy"")"),"Ո՞րն է Միացյալ Նահանգների ազգային ծաղիկը:")</f>
        <v>Ո՞րն է Միացյալ Նահանգների ազգային ծաղիկը:</v>
      </c>
      <c r="D4872" s="6" t="str">
        <f>IFERROR(__xludf.DUMMYFUNCTION("GOOGLETRANSLATE(B4872,""en"",""hy"")"),"Միացյալ Նահանգների ազգային ծաղիկը վարդն է։")</f>
        <v>Միացյալ Նահանգների ազգային ծաղիկը վարդն է։</v>
      </c>
    </row>
    <row r="4873">
      <c r="A4873" s="5" t="s">
        <v>8384</v>
      </c>
      <c r="B4873" s="5" t="s">
        <v>8385</v>
      </c>
      <c r="C4873" s="5" t="str">
        <f>IFERROR(__xludf.DUMMYFUNCTION("GOOGLETRANSLATE(A4873,""en"",""hy"")"),"Ո՞րն է կապարի քիմիական նշանը:")</f>
        <v>Ո՞րն է կապարի քիմիական նշանը:</v>
      </c>
      <c r="D4873" s="6" t="str">
        <f>IFERROR(__xludf.DUMMYFUNCTION("GOOGLETRANSLATE(B4873,""en"",""hy"")"),"Կապարի քիմիական նշանը Pb է:")</f>
        <v>Կապարի քիմիական նշանը Pb է:</v>
      </c>
    </row>
    <row r="4874">
      <c r="A4874" s="5" t="s">
        <v>8360</v>
      </c>
      <c r="B4874" s="5" t="s">
        <v>7956</v>
      </c>
      <c r="C4874" s="5" t="str">
        <f>IFERROR(__xludf.DUMMYFUNCTION("GOOGLETRANSLATE(A4874,""en"",""hy"")"),"Ո՞ր հայտնի գիտնականն է հայտնի իր ձգողականության տեսությամբ և ձևակերպել է շարժման օրենքները։")</f>
        <v>Ո՞ր հայտնի գիտնականն է հայտնի իր ձգողականության տեսությամբ և ձևակերպել է շարժման օրենքները։</v>
      </c>
      <c r="D4874" s="6" t="str">
        <f>IFERROR(__xludf.DUMMYFUNCTION("GOOGLETRANSLATE(B4874,""en"",""hy"")"),"Իսահակ Նյուտոն.")</f>
        <v>Իսահակ Նյուտոն.</v>
      </c>
    </row>
    <row r="4875">
      <c r="A4875" s="5" t="s">
        <v>8386</v>
      </c>
      <c r="B4875" s="5" t="s">
        <v>8387</v>
      </c>
      <c r="C4875" s="5" t="str">
        <f>IFERROR(__xludf.DUMMYFUNCTION("GOOGLETRANSLATE(A4875,""en"",""hy"")"),"Ո՞րն է Ֆրանսիայի ազգային սպորտը:")</f>
        <v>Ո՞րն է Ֆրանսիայի ազգային սպորտը:</v>
      </c>
      <c r="D4875" s="6" t="str">
        <f>IFERROR(__xludf.DUMMYFUNCTION("GOOGLETRANSLATE(B4875,""en"",""hy"")"),"Ֆրանսիայի ազգային սպորտը ֆուտբոլն է (ֆուտբոլ):")</f>
        <v>Ֆրանսիայի ազգային սպորտը ֆուտբոլն է (ֆուտբոլ):</v>
      </c>
    </row>
    <row r="4876">
      <c r="A4876" s="5" t="s">
        <v>8388</v>
      </c>
      <c r="B4876" s="5" t="s">
        <v>8389</v>
      </c>
      <c r="C4876" s="5" t="str">
        <f>IFERROR(__xludf.DUMMYFUNCTION("GOOGLETRANSLATE(A4876,""en"",""hy"")"),"Ո՞րն է աշխարհի ամենաբարձր ծառատեսակը:")</f>
        <v>Ո՞րն է աշխարհի ամենաբարձր ծառատեսակը:</v>
      </c>
      <c r="D4876" s="6" t="str">
        <f>IFERROR(__xludf.DUMMYFUNCTION("GOOGLETRANSLATE(B4876,""en"",""hy"")"),"Աշխարհի ամենաբարձր ծառատեսակը ափամերձ կարմրածայտն է (Sequoia sempervirens):")</f>
        <v>Աշխարհի ամենաբարձր ծառատեսակը ափամերձ կարմրածայտն է (Sequoia sempervirens):</v>
      </c>
    </row>
    <row r="4877">
      <c r="A4877" s="5" t="s">
        <v>8390</v>
      </c>
      <c r="B4877" s="5" t="s">
        <v>5095</v>
      </c>
      <c r="C4877" s="5" t="str">
        <f>IFERROR(__xludf.DUMMYFUNCTION("GOOGLETRANSLATE(A4877,""en"",""hy"")"),"Ո՞ր մայրցամաքն է հայտնի իր հնագույն ավերակներով, այդ թվում՝ Մաչու Պիկչուն:")</f>
        <v>Ո՞ր մայրցամաքն է հայտնի իր հնագույն ավերակներով, այդ թվում՝ Մաչու Պիկչուն:</v>
      </c>
      <c r="D4877" s="6" t="str">
        <f>IFERROR(__xludf.DUMMYFUNCTION("GOOGLETRANSLATE(B4877,""en"",""hy"")"),"Հարավային Ամերիկա")</f>
        <v>Հարավային Ամերիկա</v>
      </c>
    </row>
    <row r="4878">
      <c r="A4878" s="5" t="s">
        <v>8391</v>
      </c>
      <c r="B4878" s="5" t="s">
        <v>8392</v>
      </c>
      <c r="C4878" s="5" t="str">
        <f>IFERROR(__xludf.DUMMYFUNCTION("GOOGLETRANSLATE(A4878,""en"",""hy"")"),"Ո՞վ է «Ոդիսական» գրքի հեղինակը.")</f>
        <v>Ո՞վ է «Ոդիսական» գրքի հեղինակը.</v>
      </c>
      <c r="D4878" s="6" t="str">
        <f>IFERROR(__xludf.DUMMYFUNCTION("GOOGLETRANSLATE(B4878,""en"",""hy"")"),"«Ոդիսական» գրքի հեղինակը Հոմերն է։")</f>
        <v>«Ոդիսական» գրքի հեղինակը Հոմերն է։</v>
      </c>
    </row>
    <row r="4879">
      <c r="A4879" s="5" t="s">
        <v>7839</v>
      </c>
      <c r="B4879" s="5" t="s">
        <v>7753</v>
      </c>
      <c r="C4879" s="5" t="str">
        <f>IFERROR(__xludf.DUMMYFUNCTION("GOOGLETRANSLATE(A4879,""en"",""hy"")"),"Ո՞րն է Ճապոնիայի մայրաքաղաքը:")</f>
        <v>Ո՞րն է Ճապոնիայի մայրաքաղաքը:</v>
      </c>
      <c r="D4879" s="6" t="str">
        <f>IFERROR(__xludf.DUMMYFUNCTION("GOOGLETRANSLATE(B4879,""en"",""hy"")"),"Տոկիո.")</f>
        <v>Տոկիո.</v>
      </c>
    </row>
    <row r="4880">
      <c r="A4880" s="5" t="s">
        <v>8275</v>
      </c>
      <c r="B4880" s="5" t="s">
        <v>7549</v>
      </c>
      <c r="C4880" s="5" t="str">
        <f>IFERROR(__xludf.DUMMYFUNCTION("GOOGLETRANSLATE(A4880,""en"",""hy"")"),"Ո՞վ է նկարել հայտնի «Մարգարտյա ականջօղով աղջիկը» ստեղծագործությունը:")</f>
        <v>Ո՞վ է նկարել հայտնի «Մարգարտյա ականջօղով աղջիկը» ստեղծագործությունը:</v>
      </c>
      <c r="D4880" s="6" t="str">
        <f>IFERROR(__xludf.DUMMYFUNCTION("GOOGLETRANSLATE(B4880,""en"",""hy"")"),"Յոհաննես Վերմեեր.")</f>
        <v>Յոհաննես Վերմեեր.</v>
      </c>
    </row>
    <row r="4881">
      <c r="A4881" s="5" t="s">
        <v>7632</v>
      </c>
      <c r="B4881" s="5" t="s">
        <v>7633</v>
      </c>
      <c r="C4881" s="5" t="str">
        <f>IFERROR(__xludf.DUMMYFUNCTION("GOOGLETRANSLATE(A4881,""en"",""hy"")"),"Ո՞րն է մեր արեգակնային համակարգի ամենամեծ մոլորակը:")</f>
        <v>Ո՞րն է մեր արեգակնային համակարգի ամենամեծ մոլորակը:</v>
      </c>
      <c r="D4881" s="6" t="str">
        <f>IFERROR(__xludf.DUMMYFUNCTION("GOOGLETRANSLATE(B4881,""en"",""hy"")"),"Յուպիտեր.")</f>
        <v>Յուպիտեր.</v>
      </c>
    </row>
    <row r="4882">
      <c r="A4882" s="5" t="s">
        <v>7640</v>
      </c>
      <c r="B4882" s="5" t="s">
        <v>1016</v>
      </c>
      <c r="C4882" s="5" t="str">
        <f>IFERROR(__xludf.DUMMYFUNCTION("GOOGLETRANSLATE(A4882,""en"",""hy"")"),"Ո՞վ է գրել «Ռոմեո և Ջուլիետ» պիեսը:")</f>
        <v>Ո՞վ է գրել «Ռոմեո և Ջուլիետ» պիեսը:</v>
      </c>
      <c r="D4882" s="6" t="str">
        <f>IFERROR(__xludf.DUMMYFUNCTION("GOOGLETRANSLATE(B4882,""en"",""hy"")"),"Ուիլյամ Շեքսպիր.")</f>
        <v>Ուիլյամ Շեքսպիր.</v>
      </c>
    </row>
    <row r="4883">
      <c r="A4883" s="5" t="s">
        <v>7452</v>
      </c>
      <c r="B4883" s="5" t="s">
        <v>7631</v>
      </c>
      <c r="C4883" s="5" t="str">
        <f>IFERROR(__xludf.DUMMYFUNCTION("GOOGLETRANSLATE(A4883,""en"",""hy"")"),"Ո՞րն է ոսկու քիմիական նշանը:")</f>
        <v>Ո՞րն է ոսկու քիմիական նշանը:</v>
      </c>
      <c r="D4883" s="6" t="str">
        <f>IFERROR(__xludf.DUMMYFUNCTION("GOOGLETRANSLATE(B4883,""en"",""hy"")"),"Ավ")</f>
        <v>Ավ</v>
      </c>
    </row>
    <row r="4884">
      <c r="A4884" s="5" t="s">
        <v>7450</v>
      </c>
      <c r="B4884" s="5" t="s">
        <v>7451</v>
      </c>
      <c r="C4884" s="5" t="str">
        <f>IFERROR(__xludf.DUMMYFUNCTION("GOOGLETRANSLATE(A4884,""en"",""hy"")"),"Ո՞րն է Ավստրալիայի մայրաքաղաքը:")</f>
        <v>Ո՞րն է Ավստրալիայի մայրաքաղաքը:</v>
      </c>
      <c r="D4884" s="6" t="str">
        <f>IFERROR(__xludf.DUMMYFUNCTION("GOOGLETRANSLATE(B4884,""en"",""hy"")"),"Կանբերա.")</f>
        <v>Կանբերա.</v>
      </c>
    </row>
    <row r="4885">
      <c r="A4885" s="5" t="s">
        <v>7915</v>
      </c>
      <c r="B4885" s="5" t="s">
        <v>7916</v>
      </c>
      <c r="C4885" s="5" t="str">
        <f>IFERROR(__xludf.DUMMYFUNCTION("GOOGLETRANSLATE(A4885,""en"",""hy"")"),"Քանի՞ ոսկոր կա մարդու մարմնում:")</f>
        <v>Քանի՞ ոսկոր կա մարդու մարմնում:</v>
      </c>
      <c r="D4885" s="6" t="str">
        <f>IFERROR(__xludf.DUMMYFUNCTION("GOOGLETRANSLATE(B4885,""en"",""hy"")"),"Մարդու մարմնում կա 206 ոսկոր։")</f>
        <v>Մարդու մարմնում կա 206 ոսկոր։</v>
      </c>
    </row>
    <row r="4886">
      <c r="A4886" s="5" t="s">
        <v>7447</v>
      </c>
      <c r="B4886" s="5" t="s">
        <v>7448</v>
      </c>
      <c r="C4886" s="5" t="str">
        <f>IFERROR(__xludf.DUMMYFUNCTION("GOOGLETRANSLATE(A4886,""en"",""hy"")"),"Ո՞վ է նկարել Մոնա Լիզան:")</f>
        <v>Ո՞վ է նկարել Մոնա Լիզան:</v>
      </c>
      <c r="D4886" s="6" t="str">
        <f>IFERROR(__xludf.DUMMYFUNCTION("GOOGLETRANSLATE(B4886,""en"",""hy"")"),"Լեոնարդո դա Վինչի.")</f>
        <v>Լեոնարդո դա Վինչի.</v>
      </c>
    </row>
    <row r="4887">
      <c r="A4887" s="5" t="s">
        <v>7463</v>
      </c>
      <c r="B4887" s="5" t="s">
        <v>7464</v>
      </c>
      <c r="C4887" s="5" t="str">
        <f>IFERROR(__xludf.DUMMYFUNCTION("GOOGLETRANSLATE(A4887,""en"",""hy"")"),"Ո՞րն է աշխարհի ամենաբարձր լեռը:")</f>
        <v>Ո՞րն է աշխարհի ամենաբարձր լեռը:</v>
      </c>
      <c r="D4887" s="6" t="str">
        <f>IFERROR(__xludf.DUMMYFUNCTION("GOOGLETRANSLATE(B4887,""en"",""hy"")"),"Էվերեստ լեռ.")</f>
        <v>Էվերեստ լեռ.</v>
      </c>
    </row>
    <row r="4888">
      <c r="A4888" s="5" t="s">
        <v>8393</v>
      </c>
      <c r="B4888" s="5" t="s">
        <v>8394</v>
      </c>
      <c r="C4888" s="5" t="str">
        <f>IFERROR(__xludf.DUMMYFUNCTION("GOOGLETRANSLATE(A4888,""en"",""hy"")"),"Քանի՞ մայրցամաք կա Երկրի վրա:")</f>
        <v>Քանի՞ մայրցամաք կա Երկրի վրա:</v>
      </c>
      <c r="D4888" s="6" t="str">
        <f>IFERROR(__xludf.DUMMYFUNCTION("GOOGLETRANSLATE(B4888,""en"",""hy"")"),"Երկրի վրա կան յոթ մայրցամաքներ:")</f>
        <v>Երկրի վրա կան յոթ մայրցամաքներ:</v>
      </c>
    </row>
    <row r="4889">
      <c r="A4889" s="5" t="s">
        <v>7467</v>
      </c>
      <c r="B4889" s="5" t="s">
        <v>7766</v>
      </c>
      <c r="C4889" s="5" t="str">
        <f>IFERROR(__xludf.DUMMYFUNCTION("GOOGLETRANSLATE(A4889,""en"",""hy"")"),"Ո՞րն է Ճապոնիայի արժույթը:")</f>
        <v>Ո՞րն է Ճապոնիայի արժույթը:</v>
      </c>
      <c r="D4889" s="6" t="str">
        <f>IFERROR(__xludf.DUMMYFUNCTION("GOOGLETRANSLATE(B4889,""en"",""hy"")"),"Ճապոնիայի արժույթը ճապոնական իենն է։")</f>
        <v>Ճապոնիայի արժույթը ճապոնական իենն է։</v>
      </c>
    </row>
    <row r="4890">
      <c r="A4890" s="5" t="s">
        <v>7572</v>
      </c>
      <c r="B4890" s="5" t="s">
        <v>7573</v>
      </c>
      <c r="C4890" s="5" t="str">
        <f>IFERROR(__xludf.DUMMYFUNCTION("GOOGLETRANSLATE(A4890,""en"",""hy"")"),"Ո՞վ է հորինել լամպը:")</f>
        <v>Ո՞վ է հորինել լամպը:</v>
      </c>
      <c r="D4890" s="6" t="str">
        <f>IFERROR(__xludf.DUMMYFUNCTION("GOOGLETRANSLATE(B4890,""en"",""hy"")"),"Թոմաս Էդիսոն.")</f>
        <v>Թոմաս Էդիսոն.</v>
      </c>
    </row>
    <row r="4891">
      <c r="A4891" s="5" t="s">
        <v>7645</v>
      </c>
      <c r="B4891" s="5" t="s">
        <v>7775</v>
      </c>
      <c r="C4891" s="5" t="str">
        <f>IFERROR(__xludf.DUMMYFUNCTION("GOOGLETRANSLATE(A4891,""en"",""hy"")"),"Ո՞րն է Երկրի ամենամեծ օվկիանոսը:")</f>
        <v>Ո՞րն է Երկրի ամենամեծ օվկիանոսը:</v>
      </c>
      <c r="D4891" s="6" t="str">
        <f>IFERROR(__xludf.DUMMYFUNCTION("GOOGLETRANSLATE(B4891,""en"",""hy"")"),"Խաղաղ օվկիանոսը Երկրի ամենամեծ օվկիանոսն է։")</f>
        <v>Խաղաղ օվկիանոսը Երկրի ամենամեծ օվկիանոսն է։</v>
      </c>
    </row>
    <row r="4892">
      <c r="A4892" s="5" t="s">
        <v>7780</v>
      </c>
      <c r="B4892" s="5" t="s">
        <v>2951</v>
      </c>
      <c r="C4892" s="5" t="str">
        <f>IFERROR(__xludf.DUMMYFUNCTION("GOOGLETRANSLATE(A4892,""en"",""hy"")"),"Ո՞րն է Կանադայի մայրաքաղաքը:")</f>
        <v>Ո՞րն է Կանադայի մայրաքաղաքը:</v>
      </c>
      <c r="D4892" s="6" t="str">
        <f>IFERROR(__xludf.DUMMYFUNCTION("GOOGLETRANSLATE(B4892,""en"",""hy"")"),"Օտտավա.")</f>
        <v>Օտտավա.</v>
      </c>
    </row>
    <row r="4893">
      <c r="A4893" s="5" t="s">
        <v>8395</v>
      </c>
      <c r="B4893" s="5" t="s">
        <v>8396</v>
      </c>
      <c r="C4893" s="5" t="str">
        <f>IFERROR(__xludf.DUMMYFUNCTION("GOOGLETRANSLATE(A4893,""en"",""hy"")"),"Ո՞րն է ջրի քիմիական նշանը:")</f>
        <v>Ո՞րն է ջրի քիմիական նշանը:</v>
      </c>
      <c r="D4893" s="6" t="str">
        <f>IFERROR(__xludf.DUMMYFUNCTION("GOOGLETRANSLATE(B4893,""en"",""hy"")"),"Ջրի քիմիական նշանը H2O է:")</f>
        <v>Ջրի քիմիական նշանը H2O է:</v>
      </c>
    </row>
    <row r="4894">
      <c r="A4894" s="5" t="s">
        <v>7926</v>
      </c>
      <c r="B4894" s="5" t="s">
        <v>7635</v>
      </c>
      <c r="C4894" s="5" t="str">
        <f>IFERROR(__xludf.DUMMYFUNCTION("GOOGLETRANSLATE(A4894,""en"",""hy"")"),"Ո՞վ էր առաջին մարդը, ով քայլեց լուսնի վրա:")</f>
        <v>Ո՞վ էր առաջին մարդը, ով քայլեց լուսնի վրա:</v>
      </c>
      <c r="D4894" s="6" t="str">
        <f>IFERROR(__xludf.DUMMYFUNCTION("GOOGLETRANSLATE(B4894,""en"",""hy"")"),"Նիլ Արմսթրոնգ.")</f>
        <v>Նիլ Արմսթրոնգ.</v>
      </c>
    </row>
    <row r="4895">
      <c r="A4895" s="5" t="s">
        <v>7480</v>
      </c>
      <c r="B4895" s="5" t="s">
        <v>7481</v>
      </c>
      <c r="C4895" s="5" t="str">
        <f>IFERROR(__xludf.DUMMYFUNCTION("GOOGLETRANSLATE(A4895,""en"",""hy"")"),"Ո՞րն է Միացյալ Նահանգների ազգային թռչունը:")</f>
        <v>Ո՞րն է Միացյալ Նահանգների ազգային թռչունը:</v>
      </c>
      <c r="D4895" s="6" t="str">
        <f>IFERROR(__xludf.DUMMYFUNCTION("GOOGLETRANSLATE(B4895,""en"",""hy"")"),"Միացյալ Նահանգների ազգային թռչունը ճաղատ արծիվն է։")</f>
        <v>Միացյալ Նահանգների ազգային թռչունը ճաղատ արծիվն է։</v>
      </c>
    </row>
    <row r="4896">
      <c r="A4896" s="5" t="s">
        <v>8397</v>
      </c>
      <c r="B4896" s="5" t="s">
        <v>7474</v>
      </c>
      <c r="C4896" s="5" t="str">
        <f>IFERROR(__xludf.DUMMYFUNCTION("GOOGLETRANSLATE(A4896,""en"",""hy"")"),"Ո՞վ է նկարել Սիքստինյան կապելլան:")</f>
        <v>Ո՞վ է նկարել Սիքստինյան կապելլան:</v>
      </c>
      <c r="D4896" s="6" t="str">
        <f>IFERROR(__xludf.DUMMYFUNCTION("GOOGLETRANSLATE(B4896,""en"",""hy"")"),"Միքելանջելո.")</f>
        <v>Միքելանջելո.</v>
      </c>
    </row>
    <row r="4897">
      <c r="A4897" s="5" t="s">
        <v>8398</v>
      </c>
      <c r="B4897" s="5" t="s">
        <v>8301</v>
      </c>
      <c r="C4897" s="5" t="str">
        <f>IFERROR(__xludf.DUMMYFUNCTION("GOOGLETRANSLATE(A4897,""en"",""hy"")"),"Ո՞րն է Արեգակին ամենամոտ մոլորակը:")</f>
        <v>Ո՞րն է Արեգակին ամենամոտ մոլորակը:</v>
      </c>
      <c r="D4897" s="6" t="str">
        <f>IFERROR(__xludf.DUMMYFUNCTION("GOOGLETRANSLATE(B4897,""en"",""hy"")"),"Մերկուրի.")</f>
        <v>Մերկուրի.</v>
      </c>
    </row>
    <row r="4898">
      <c r="A4898" s="5" t="s">
        <v>8399</v>
      </c>
      <c r="B4898" s="5" t="s">
        <v>7541</v>
      </c>
      <c r="C4898" s="5" t="str">
        <f>IFERROR(__xludf.DUMMYFUNCTION("GOOGLETRANSLATE(A4898,""en"",""hy"")"),"Ո՞վ է գրել «Սպանել ծաղրող թռչունին» գիրքը:")</f>
        <v>Ո՞վ է գրել «Սպանել ծաղրող թռչունին» գիրքը:</v>
      </c>
      <c r="D4898" s="6" t="str">
        <f>IFERROR(__xludf.DUMMYFUNCTION("GOOGLETRANSLATE(B4898,""en"",""hy"")"),"Հարփեր Լի.")</f>
        <v>Հարփեր Լի.</v>
      </c>
    </row>
    <row r="4899">
      <c r="A4899" s="5" t="s">
        <v>8400</v>
      </c>
      <c r="B4899" s="5" t="s">
        <v>8401</v>
      </c>
      <c r="C4899" s="5" t="str">
        <f>IFERROR(__xludf.DUMMYFUNCTION("GOOGLETRANSLATE(A4899,""en"",""hy"")"),"Ո՞րն է օվկիանոսի ամենամեծ գիշատիչը:")</f>
        <v>Ո՞րն է օվկիանոսի ամենամեծ գիշատիչը:</v>
      </c>
      <c r="D4899" s="6" t="str">
        <f>IFERROR(__xludf.DUMMYFUNCTION("GOOGLETRANSLATE(B4899,""en"",""hy"")"),"Օվկիանոսի ամենամեծ գիշատիչը սերմնահեղուկ կետն է:")</f>
        <v>Օվկիանոսի ամենամեծ գիշատիչը սերմնահեղուկ կետն է:</v>
      </c>
    </row>
    <row r="4900">
      <c r="A4900" s="5" t="s">
        <v>8172</v>
      </c>
      <c r="B4900" s="5" t="s">
        <v>7733</v>
      </c>
      <c r="C4900" s="5" t="str">
        <f>IFERROR(__xludf.DUMMYFUNCTION("GOOGLETRANSLATE(A4900,""en"",""hy"")"),"Ո՞րն է աշխարհի ամենաբարձր ջրվեժը:")</f>
        <v>Ո՞րն է աշխարհի ամենաբարձր ջրվեժը:</v>
      </c>
      <c r="D4900" s="6" t="str">
        <f>IFERROR(__xludf.DUMMYFUNCTION("GOOGLETRANSLATE(B4900,""en"",""hy"")"),"Angel Falls.")</f>
        <v>Angel Falls.</v>
      </c>
    </row>
    <row r="4901">
      <c r="A4901" s="5" t="s">
        <v>8402</v>
      </c>
      <c r="B4901" s="5" t="s">
        <v>8403</v>
      </c>
      <c r="C4901" s="5" t="str">
        <f>IFERROR(__xludf.DUMMYFUNCTION("GOOGLETRANSLATE(A4901,""en"",""hy"")"),"Քանի՞ խաղացող կա բեյսբոլի թիմում:")</f>
        <v>Քանի՞ խաղացող կա բեյսբոլի թիմում:</v>
      </c>
      <c r="D4901" s="6" t="str">
        <f>IFERROR(__xludf.DUMMYFUNCTION("GOOGLETRANSLATE(B4901,""en"",""hy"")"),"9 խաղացող.")</f>
        <v>9 խաղացող.</v>
      </c>
    </row>
    <row r="4902">
      <c r="A4902" s="5" t="s">
        <v>8404</v>
      </c>
      <c r="B4902" s="5" t="s">
        <v>8405</v>
      </c>
      <c r="C4902" s="5" t="str">
        <f>IFERROR(__xludf.DUMMYFUNCTION("GOOGLETRANSLATE(A4902,""en"",""hy"")"),"Ո՞վ էր հունական ամպրոպի աստվածը:")</f>
        <v>Ո՞վ էր հունական ամպրոպի աստվածը:</v>
      </c>
      <c r="D4902" s="6" t="str">
        <f>IFERROR(__xludf.DUMMYFUNCTION("GOOGLETRANSLATE(B4902,""en"",""hy"")"),"Զևս.")</f>
        <v>Զևս.</v>
      </c>
    </row>
    <row r="4903">
      <c r="A4903" s="5" t="s">
        <v>7515</v>
      </c>
      <c r="B4903" s="5" t="s">
        <v>7516</v>
      </c>
      <c r="C4903" s="5" t="str">
        <f>IFERROR(__xludf.DUMMYFUNCTION("GOOGLETRANSLATE(A4903,""en"",""hy"")"),"Ո՞րն է Բրազիլիայի մայրաքաղաքը:")</f>
        <v>Ո՞րն է Բրազիլիայի մայրաքաղաքը:</v>
      </c>
      <c r="D4903" s="6" t="str">
        <f>IFERROR(__xludf.DUMMYFUNCTION("GOOGLETRANSLATE(B4903,""en"",""hy"")"),"Բրազիլիա.")</f>
        <v>Բրազիլիա.</v>
      </c>
    </row>
    <row r="4904">
      <c r="A4904" s="5" t="s">
        <v>7502</v>
      </c>
      <c r="B4904" s="5" t="s">
        <v>7503</v>
      </c>
      <c r="C4904" s="5" t="str">
        <f>IFERROR(__xludf.DUMMYFUNCTION("GOOGLETRANSLATE(A4904,""en"",""hy"")"),"Քանի՞ կողմ ունի վեցանկյունը:")</f>
        <v>Քանի՞ կողմ ունի վեցանկյունը:</v>
      </c>
      <c r="D4904" s="6" t="str">
        <f>IFERROR(__xludf.DUMMYFUNCTION("GOOGLETRANSLATE(B4904,""en"",""hy"")"),"Վեցանկյունն ունի վեց կողմ:")</f>
        <v>Վեցանկյունն ունի վեց կողմ:</v>
      </c>
    </row>
    <row r="4905">
      <c r="A4905" s="5" t="s">
        <v>7534</v>
      </c>
      <c r="B4905" s="5" t="s">
        <v>7535</v>
      </c>
      <c r="C4905" s="5" t="str">
        <f>IFERROR(__xludf.DUMMYFUNCTION("GOOGLETRANSLATE(A4905,""en"",""hy"")"),"Ո՞վ է հորինել հեռախոսը:")</f>
        <v>Ո՞վ է հորինել հեռախոսը:</v>
      </c>
      <c r="D4905" s="6" t="str">
        <f>IFERROR(__xludf.DUMMYFUNCTION("GOOGLETRANSLATE(B4905,""en"",""hy"")"),"Ալեքսանդր Գրեհեմ Բել.")</f>
        <v>Ալեքսանդր Գրեհեմ Բել.</v>
      </c>
    </row>
    <row r="4906">
      <c r="A4906" s="5" t="s">
        <v>7746</v>
      </c>
      <c r="B4906" s="5" t="s">
        <v>7747</v>
      </c>
      <c r="C4906" s="5" t="str">
        <f>IFERROR(__xludf.DUMMYFUNCTION("GOOGLETRANSLATE(A4906,""en"",""hy"")"),"Ո՞րն է Աֆրիկայի ամենամեծ երկիրը:")</f>
        <v>Ո՞րն է Աֆրիկայի ամենամեծ երկիրը:</v>
      </c>
      <c r="D4906" s="6" t="str">
        <f>IFERROR(__xludf.DUMMYFUNCTION("GOOGLETRANSLATE(B4906,""en"",""hy"")"),"Ալժիր.")</f>
        <v>Ալժիր.</v>
      </c>
    </row>
    <row r="4907">
      <c r="A4907" s="5" t="s">
        <v>7557</v>
      </c>
      <c r="B4907" s="5" t="s">
        <v>7857</v>
      </c>
      <c r="C4907" s="5" t="str">
        <f>IFERROR(__xludf.DUMMYFUNCTION("GOOGLETRANSLATE(A4907,""en"",""hy"")"),"Ո՞րն է երկաթի քիմիական նշանը:")</f>
        <v>Ո՞րն է երկաթի քիմիական նշանը:</v>
      </c>
      <c r="D4907" s="6" t="str">
        <f>IFERROR(__xludf.DUMMYFUNCTION("GOOGLETRANSLATE(B4907,""en"",""hy"")"),"Երկաթի քիմիական նշանը Fe է:")</f>
        <v>Երկաթի քիմիական նշանը Fe է:</v>
      </c>
    </row>
    <row r="4908">
      <c r="A4908" s="5" t="s">
        <v>7491</v>
      </c>
      <c r="B4908" s="5" t="s">
        <v>7648</v>
      </c>
      <c r="C4908" s="5" t="str">
        <f>IFERROR(__xludf.DUMMYFUNCTION("GOOGLETRANSLATE(A4908,""en"",""hy"")"),"Ո՞վ է նկարել Աստղային գիշերը:")</f>
        <v>Ո՞վ է նկարել Աստղային գիշերը:</v>
      </c>
      <c r="D4908" s="6" t="str">
        <f>IFERROR(__xludf.DUMMYFUNCTION("GOOGLETRANSLATE(B4908,""en"",""hy"")"),"Վինսենթ վան Գոգ.")</f>
        <v>Վինսենթ վան Գոգ.</v>
      </c>
    </row>
    <row r="4909">
      <c r="A4909" s="5" t="s">
        <v>7500</v>
      </c>
      <c r="B4909" s="5" t="s">
        <v>8170</v>
      </c>
      <c r="C4909" s="5" t="str">
        <f>IFERROR(__xludf.DUMMYFUNCTION("GOOGLETRANSLATE(A4909,""en"",""hy"")"),"Ո՞րն է Ֆրանսիայի մայրաքաղաքը:")</f>
        <v>Ո՞րն է Ֆրանսիայի մայրաքաղաքը:</v>
      </c>
      <c r="D4909" s="6" t="str">
        <f>IFERROR(__xludf.DUMMYFUNCTION("GOOGLETRANSLATE(B4909,""en"",""hy"")"),"Փարիզ")</f>
        <v>Փարիզ</v>
      </c>
    </row>
    <row r="4910">
      <c r="A4910" s="5" t="s">
        <v>8181</v>
      </c>
      <c r="B4910" s="5" t="s">
        <v>8100</v>
      </c>
      <c r="C4910" s="5" t="str">
        <f>IFERROR(__xludf.DUMMYFUNCTION("GOOGLETRANSLATE(A4910,""en"",""hy"")"),"Քանի՞ մոլորակ կա մեր արեգակնային համակարգում:")</f>
        <v>Քանի՞ մոլորակ կա մեր արեգակնային համակարգում:</v>
      </c>
      <c r="D4910" s="6" t="str">
        <f>IFERROR(__xludf.DUMMYFUNCTION("GOOGLETRANSLATE(B4910,""en"",""hy"")"),"Մեր Արեգակնային համակարգում կա ութ մոլորակ:")</f>
        <v>Մեր Արեգակնային համակարգում կա ութ մոլորակ:</v>
      </c>
    </row>
    <row r="4911">
      <c r="A4911" s="5" t="s">
        <v>7561</v>
      </c>
      <c r="B4911" s="5" t="s">
        <v>7669</v>
      </c>
      <c r="C4911" s="5" t="str">
        <f>IFERROR(__xludf.DUMMYFUNCTION("GOOGLETRANSLATE(A4911,""en"",""hy"")"),"Ո՞րն է Մեքսիկայի արժույթը:")</f>
        <v>Ո՞րն է Մեքսիկայի արժույթը:</v>
      </c>
      <c r="D4911" s="6" t="str">
        <f>IFERROR(__xludf.DUMMYFUNCTION("GOOGLETRANSLATE(B4911,""en"",""hy"")"),"Մեքսիկայի արժույթը մեքսիկական պեսոն է։")</f>
        <v>Մեքսիկայի արժույթը մեքսիկական պեսոն է։</v>
      </c>
    </row>
    <row r="4912">
      <c r="A4912" s="5" t="s">
        <v>7698</v>
      </c>
      <c r="B4912" s="5" t="s">
        <v>7466</v>
      </c>
      <c r="C4912" s="5" t="str">
        <f>IFERROR(__xludf.DUMMYFUNCTION("GOOGLETRANSLATE(A4912,""en"",""hy"")"),"Ո՞վ է գրել «Հպարտություն և նախապաշարմունք» վեպը:")</f>
        <v>Ո՞վ է գրել «Հպարտություն և նախապաշարմունք» վեպը:</v>
      </c>
      <c r="D4912" s="6" t="str">
        <f>IFERROR(__xludf.DUMMYFUNCTION("GOOGLETRANSLATE(B4912,""en"",""hy"")"),"Ջեյն Օսթին")</f>
        <v>Ջեյն Օսթին</v>
      </c>
    </row>
    <row r="4913">
      <c r="A4913" s="5" t="s">
        <v>8406</v>
      </c>
      <c r="B4913" s="5" t="s">
        <v>8407</v>
      </c>
      <c r="C4913" s="5" t="str">
        <f>IFERROR(__xludf.DUMMYFUNCTION("GOOGLETRANSLATE(A4913,""en"",""hy"")"),"Ո՞րն է աշխարհի ամենամեծ կորալային խութը:")</f>
        <v>Ո՞րն է աշխարհի ամենամեծ կորալային խութը:</v>
      </c>
      <c r="D4913" s="6" t="str">
        <f>IFERROR(__xludf.DUMMYFUNCTION("GOOGLETRANSLATE(B4913,""en"",""hy"")"),"Մեծ արգելախութ.")</f>
        <v>Մեծ արգելախութ.</v>
      </c>
    </row>
    <row r="4914">
      <c r="A4914" s="5" t="s">
        <v>7493</v>
      </c>
      <c r="B4914" s="5" t="s">
        <v>7494</v>
      </c>
      <c r="C4914" s="5" t="str">
        <f>IFERROR(__xludf.DUMMYFUNCTION("GOOGLETRANSLATE(A4914,""en"",""hy"")"),"Քանի՞ տարր կա պարբերական աղյուսակում:")</f>
        <v>Քանի՞ տարր կա պարբերական աղյուսակում:</v>
      </c>
      <c r="D4914" s="6" t="str">
        <f>IFERROR(__xludf.DUMMYFUNCTION("GOOGLETRANSLATE(B4914,""en"",""hy"")"),"Պարբերական աղյուսակում կա 118 տարր։")</f>
        <v>Պարբերական աղյուսակում կա 118 տարր։</v>
      </c>
    </row>
    <row r="4915">
      <c r="A4915" s="5" t="s">
        <v>7955</v>
      </c>
      <c r="B4915" s="5" t="s">
        <v>7956</v>
      </c>
      <c r="C4915" s="5" t="str">
        <f>IFERROR(__xludf.DUMMYFUNCTION("GOOGLETRANSLATE(A4915,""en"",""hy"")"),"Ո՞վ է հայտնաբերել գրավիտացիան:")</f>
        <v>Ո՞վ է հայտնաբերել գրավիտացիան:</v>
      </c>
      <c r="D4915" s="6" t="str">
        <f>IFERROR(__xludf.DUMMYFUNCTION("GOOGLETRANSLATE(B4915,""en"",""hy"")"),"Իսահակ Նյուտոն.")</f>
        <v>Իսահակ Նյուտոն.</v>
      </c>
    </row>
    <row r="4916">
      <c r="A4916" s="5" t="s">
        <v>7626</v>
      </c>
      <c r="B4916" s="5" t="s">
        <v>6980</v>
      </c>
      <c r="C4916" s="5" t="str">
        <f>IFERROR(__xludf.DUMMYFUNCTION("GOOGLETRANSLATE(A4916,""en"",""hy"")"),"Ո՞րն է Գերմանիայի մայրաքաղաքը:")</f>
        <v>Ո՞րն է Գերմանիայի մայրաքաղաքը:</v>
      </c>
      <c r="D4916" s="6" t="str">
        <f>IFERROR(__xludf.DUMMYFUNCTION("GOOGLETRANSLATE(B4916,""en"",""hy"")"),"Բեռլին")</f>
        <v>Բեռլին</v>
      </c>
    </row>
    <row r="4917">
      <c r="A4917" s="5" t="s">
        <v>8408</v>
      </c>
      <c r="B4917" s="5" t="s">
        <v>8409</v>
      </c>
      <c r="C4917" s="5" t="str">
        <f>IFERROR(__xludf.DUMMYFUNCTION("GOOGLETRANSLATE(A4917,""en"",""hy"")"),"Քանի՞ ոտք ունի սարդը:")</f>
        <v>Քանի՞ ոտք ունի սարդը:</v>
      </c>
      <c r="D4917" s="6" t="str">
        <f>IFERROR(__xludf.DUMMYFUNCTION("GOOGLETRANSLATE(B4917,""en"",""hy"")"),"Սարդն ունի ութ ոտք:")</f>
        <v>Սարդն ունի ութ ոտք:</v>
      </c>
    </row>
    <row r="4918">
      <c r="A4918" s="5" t="s">
        <v>7804</v>
      </c>
      <c r="B4918" s="5" t="s">
        <v>7448</v>
      </c>
      <c r="C4918" s="5" t="str">
        <f>IFERROR(__xludf.DUMMYFUNCTION("GOOGLETRANSLATE(A4918,""en"",""hy"")"),"Ո՞վ է նկարել Վերջին ընթրիքը:")</f>
        <v>Ո՞վ է նկարել Վերջին ընթրիքը:</v>
      </c>
      <c r="D4918" s="6" t="str">
        <f>IFERROR(__xludf.DUMMYFUNCTION("GOOGLETRANSLATE(B4918,""en"",""hy"")"),"Լեոնարդո դա Վինչի.")</f>
        <v>Լեոնարդո դա Վինչի.</v>
      </c>
    </row>
    <row r="4919">
      <c r="A4919" s="5" t="s">
        <v>8410</v>
      </c>
      <c r="B4919" s="5" t="s">
        <v>8411</v>
      </c>
      <c r="C4919" s="5" t="str">
        <f>IFERROR(__xludf.DUMMYFUNCTION("GOOGLETRANSLATE(A4919,""en"",""hy"")"),"Ո՞րն է բոլոր ժամանակների ամենաշատ եկամուտ ստացած ֆիլմը:")</f>
        <v>Ո՞րն է բոլոր ժամանակների ամենաշատ եկամուտ ստացած ֆիլմը:</v>
      </c>
      <c r="D4919" s="6" t="str">
        <f>IFERROR(__xludf.DUMMYFUNCTION("GOOGLETRANSLATE(B4919,""en"",""hy"")"),"Անձնանշան.")</f>
        <v>Անձնանշան.</v>
      </c>
    </row>
    <row r="4920">
      <c r="A4920" s="5" t="s">
        <v>8129</v>
      </c>
      <c r="B4920" s="5" t="s">
        <v>8130</v>
      </c>
      <c r="C4920" s="5" t="str">
        <f>IFERROR(__xludf.DUMMYFUNCTION("GOOGLETRANSLATE(A4920,""en"",""hy"")"),"Քանի՞ ժամային գոտի կա աշխարհում:")</f>
        <v>Քանի՞ ժամային գոտի կա աշխարհում:</v>
      </c>
      <c r="D4920" s="6" t="str">
        <f>IFERROR(__xludf.DUMMYFUNCTION("GOOGLETRANSLATE(B4920,""en"",""hy"")"),"Աշխարհում կա 24 ժամային գոտի:")</f>
        <v>Աշխարհում կա 24 ժամային գոտի:</v>
      </c>
    </row>
    <row r="4921">
      <c r="A4921" s="5" t="s">
        <v>7457</v>
      </c>
      <c r="B4921" s="5" t="s">
        <v>8412</v>
      </c>
      <c r="C4921" s="5" t="str">
        <f>IFERROR(__xludf.DUMMYFUNCTION("GOOGLETRANSLATE(A4921,""en"",""hy"")"),"Ո՞վ է եղել Միացյալ Նահանգների առաջին նախագահը:")</f>
        <v>Ո՞վ է եղել Միացյալ Նահանգների առաջին նախագահը:</v>
      </c>
      <c r="D4921" s="6" t="str">
        <f>IFERROR(__xludf.DUMMYFUNCTION("GOOGLETRANSLATE(B4921,""en"",""hy"")"),"Ջորջ Վաշինգտոն")</f>
        <v>Ջորջ Վաշինգտոն</v>
      </c>
    </row>
    <row r="4922">
      <c r="A4922" s="5" t="s">
        <v>7592</v>
      </c>
      <c r="B4922" s="5" t="s">
        <v>8257</v>
      </c>
      <c r="C4922" s="5" t="str">
        <f>IFERROR(__xludf.DUMMYFUNCTION("GOOGLETRANSLATE(A4922,""en"",""hy"")"),"Ո՞րն է թթվածնի քիմիական նշանը:")</f>
        <v>Ո՞րն է թթվածնի քիմիական նշանը:</v>
      </c>
      <c r="D4922" s="6" t="str">
        <f>IFERROR(__xludf.DUMMYFUNCTION("GOOGLETRANSLATE(B4922,""en"",""hy"")"),"Օ")</f>
        <v>Օ</v>
      </c>
    </row>
    <row r="4923">
      <c r="A4923" s="5" t="s">
        <v>7608</v>
      </c>
      <c r="B4923" s="5" t="s">
        <v>8413</v>
      </c>
      <c r="C4923" s="5" t="str">
        <f>IFERROR(__xludf.DUMMYFUNCTION("GOOGLETRANSLATE(A4923,""en"",""hy"")"),"Ո՞րն է Հնդկաստանի մայրաքաղաքը:")</f>
        <v>Ո՞րն է Հնդկաստանի մայրաքաղաքը:</v>
      </c>
      <c r="D4923" s="6" t="str">
        <f>IFERROR(__xludf.DUMMYFUNCTION("GOOGLETRANSLATE(B4923,""en"",""hy"")"),"Հնդկաստանի մայրաքաղաքը Նյու Դելին է։")</f>
        <v>Հնդկաստանի մայրաքաղաքը Նյու Դելին է։</v>
      </c>
    </row>
    <row r="4924">
      <c r="A4924" s="5" t="s">
        <v>7575</v>
      </c>
      <c r="B4924" s="5" t="s">
        <v>7576</v>
      </c>
      <c r="C4924" s="5" t="str">
        <f>IFERROR(__xludf.DUMMYFUNCTION("GOOGLETRANSLATE(A4924,""en"",""hy"")"),"Քանի՞ գույն կա ծիածանի մեջ:")</f>
        <v>Քանի՞ գույն կա ծիածանի մեջ:</v>
      </c>
      <c r="D4924" s="6" t="str">
        <f>IFERROR(__xludf.DUMMYFUNCTION("GOOGLETRANSLATE(B4924,""en"",""hy"")"),"Ծիածանի մեջ յոթ գույն կա:")</f>
        <v>Ծիածանի մեջ յոթ գույն կա:</v>
      </c>
    </row>
    <row r="4925">
      <c r="A4925" s="5" t="s">
        <v>7443</v>
      </c>
      <c r="B4925" s="5" t="s">
        <v>7444</v>
      </c>
      <c r="C4925" s="5" t="str">
        <f>IFERROR(__xludf.DUMMYFUNCTION("GOOGLETRANSLATE(A4925,""en"",""hy"")"),"Ո՞վ է գրել «1984» վեպը։")</f>
        <v>Ո՞վ է գրել «1984» վեպը։</v>
      </c>
      <c r="D4925" s="6" t="str">
        <f>IFERROR(__xludf.DUMMYFUNCTION("GOOGLETRANSLATE(B4925,""en"",""hy"")"),"Ջորջ Օրուել.")</f>
        <v>Ջորջ Օրուել.</v>
      </c>
    </row>
    <row r="4926">
      <c r="A4926" s="5" t="s">
        <v>7513</v>
      </c>
      <c r="B4926" s="5" t="s">
        <v>8337</v>
      </c>
      <c r="C4926" s="5" t="str">
        <f>IFERROR(__xludf.DUMMYFUNCTION("GOOGLETRANSLATE(A4926,""en"",""hy"")"),"Ո՞րն է աշխարհի ամենամեծ անապատը:")</f>
        <v>Ո՞րն է աշխարհի ամենամեծ անապատը:</v>
      </c>
      <c r="D4926" s="6" t="str">
        <f>IFERROR(__xludf.DUMMYFUNCTION("GOOGLETRANSLATE(B4926,""en"",""hy"")"),"Աշխարհի ամենամեծ անապատը Անտարկտիդայի անապատն է։")</f>
        <v>Աշխարհի ամենամեծ անապատը Անտարկտիդայի անապատն է։</v>
      </c>
    </row>
    <row r="4927">
      <c r="A4927" s="5" t="s">
        <v>8414</v>
      </c>
      <c r="B4927" s="5" t="s">
        <v>8163</v>
      </c>
      <c r="C4927" s="5" t="str">
        <f>IFERROR(__xludf.DUMMYFUNCTION("GOOGLETRANSLATE(A4927,""en"",""hy"")"),"Քանի՞ խաղացող կա բասկետբոլի թիմում:")</f>
        <v>Քանի՞ խաղացող կա բասկետբոլի թիմում:</v>
      </c>
      <c r="D4927" s="6" t="str">
        <f>IFERROR(__xludf.DUMMYFUNCTION("GOOGLETRANSLATE(B4927,""en"",""hy"")"),"Բասկետբոլի թիմում 5 խաղացող կա։")</f>
        <v>Բասկետբոլի թիմում 5 խաղացող կա։</v>
      </c>
    </row>
    <row r="4928">
      <c r="A4928" s="5" t="s">
        <v>8415</v>
      </c>
      <c r="B4928" s="5" t="s">
        <v>7745</v>
      </c>
      <c r="C4928" s="5" t="str">
        <f>IFERROR(__xludf.DUMMYFUNCTION("GOOGLETRANSLATE(A4928,""en"",""hy"")"),"Ո՞վ է նկարել «Հիշողության համառությունը» ստեղծագործությունը:")</f>
        <v>Ո՞վ է նկարել «Հիշողության համառությունը» ստեղծագործությունը:</v>
      </c>
      <c r="D4928" s="6" t="str">
        <f>IFERROR(__xludf.DUMMYFUNCTION("GOOGLETRANSLATE(B4928,""en"",""hy"")"),"Սալվադոր Դալի.")</f>
        <v>Սալվադոր Դալի.</v>
      </c>
    </row>
    <row r="4929">
      <c r="A4929" s="5" t="s">
        <v>7471</v>
      </c>
      <c r="B4929" s="5" t="s">
        <v>8416</v>
      </c>
      <c r="C4929" s="5" t="str">
        <f>IFERROR(__xludf.DUMMYFUNCTION("GOOGLETRANSLATE(A4929,""en"",""hy"")"),"Ո՞րն է Երկրի ամենամեծ կենդանին:")</f>
        <v>Ո՞րն է Երկրի ամենամեծ կենդանին:</v>
      </c>
      <c r="D4929" s="6" t="str">
        <f>IFERROR(__xludf.DUMMYFUNCTION("GOOGLETRANSLATE(B4929,""en"",""hy"")"),"Կապույտ կետը Երկրի ամենամեծ կենդանին է:")</f>
        <v>Կապույտ կետը Երկրի ամենամեծ կենդանին է:</v>
      </c>
    </row>
    <row r="4930">
      <c r="A4930" s="5" t="s">
        <v>8118</v>
      </c>
      <c r="B4930" s="5" t="s">
        <v>8119</v>
      </c>
      <c r="C4930" s="5" t="str">
        <f>IFERROR(__xludf.DUMMYFUNCTION("GOOGLETRANSLATE(A4930,""en"",""hy"")"),"Քանի՞ սիրտ ունի ութոտնուկը:")</f>
        <v>Քանի՞ սիրտ ունի ութոտնուկը:</v>
      </c>
      <c r="D4930" s="6" t="str">
        <f>IFERROR(__xludf.DUMMYFUNCTION("GOOGLETRANSLATE(B4930,""en"",""hy"")"),"Ութոտնուկն ունի երեք սիրտ.")</f>
        <v>Ութոտնուկն ունի երեք սիրտ.</v>
      </c>
    </row>
    <row r="4931">
      <c r="A4931" s="5" t="s">
        <v>7553</v>
      </c>
      <c r="B4931" s="5" t="s">
        <v>7554</v>
      </c>
      <c r="C4931" s="5" t="str">
        <f>IFERROR(__xludf.DUMMYFUNCTION("GOOGLETRANSLATE(A4931,""en"",""hy"")"),"Ո՞րն է Հարավային Աֆրիկայի մայրաքաղաքը:")</f>
        <v>Ո՞րն է Հարավային Աֆրիկայի մայրաքաղաքը:</v>
      </c>
      <c r="D4931" s="6" t="str">
        <f>IFERROR(__xludf.DUMMYFUNCTION("GOOGLETRANSLATE(B4931,""en"",""hy"")"),"Պրետորիա.")</f>
        <v>Պրետորիա.</v>
      </c>
    </row>
    <row r="4932">
      <c r="A4932" s="5" t="s">
        <v>7701</v>
      </c>
      <c r="B4932" s="5" t="s">
        <v>8417</v>
      </c>
      <c r="C4932" s="5" t="str">
        <f>IFERROR(__xludf.DUMMYFUNCTION("GOOGLETRANSLATE(A4932,""en"",""hy"")"),"Ո՞վ է հորինել համակարգիչը:")</f>
        <v>Ո՞վ է հորինել համակարգիչը:</v>
      </c>
      <c r="D4932" s="6" t="str">
        <f>IFERROR(__xludf.DUMMYFUNCTION("GOOGLETRANSLATE(B4932,""en"",""hy"")"),"Համակարգիչը չի հայտնագործվել մեկ անհատի կողմից, այլ ժամանակի ընթացքում մշակվել է մի շարք գիտնականների և ինժեներների կողմից:")</f>
        <v>Համակարգիչը չի հայտնագործվել մեկ անհատի կողմից, այլ ժամանակի ընթացքում մշակվել է մի շարք գիտնականների և ինժեներների կողմից:</v>
      </c>
    </row>
    <row r="4933">
      <c r="A4933" s="5" t="s">
        <v>7699</v>
      </c>
      <c r="B4933" s="5" t="s">
        <v>7700</v>
      </c>
      <c r="C4933" s="5" t="str">
        <f>IFERROR(__xludf.DUMMYFUNCTION("GOOGLETRANSLATE(A4933,""en"",""hy"")"),"Ո՞րն է ածխածնի քիմիական նշանը:")</f>
        <v>Ո՞րն է ածխածնի քիմիական նշանը:</v>
      </c>
      <c r="D4933" s="6" t="str">
        <f>IFERROR(__xludf.DUMMYFUNCTION("GOOGLETRANSLATE(B4933,""en"",""hy"")"),"Ածխածնի քիմիական նշանը C է:")</f>
        <v>Ածխածնի քիմիական նշանը C է:</v>
      </c>
    </row>
    <row r="4934">
      <c r="A4934" s="5" t="s">
        <v>7683</v>
      </c>
      <c r="B4934" s="5" t="s">
        <v>1016</v>
      </c>
      <c r="C4934" s="5" t="str">
        <f>IFERROR(__xludf.DUMMYFUNCTION("GOOGLETRANSLATE(A4934,""en"",""hy"")"),"Ո՞վ է գրել «Համլետ» պիեսը։")</f>
        <v>Ո՞վ է գրել «Համլետ» պիեսը։</v>
      </c>
      <c r="D4934" s="6" t="str">
        <f>IFERROR(__xludf.DUMMYFUNCTION("GOOGLETRANSLATE(B4934,""en"",""hy"")"),"Ուիլյամ Շեքսպիր.")</f>
        <v>Ուիլյամ Շեքսպիր.</v>
      </c>
    </row>
    <row r="4935">
      <c r="A4935" s="5" t="s">
        <v>7735</v>
      </c>
      <c r="B4935" s="5" t="s">
        <v>7736</v>
      </c>
      <c r="C4935" s="5" t="str">
        <f>IFERROR(__xludf.DUMMYFUNCTION("GOOGLETRANSLATE(A4935,""en"",""hy"")"),"Ո՞րն է ամենաարագ ցամաքային կենդանին:")</f>
        <v>Ո՞րն է ամենաարագ ցամաքային կենդանին:</v>
      </c>
      <c r="D4935" s="6" t="str">
        <f>IFERROR(__xludf.DUMMYFUNCTION("GOOGLETRANSLATE(B4935,""en"",""hy"")"),"Cheetah.")</f>
        <v>Cheetah.</v>
      </c>
    </row>
    <row r="4936">
      <c r="A4936" s="5" t="s">
        <v>8418</v>
      </c>
      <c r="B4936" s="5" t="s">
        <v>8419</v>
      </c>
      <c r="C4936" s="5" t="str">
        <f>IFERROR(__xludf.DUMMYFUNCTION("GOOGLETRANSLATE(A4936,""en"",""hy"")"),"Միջին հաշվով քանի՞ ատամ ունի չափահաս մարդը:")</f>
        <v>Միջին հաշվով քանի՞ ատամ ունի չափահաս մարդը:</v>
      </c>
      <c r="D4936" s="6" t="str">
        <f>IFERROR(__xludf.DUMMYFUNCTION("GOOGLETRANSLATE(B4936,""en"",""hy"")"),"Հասուն մարդն ունի միջինում 32 ատամ։")</f>
        <v>Հասուն մարդն ունի միջինում 32 ատամ։</v>
      </c>
    </row>
    <row r="4937">
      <c r="A4937" s="5" t="s">
        <v>8420</v>
      </c>
      <c r="B4937" s="5" t="s">
        <v>7585</v>
      </c>
      <c r="C4937" s="5" t="str">
        <f>IFERROR(__xludf.DUMMYFUNCTION("GOOGLETRANSLATE(A4937,""en"",""hy"")"),"Ո՞վ է նկարել «Ճիչ» ստեղծագործությունը:")</f>
        <v>Ո՞վ է նկարել «Ճիչ» ստեղծագործությունը:</v>
      </c>
      <c r="D4937" s="6" t="str">
        <f>IFERROR(__xludf.DUMMYFUNCTION("GOOGLETRANSLATE(B4937,""en"",""hy"")"),"Էդվարդ Մունկ.")</f>
        <v>Էդվարդ Մունկ.</v>
      </c>
    </row>
    <row r="4938">
      <c r="A4938" s="5" t="s">
        <v>7574</v>
      </c>
      <c r="B4938" s="5" t="s">
        <v>7525</v>
      </c>
      <c r="C4938" s="5" t="str">
        <f>IFERROR(__xludf.DUMMYFUNCTION("GOOGLETRANSLATE(A4938,""en"",""hy"")"),"Ո՞րն է Չինաստանի մայրաքաղաքը:")</f>
        <v>Ո՞րն է Չինաստանի մայրաքաղաքը:</v>
      </c>
      <c r="D4938" s="6" t="str">
        <f>IFERROR(__xludf.DUMMYFUNCTION("GOOGLETRANSLATE(B4938,""en"",""hy"")"),"Պեկին.")</f>
        <v>Պեկին.</v>
      </c>
    </row>
    <row r="4939">
      <c r="A4939" s="5" t="s">
        <v>8187</v>
      </c>
      <c r="B4939" s="5" t="s">
        <v>8188</v>
      </c>
      <c r="C4939" s="5" t="str">
        <f>IFERROR(__xludf.DUMMYFUNCTION("GOOGLETRANSLATE(A4939,""en"",""hy"")"),"Քանի՞ խցիկ ունի մարդու սիրտը:")</f>
        <v>Քանի՞ խցիկ ունի մարդու սիրտը:</v>
      </c>
      <c r="D4939" s="6" t="str">
        <f>IFERROR(__xludf.DUMMYFUNCTION("GOOGLETRANSLATE(B4939,""en"",""hy"")"),"Մարդու սիրտն ունի չորս խցիկ.")</f>
        <v>Մարդու սիրտն ունի չորս խցիկ.</v>
      </c>
    </row>
    <row r="4940">
      <c r="A4940" s="5" t="s">
        <v>7691</v>
      </c>
      <c r="B4940" s="5" t="s">
        <v>8421</v>
      </c>
      <c r="C4940" s="5" t="str">
        <f>IFERROR(__xludf.DUMMYFUNCTION("GOOGLETRANSLATE(A4940,""en"",""hy"")"),"Ո՞րն է Աֆրիկայի ամենամեծ լիճը:")</f>
        <v>Ո՞րն է Աֆրիկայի ամենամեծ լիճը:</v>
      </c>
      <c r="D4940" s="6" t="str">
        <f>IFERROR(__xludf.DUMMYFUNCTION("GOOGLETRANSLATE(B4940,""en"",""hy"")"),"Աֆրիկայի ամենամեծ լիճը Վիկտորիա լիճն է:")</f>
        <v>Աֆրիկայի ամենամեծ լիճը Վիկտորիա լիճն է:</v>
      </c>
    </row>
    <row r="4941">
      <c r="A4941" s="5" t="s">
        <v>7773</v>
      </c>
      <c r="B4941" s="5" t="s">
        <v>7941</v>
      </c>
      <c r="C4941" s="5" t="str">
        <f>IFERROR(__xludf.DUMMYFUNCTION("GOOGLETRANSLATE(A4941,""en"",""hy"")"),"Ո՞վ է հայտնաբերել պենիցիլինը:")</f>
        <v>Ո՞վ է հայտնաբերել պենիցիլինը:</v>
      </c>
      <c r="D4941" s="6" t="str">
        <f>IFERROR(__xludf.DUMMYFUNCTION("GOOGLETRANSLATE(B4941,""en"",""hy"")"),"Ալեքսանդր Ֆլեմինգ")</f>
        <v>Ալեքսանդր Ֆլեմինգ</v>
      </c>
    </row>
    <row r="4942">
      <c r="A4942" s="5" t="s">
        <v>7665</v>
      </c>
      <c r="B4942" s="5" t="s">
        <v>7666</v>
      </c>
      <c r="C4942" s="5" t="str">
        <f>IFERROR(__xludf.DUMMYFUNCTION("GOOGLETRANSLATE(A4942,""en"",""hy"")"),"Ո՞րն է նատրիումի քիմիական նշանը:")</f>
        <v>Ո՞րն է նատրիումի քիմիական նշանը:</v>
      </c>
      <c r="D4942" s="6" t="str">
        <f>IFERROR(__xludf.DUMMYFUNCTION("GOOGLETRANSLATE(B4942,""en"",""hy"")"),"Նա")</f>
        <v>Նա</v>
      </c>
    </row>
    <row r="4943">
      <c r="A4943" s="5" t="s">
        <v>8422</v>
      </c>
      <c r="B4943" s="5" t="s">
        <v>7661</v>
      </c>
      <c r="C4943" s="5" t="str">
        <f>IFERROR(__xludf.DUMMYFUNCTION("GOOGLETRANSLATE(A4943,""en"",""hy"")"),"Ո՞վ է գրել «Մեծն Գեթսբի» գիրքը:")</f>
        <v>Ո՞վ է գրել «Մեծն Գեթսբի» գիրքը:</v>
      </c>
      <c r="D4943" s="6" t="str">
        <f>IFERROR(__xludf.DUMMYFUNCTION("GOOGLETRANSLATE(B4943,""en"",""hy"")"),"F. Scott Fitzgerald.")</f>
        <v>F. Scott Fitzgerald.</v>
      </c>
    </row>
    <row r="4944">
      <c r="A4944" s="5" t="s">
        <v>8016</v>
      </c>
      <c r="B4944" s="5" t="s">
        <v>8017</v>
      </c>
      <c r="C4944" s="5" t="str">
        <f>IFERROR(__xludf.DUMMYFUNCTION("GOOGLETRANSLATE(A4944,""en"",""hy"")"),"Ո՞րն է Անգլիայի ազգային ծաղիկը:")</f>
        <v>Ո՞րն է Անգլիայի ազգային ծաղիկը:</v>
      </c>
      <c r="D4944" s="6" t="str">
        <f>IFERROR(__xludf.DUMMYFUNCTION("GOOGLETRANSLATE(B4944,""en"",""hy"")"),"Անգլիայի ազգային ծաղիկը վարդն է։")</f>
        <v>Անգլիայի ազգային ծաղիկը վարդն է։</v>
      </c>
    </row>
    <row r="4945">
      <c r="A4945" s="5" t="s">
        <v>8423</v>
      </c>
      <c r="B4945" s="5" t="s">
        <v>7743</v>
      </c>
      <c r="C4945" s="5" t="str">
        <f>IFERROR(__xludf.DUMMYFUNCTION("GOOGLETRANSLATE(A4945,""en"",""hy"")"),"Ո՞րն է օվկիանոսի ամենախոր մասը:")</f>
        <v>Ո՞րն է օվկիանոսի ամենախոր մասը:</v>
      </c>
      <c r="D4945" s="6" t="str">
        <f>IFERROR(__xludf.DUMMYFUNCTION("GOOGLETRANSLATE(B4945,""en"",""hy"")"),"Մարիանայի խրամատ.")</f>
        <v>Մարիանայի խրամատ.</v>
      </c>
    </row>
    <row r="4946">
      <c r="A4946" s="5" t="s">
        <v>8053</v>
      </c>
      <c r="B4946" s="5" t="s">
        <v>8424</v>
      </c>
      <c r="C4946" s="5" t="str">
        <f>IFERROR(__xludf.DUMMYFUNCTION("GOOGLETRANSLATE(A4946,""en"",""hy"")"),"Քանի՞ կողմ ունի ութանկյունը:")</f>
        <v>Քանի՞ կողմ ունի ութանկյունը:</v>
      </c>
      <c r="D4946" s="6" t="str">
        <f>IFERROR(__xludf.DUMMYFUNCTION("GOOGLETRANSLATE(B4946,""en"",""hy"")"),"Ութանկյունն ունի 8 կողմ:")</f>
        <v>Ութանկյունն ունի 8 կողմ:</v>
      </c>
    </row>
    <row r="4947">
      <c r="A4947" s="5" t="s">
        <v>8425</v>
      </c>
      <c r="B4947" s="5" t="s">
        <v>7710</v>
      </c>
      <c r="C4947" s="5" t="str">
        <f>IFERROR(__xludf.DUMMYFUNCTION("GOOGLETRANSLATE(A4947,""en"",""hy"")"),"Ո՞վ է նկարել «Գերնիկա» ստեղծագործությունը:")</f>
        <v>Ո՞վ է նկարել «Գերնիկա» ստեղծագործությունը:</v>
      </c>
      <c r="D4947" s="6" t="str">
        <f>IFERROR(__xludf.DUMMYFUNCTION("GOOGLETRANSLATE(B4947,""en"",""hy"")"),"Պաբլո Պիկասո.")</f>
        <v>Պաբլո Պիկասո.</v>
      </c>
    </row>
    <row r="4948">
      <c r="A4948" s="5" t="s">
        <v>7536</v>
      </c>
      <c r="B4948" s="5" t="s">
        <v>8364</v>
      </c>
      <c r="C4948" s="5" t="str">
        <f>IFERROR(__xludf.DUMMYFUNCTION("GOOGLETRANSLATE(A4948,""en"",""hy"")"),"Ո՞րն է Ռուսաստանի մայրաքաղաքը:")</f>
        <v>Ո՞րն է Ռուսաստանի մայրաքաղաքը:</v>
      </c>
      <c r="D4948" s="6" t="str">
        <f>IFERROR(__xludf.DUMMYFUNCTION("GOOGLETRANSLATE(B4948,""en"",""hy"")"),"Ռուսաստանի մայրաքաղաքը Մոսկվան է։")</f>
        <v>Ռուսաստանի մայրաքաղաքը Մոսկվան է։</v>
      </c>
    </row>
    <row r="4949">
      <c r="A4949" s="5" t="s">
        <v>8426</v>
      </c>
      <c r="B4949" s="5" t="s">
        <v>7970</v>
      </c>
      <c r="C4949" s="5" t="str">
        <f>IFERROR(__xludf.DUMMYFUNCTION("GOOGLETRANSLATE(A4949,""en"",""hy"")"),"Քանի՞ ոսկոր կա մարդու գանգում:")</f>
        <v>Քանի՞ ոսկոր կա մարդու գանգում:</v>
      </c>
      <c r="D4949" s="6" t="str">
        <f>IFERROR(__xludf.DUMMYFUNCTION("GOOGLETRANSLATE(B4949,""en"",""hy"")"),"Մարդու գանգում կա 22 ոսկոր։")</f>
        <v>Մարդու գանգում կա 22 ոսկոր։</v>
      </c>
    </row>
    <row r="4950">
      <c r="A4950" s="5" t="s">
        <v>8427</v>
      </c>
      <c r="B4950" s="5" t="s">
        <v>8428</v>
      </c>
      <c r="C4950" s="5" t="str">
        <f>IFERROR(__xludf.DUMMYFUNCTION("GOOGLETRANSLATE(A4950,""en"",""hy"")"),"Ո՞վ է եղել գրականության ոլորտում Նոբելյան մրցանակակիր առաջինը:")</f>
        <v>Ո՞վ է եղել գրականության ոլորտում Նոբելյան մրցանակակիր առաջինը:</v>
      </c>
      <c r="D4950" s="6" t="str">
        <f>IFERROR(__xludf.DUMMYFUNCTION("GOOGLETRANSLATE(B4950,""en"",""hy"")"),"Գրականության ոլորտում Նոբելյան մրցանակի դափնեկիր առաջինը Սալի Պրուդոմն էր։")</f>
        <v>Գրականության ոլորտում Նոբելյան մրցանակի դափնեկիր առաջինը Սալի Պրուդոմն էր։</v>
      </c>
    </row>
    <row r="4951">
      <c r="A4951" s="5" t="s">
        <v>7706</v>
      </c>
      <c r="B4951" s="5" t="s">
        <v>8429</v>
      </c>
      <c r="C4951" s="5" t="str">
        <f>IFERROR(__xludf.DUMMYFUNCTION("GOOGLETRANSLATE(A4951,""en"",""hy"")"),"Ո՞րն է Միացյալ Թագավորության արժույթը:")</f>
        <v>Ո՞րն է Միացյալ Թագավորության արժույթը:</v>
      </c>
      <c r="D4951" s="6" t="str">
        <f>IFERROR(__xludf.DUMMYFUNCTION("GOOGLETRANSLATE(B4951,""en"",""hy"")"),"Միացյալ Թագավորության արժույթը բրիտանական ֆունտն է։")</f>
        <v>Միացյալ Թագավորության արժույթը բրիտանական ֆունտն է։</v>
      </c>
    </row>
    <row r="4952">
      <c r="A4952" s="5" t="s">
        <v>8430</v>
      </c>
      <c r="B4952" s="5" t="s">
        <v>8431</v>
      </c>
      <c r="C4952" s="5" t="str">
        <f>IFERROR(__xludf.DUMMYFUNCTION("GOOGLETRANSLATE(A4952,""en"",""hy"")"),"Ո՞վ է նախագծել Էյֆելյան աշտարակը:")</f>
        <v>Ո՞վ է նախագծել Էյֆելյան աշտարակը:</v>
      </c>
      <c r="D4952" s="6" t="str">
        <f>IFERROR(__xludf.DUMMYFUNCTION("GOOGLETRANSLATE(B4952,""en"",""hy"")"),"Գուստավ Էյֆել.")</f>
        <v>Գուստավ Էյֆել.</v>
      </c>
    </row>
    <row r="4953">
      <c r="A4953" s="5" t="s">
        <v>7506</v>
      </c>
      <c r="B4953" s="5" t="s">
        <v>7507</v>
      </c>
      <c r="C4953" s="5" t="str">
        <f>IFERROR(__xludf.DUMMYFUNCTION("GOOGLETRANSLATE(A4953,""en"",""hy"")"),"Ո՞րն է աշխարհի ամենափոքր երկիրը:")</f>
        <v>Ո՞րն է աշխարհի ամենափոքր երկիրը:</v>
      </c>
      <c r="D4953" s="6" t="str">
        <f>IFERROR(__xludf.DUMMYFUNCTION("GOOGLETRANSLATE(B4953,""en"",""hy"")"),"Քաղաք Վատիկան.")</f>
        <v>Քաղաք Վատիկան.</v>
      </c>
    </row>
    <row r="4954">
      <c r="A4954" s="5" t="s">
        <v>8276</v>
      </c>
      <c r="B4954" s="5" t="s">
        <v>8432</v>
      </c>
      <c r="C4954" s="5" t="str">
        <f>IFERROR(__xludf.DUMMYFUNCTION("GOOGLETRANSLATE(A4954,""en"",""hy"")"),"Մեր Արեգակնային համակարգում քանի՞ մոլորակ ունի օղակ:")</f>
        <v>Մեր Արեգակնային համակարգում քանի՞ մոլորակ ունի օղակ:</v>
      </c>
      <c r="D4954" s="6" t="str">
        <f>IFERROR(__xludf.DUMMYFUNCTION("GOOGLETRANSLATE(B4954,""en"",""hy"")"),"Չորս.")</f>
        <v>Չորս.</v>
      </c>
    </row>
    <row r="4955">
      <c r="A4955" s="5" t="s">
        <v>7726</v>
      </c>
      <c r="B4955" s="5" t="s">
        <v>1016</v>
      </c>
      <c r="C4955" s="5" t="str">
        <f>IFERROR(__xludf.DUMMYFUNCTION("GOOGLETRANSLATE(A4955,""en"",""hy"")"),"Ո՞վ է գրել «Մակբեթ» պիեսը։")</f>
        <v>Ո՞վ է գրել «Մակբեթ» պիեսը։</v>
      </c>
      <c r="D4955" s="6" t="str">
        <f>IFERROR(__xludf.DUMMYFUNCTION("GOOGLETRANSLATE(B4955,""en"",""hy"")"),"Ուիլյամ Շեքսպիր.")</f>
        <v>Ուիլյամ Շեքսպիր.</v>
      </c>
    </row>
    <row r="4956">
      <c r="A4956" s="5" t="s">
        <v>7489</v>
      </c>
      <c r="B4956" s="5" t="s">
        <v>7490</v>
      </c>
      <c r="C4956" s="5" t="str">
        <f>IFERROR(__xludf.DUMMYFUNCTION("GOOGLETRANSLATE(A4956,""en"",""hy"")"),"Ո՞րն է աշխարհի ամենաբարձր շենքը:")</f>
        <v>Ո՞րն է աշխարհի ամենաբարձր շենքը:</v>
      </c>
      <c r="D4956" s="6" t="str">
        <f>IFERROR(__xludf.DUMMYFUNCTION("GOOGLETRANSLATE(B4956,""en"",""hy"")"),"Աշխարհի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4957">
      <c r="A4957" s="5" t="s">
        <v>7589</v>
      </c>
      <c r="B4957" s="5" t="s">
        <v>7545</v>
      </c>
      <c r="C4957" s="5" t="str">
        <f>IFERROR(__xludf.DUMMYFUNCTION("GOOGLETRANSLATE(A4957,""en"",""hy"")"),"Ո՞րն է Իտալիայի մայրաքաղաքը:")</f>
        <v>Ո՞րն է Իտալիայի մայրաքաղաքը:</v>
      </c>
      <c r="D4957" s="6" t="str">
        <f>IFERROR(__xludf.DUMMYFUNCTION("GOOGLETRANSLATE(B4957,""en"",""hy"")"),"Հռոմ.")</f>
        <v>Հռոմ.</v>
      </c>
    </row>
    <row r="4958">
      <c r="A4958" s="5" t="s">
        <v>8433</v>
      </c>
      <c r="B4958" s="5" t="s">
        <v>8434</v>
      </c>
      <c r="C4958" s="5" t="str">
        <f>IFERROR(__xludf.DUMMYFUNCTION("GOOGLETRANSLATE(A4958,""en"",""hy"")"),"Քանի՞ ոտք ունի ծովախեցգետինը:")</f>
        <v>Քանի՞ ոտք ունի ծովախեցգետինը:</v>
      </c>
      <c r="D4958" s="6" t="str">
        <f>IFERROR(__xludf.DUMMYFUNCTION("GOOGLETRANSLATE(B4958,""en"",""hy"")"),"Ծովախեցգետինը սովորաբար ունի 10 ոտք:")</f>
        <v>Ծովախեցգետինը սովորաբար ունի 10 ոտք:</v>
      </c>
    </row>
    <row r="4959">
      <c r="A4959" s="5" t="s">
        <v>8435</v>
      </c>
      <c r="B4959" s="5" t="s">
        <v>7549</v>
      </c>
      <c r="C4959" s="5" t="str">
        <f>IFERROR(__xludf.DUMMYFUNCTION("GOOGLETRANSLATE(A4959,""en"",""hy"")"),"Ո՞վ է նկարել «Մարգարտյա ականջօղով աղջիկը» նկարը:")</f>
        <v>Ո՞վ է նկարել «Մարգարտյա ականջօղով աղջիկը» նկարը:</v>
      </c>
      <c r="D4959" s="6" t="str">
        <f>IFERROR(__xludf.DUMMYFUNCTION("GOOGLETRANSLATE(B4959,""en"",""hy"")"),"Յոհաննես Վերմեեր.")</f>
        <v>Յոհաննես Վերմեեր.</v>
      </c>
    </row>
    <row r="4960">
      <c r="A4960" s="5" t="s">
        <v>8206</v>
      </c>
      <c r="B4960" s="5" t="s">
        <v>1299</v>
      </c>
      <c r="C4960" s="5" t="str">
        <f>IFERROR(__xludf.DUMMYFUNCTION("GOOGLETRANSLATE(A4960,""en"",""hy"")"),"Ո՞րն է Երկրի ամենամեծ մայրցամաքը:")</f>
        <v>Ո՞րն է Երկրի ամենամեծ մայրցամաքը:</v>
      </c>
      <c r="D4960" s="6" t="str">
        <f>IFERROR(__xludf.DUMMYFUNCTION("GOOGLETRANSLATE(B4960,""en"",""hy"")"),"Ասիա.")</f>
        <v>Ասիա.</v>
      </c>
    </row>
    <row r="4961">
      <c r="A4961" s="5" t="s">
        <v>7919</v>
      </c>
      <c r="B4961" s="5" t="s">
        <v>7556</v>
      </c>
      <c r="C4961" s="5" t="str">
        <f>IFERROR(__xludf.DUMMYFUNCTION("GOOGLETRANSLATE(A4961,""en"",""hy"")"),"Ո՞վ է հայտնաբերել հարաբերականության տեսությունը:")</f>
        <v>Ո՞վ է հայտնաբերել հարաբերականության տեսությունը:</v>
      </c>
      <c r="D4961" s="6" t="str">
        <f>IFERROR(__xludf.DUMMYFUNCTION("GOOGLETRANSLATE(B4961,""en"",""hy"")"),"Albert Einstein.")</f>
        <v>Albert Einstein.</v>
      </c>
    </row>
    <row r="4962">
      <c r="A4962" s="5" t="s">
        <v>7761</v>
      </c>
      <c r="B4962" s="5" t="s">
        <v>7762</v>
      </c>
      <c r="C4962" s="5" t="str">
        <f>IFERROR(__xludf.DUMMYFUNCTION("GOOGLETRANSLATE(A4962,""en"",""hy"")"),"Ո՞րն է ջրածնի քիմիական նշանը:")</f>
        <v>Ո՞րն է ջրածնի քիմիական նշանը:</v>
      </c>
      <c r="D4962" s="6" t="str">
        <f>IFERROR(__xludf.DUMMYFUNCTION("GOOGLETRANSLATE(B4962,""en"",""hy"")"),"Հ")</f>
        <v>Հ</v>
      </c>
    </row>
    <row r="4963">
      <c r="A4963" s="5" t="s">
        <v>8010</v>
      </c>
      <c r="B4963" s="5" t="s">
        <v>7578</v>
      </c>
      <c r="C4963" s="5" t="str">
        <f>IFERROR(__xludf.DUMMYFUNCTION("GOOGLETRANSLATE(A4963,""en"",""hy"")"),"Ո՞վ է գրել «Մոբի-Դիկ» վեպը:")</f>
        <v>Ո՞վ է գրել «Մոբի-Դիկ» վեպը:</v>
      </c>
      <c r="D4963" s="6" t="str">
        <f>IFERROR(__xludf.DUMMYFUNCTION("GOOGLETRANSLATE(B4963,""en"",""hy"")"),"Հերման Մելվիլ.")</f>
        <v>Հերման Մելվիլ.</v>
      </c>
    </row>
    <row r="4964">
      <c r="A4964" s="5" t="s">
        <v>8198</v>
      </c>
      <c r="B4964" s="5" t="s">
        <v>8436</v>
      </c>
      <c r="C4964" s="5" t="str">
        <f>IFERROR(__xludf.DUMMYFUNCTION("GOOGLETRANSLATE(A4964,""en"",""hy"")"),"Ո՞րն է Չինաստանի ազգային կենդանին:")</f>
        <v>Ո՞րն է Չինաստանի ազգային կենդանին:</v>
      </c>
      <c r="D4964" s="6" t="str">
        <f>IFERROR(__xludf.DUMMYFUNCTION("GOOGLETRANSLATE(B4964,""en"",""hy"")"),"Հսկա պանդա.")</f>
        <v>Հսկա պանդա.</v>
      </c>
    </row>
    <row r="4965">
      <c r="A4965" s="5" t="s">
        <v>7722</v>
      </c>
      <c r="B4965" s="5" t="s">
        <v>7723</v>
      </c>
      <c r="C4965" s="5" t="str">
        <f>IFERROR(__xludf.DUMMYFUNCTION("GOOGLETRANSLATE(A4965,""en"",""hy"")"),"Ո՞րն է Աֆրիկայի ամենաբարձր լեռը:")</f>
        <v>Ո՞րն է Աֆրիկայի ամենաբարձր լեռը:</v>
      </c>
      <c r="D4965" s="6" t="str">
        <f>IFERROR(__xludf.DUMMYFUNCTION("GOOGLETRANSLATE(B4965,""en"",""hy"")"),"Կիլիմանջարո լեռ.")</f>
        <v>Կիլիմանջարո լեռ.</v>
      </c>
    </row>
    <row r="4966">
      <c r="A4966" s="5" t="s">
        <v>8437</v>
      </c>
      <c r="B4966" s="5" t="s">
        <v>8438</v>
      </c>
      <c r="C4966" s="5" t="str">
        <f>IFERROR(__xludf.DUMMYFUNCTION("GOOGLETRANSLATE(A4966,""en"",""hy"")"),"Քանի՞ ոսկոր կա մարդու ձեռքում:")</f>
        <v>Քանի՞ ոսկոր կա մարդու ձեռքում:</v>
      </c>
      <c r="D4966" s="6" t="str">
        <f>IFERROR(__xludf.DUMMYFUNCTION("GOOGLETRANSLATE(B4966,""en"",""hy"")"),"Մարդու ձեռքում կա 27 ոսկոր։")</f>
        <v>Մարդու ձեռքում կա 27 ոսկոր։</v>
      </c>
    </row>
    <row r="4967">
      <c r="A4967" s="5" t="s">
        <v>8439</v>
      </c>
      <c r="B4967" s="5" t="s">
        <v>7621</v>
      </c>
      <c r="C4967" s="5" t="str">
        <f>IFERROR(__xludf.DUMMYFUNCTION("GOOGLETRANSLATE(A4967,""en"",""hy"")"),"Ո՞վ է նկարել «Վեներայի ծնունդը» նկարը:")</f>
        <v>Ո՞վ է նկարել «Վեներայի ծնունդը» նկարը:</v>
      </c>
      <c r="D4967" s="6" t="str">
        <f>IFERROR(__xludf.DUMMYFUNCTION("GOOGLETRANSLATE(B4967,""en"",""hy"")"),"Սանդրո Բոտիչելի.")</f>
        <v>Սանդրո Բոտիչելի.</v>
      </c>
    </row>
    <row r="4968">
      <c r="A4968" s="5" t="s">
        <v>7872</v>
      </c>
      <c r="B4968" s="5" t="s">
        <v>6011</v>
      </c>
      <c r="C4968" s="5" t="str">
        <f>IFERROR(__xludf.DUMMYFUNCTION("GOOGLETRANSLATE(A4968,""en"",""hy"")"),"Ո՞րն է Իսպանիայի մայրաքաղաքը:")</f>
        <v>Ո՞րն է Իսպանիայի մայրաքաղաքը:</v>
      </c>
      <c r="D4968" s="6" t="str">
        <f>IFERROR(__xludf.DUMMYFUNCTION("GOOGLETRANSLATE(B4968,""en"",""hy"")"),"Մադրիդ")</f>
        <v>Մադրիդ</v>
      </c>
    </row>
    <row r="4969">
      <c r="A4969" s="5" t="s">
        <v>8440</v>
      </c>
      <c r="B4969" s="5" t="s">
        <v>8111</v>
      </c>
      <c r="C4969" s="5" t="str">
        <f>IFERROR(__xludf.DUMMYFUNCTION("GOOGLETRANSLATE(A4969,""en"",""hy"")"),"Քանի՞ խաղացող կա ֆուտբոլային թիմում:")</f>
        <v>Քանի՞ խաղացող կա ֆուտբոլային թիմում:</v>
      </c>
      <c r="D4969" s="6" t="str">
        <f>IFERROR(__xludf.DUMMYFUNCTION("GOOGLETRANSLATE(B4969,""en"",""hy"")"),"Ֆուտբոլային թիմում կա 11 խաղացող։")</f>
        <v>Ֆուտբոլային թիմում կա 11 խաղացող։</v>
      </c>
    </row>
    <row r="4970">
      <c r="A4970" s="5" t="s">
        <v>7807</v>
      </c>
      <c r="B4970" s="5" t="s">
        <v>7808</v>
      </c>
      <c r="C4970" s="5" t="str">
        <f>IFERROR(__xludf.DUMMYFUNCTION("GOOGLETRANSLATE(A4970,""en"",""hy"")"),"Ո՞վ է հորինել տպագրական մեքենան:")</f>
        <v>Ո՞վ է հորինել տպագրական մեքենան:</v>
      </c>
      <c r="D4970" s="6" t="str">
        <f>IFERROR(__xludf.DUMMYFUNCTION("GOOGLETRANSLATE(B4970,""en"",""hy"")"),"Յոհաննես Գուտենբերգ.")</f>
        <v>Յոհաննես Գուտենբերգ.</v>
      </c>
    </row>
    <row r="4971">
      <c r="A4971" s="5" t="s">
        <v>7509</v>
      </c>
      <c r="B4971" s="5" t="s">
        <v>7510</v>
      </c>
      <c r="C4971" s="5" t="str">
        <f>IFERROR(__xludf.DUMMYFUNCTION("GOOGLETRANSLATE(A4971,""en"",""hy"")"),"Ո՞րն է արծաթի քիմիական նշանը:")</f>
        <v>Ո՞րն է արծաթի քիմիական նշանը:</v>
      </c>
      <c r="D4971" s="6" t="str">
        <f>IFERROR(__xludf.DUMMYFUNCTION("GOOGLETRANSLATE(B4971,""en"",""hy"")"),"Ագ")</f>
        <v>Ագ</v>
      </c>
    </row>
    <row r="4972">
      <c r="A4972" s="5" t="s">
        <v>8441</v>
      </c>
      <c r="B4972" s="5" t="s">
        <v>7560</v>
      </c>
      <c r="C4972" s="5" t="str">
        <f>IFERROR(__xludf.DUMMYFUNCTION("GOOGLETRANSLATE(A4972,""en"",""hy"")"),"Ո՞վ է գրել «The Catcher in the Rye» գիրքը:")</f>
        <v>Ո՞վ է գրել «The Catcher in the Rye» գիրքը:</v>
      </c>
      <c r="D4972" s="6" t="str">
        <f>IFERROR(__xludf.DUMMYFUNCTION("GOOGLETRANSLATE(B4972,""en"",""hy"")"),"Ջ.Դ.Սելինջեր.")</f>
        <v>Ջ.Դ.Սելինջեր.</v>
      </c>
    </row>
    <row r="4973">
      <c r="A4973" s="5" t="s">
        <v>8442</v>
      </c>
      <c r="B4973" s="5" t="s">
        <v>4457</v>
      </c>
      <c r="C4973" s="5" t="str">
        <f>IFERROR(__xludf.DUMMYFUNCTION("GOOGLETRANSLATE(A4973,""en"",""hy"")"),"Ո՞րն է աշխարհի ամենամեծ քաղաքը:")</f>
        <v>Ո՞րն է աշխարհի ամենամեծ քաղաքը:</v>
      </c>
      <c r="D4973" s="6" t="str">
        <f>IFERROR(__xludf.DUMMYFUNCTION("GOOGLETRANSLATE(B4973,""en"",""hy"")"),"Տոկիո, Ճապոնիա.")</f>
        <v>Տոկիո, Ճապոնիա.</v>
      </c>
    </row>
    <row r="4974">
      <c r="A4974" s="5" t="s">
        <v>8443</v>
      </c>
      <c r="B4974" s="5" t="s">
        <v>8444</v>
      </c>
      <c r="C4974" s="5" t="str">
        <f>IFERROR(__xludf.DUMMYFUNCTION("GOOGLETRANSLATE(A4974,""en"",""hy"")"),"Քանի՞ ոտք ունի թիթեռը:")</f>
        <v>Քանի՞ ոտք ունի թիթեռը:</v>
      </c>
      <c r="D4974" s="6" t="str">
        <f>IFERROR(__xludf.DUMMYFUNCTION("GOOGLETRANSLATE(B4974,""en"",""hy"")"),"Թիթեռը վեց ոտք ունի:")</f>
        <v>Թիթեռը վեց ոտք ունի:</v>
      </c>
    </row>
    <row r="4975">
      <c r="A4975" s="5" t="s">
        <v>8445</v>
      </c>
      <c r="B4975" s="5" t="s">
        <v>7474</v>
      </c>
      <c r="C4975" s="5" t="str">
        <f>IFERROR(__xludf.DUMMYFUNCTION("GOOGLETRANSLATE(A4975,""en"",""hy"")"),"Ո՞վ է նկարել «Ադամի ստեղծումը» ստեղծագործությունը:")</f>
        <v>Ո՞վ է նկարել «Ադամի ստեղծումը» ստեղծագործությունը:</v>
      </c>
      <c r="D4975" s="6" t="str">
        <f>IFERROR(__xludf.DUMMYFUNCTION("GOOGLETRANSLATE(B4975,""en"",""hy"")"),"Միքելանջելո.")</f>
        <v>Միքելանջելո.</v>
      </c>
    </row>
    <row r="4976">
      <c r="A4976" s="5" t="s">
        <v>7795</v>
      </c>
      <c r="B4976" s="5" t="s">
        <v>7796</v>
      </c>
      <c r="C4976" s="5" t="str">
        <f>IFERROR(__xludf.DUMMYFUNCTION("GOOGLETRANSLATE(A4976,""en"",""hy"")"),"Ո՞րն է Եգիպտոսի մայրաքաղաքը:")</f>
        <v>Ո՞րն է Եգիպտոսի մայրաքաղաքը:</v>
      </c>
      <c r="D4976" s="6" t="str">
        <f>IFERROR(__xludf.DUMMYFUNCTION("GOOGLETRANSLATE(B4976,""en"",""hy"")"),"Կահիրե.")</f>
        <v>Կահիրե.</v>
      </c>
    </row>
    <row r="4977">
      <c r="A4977" s="5" t="s">
        <v>8446</v>
      </c>
      <c r="B4977" s="5" t="s">
        <v>8447</v>
      </c>
      <c r="C4977" s="5" t="str">
        <f>IFERROR(__xludf.DUMMYFUNCTION("GOOGLETRANSLATE(A4977,""en"",""hy"")"),"Քանի՞ լար է սովորաբար ունենում ջութակը:")</f>
        <v>Քանի՞ լար է սովորաբար ունենում ջութակը:</v>
      </c>
      <c r="D4977" s="6" t="str">
        <f>IFERROR(__xludf.DUMMYFUNCTION("GOOGLETRANSLATE(B4977,""en"",""hy"")"),"Ջութակը սովորաբար ունի չորս լար:")</f>
        <v>Ջութակը սովորաբար ունի չորս լար:</v>
      </c>
    </row>
    <row r="4978">
      <c r="A4978" s="5" t="s">
        <v>7606</v>
      </c>
      <c r="B4978" s="5" t="s">
        <v>8448</v>
      </c>
      <c r="C4978" s="5" t="str">
        <f>IFERROR(__xludf.DUMMYFUNCTION("GOOGLETRANSLATE(A4978,""en"",""hy"")"),"Ո՞վ է հորինել էվոլյուցիայի տեսությունը:")</f>
        <v>Ո՞վ է հորինել էվոլյուցիայի տեսությունը:</v>
      </c>
      <c r="D4978" s="6" t="str">
        <f>IFERROR(__xludf.DUMMYFUNCTION("GOOGLETRANSLATE(B4978,""en"",""hy"")"),"Չարլզ Դարվին")</f>
        <v>Չարլզ Դարվին</v>
      </c>
    </row>
    <row r="4979">
      <c r="A4979" s="5" t="s">
        <v>7809</v>
      </c>
      <c r="B4979" s="5" t="s">
        <v>7810</v>
      </c>
      <c r="C4979" s="5" t="str">
        <f>IFERROR(__xludf.DUMMYFUNCTION("GOOGLETRANSLATE(A4979,""en"",""hy"")"),"Ո՞րն է հելիումի քիմիական նշանը:")</f>
        <v>Ո՞րն է հելիումի քիմիական նշանը:</v>
      </c>
      <c r="D4979" s="6" t="str">
        <f>IFERROR(__xludf.DUMMYFUNCTION("GOOGLETRANSLATE(B4979,""en"",""hy"")"),"Նա")</f>
        <v>Նա</v>
      </c>
    </row>
    <row r="4980">
      <c r="A4980" s="5" t="s">
        <v>8449</v>
      </c>
      <c r="B4980" s="5" t="s">
        <v>1016</v>
      </c>
      <c r="C4980" s="5" t="str">
        <f>IFERROR(__xludf.DUMMYFUNCTION("GOOGLETRANSLATE(A4980,""en"",""hy"")"),"Ո՞վ է գրել «Ամառային գիշերվա երազ» պիեսը:")</f>
        <v>Ո՞վ է գրել «Ամառային գիշերվա երազ» պիեսը:</v>
      </c>
      <c r="D4980" s="6" t="str">
        <f>IFERROR(__xludf.DUMMYFUNCTION("GOOGLETRANSLATE(B4980,""en"",""hy"")"),"Ուիլյամ Շեքսպիր.")</f>
        <v>Ուիլյամ Շեքսպիր.</v>
      </c>
    </row>
    <row r="4981">
      <c r="A4981" s="5" t="s">
        <v>7454</v>
      </c>
      <c r="B4981" s="5" t="s">
        <v>1016</v>
      </c>
      <c r="C4981" s="5" t="str">
        <f>IFERROR(__xludf.DUMMYFUNCTION("GOOGLETRANSLATE(A4981,""en"",""hy"")"),"Ո՞վ է գրել Ռոմեո և Ջուլիետ պիեսը:")</f>
        <v>Ո՞վ է գրել Ռոմեո և Ջուլիետ պիեսը:</v>
      </c>
      <c r="D4981" s="6" t="str">
        <f>IFERROR(__xludf.DUMMYFUNCTION("GOOGLETRANSLATE(B4981,""en"",""hy"")"),"Ուիլյամ Շեքսպիր.")</f>
        <v>Ուիլյամ Շեքսպիր.</v>
      </c>
    </row>
    <row r="4982">
      <c r="A4982" s="5" t="s">
        <v>7632</v>
      </c>
      <c r="B4982" s="5" t="s">
        <v>7633</v>
      </c>
      <c r="C4982" s="5" t="str">
        <f>IFERROR(__xludf.DUMMYFUNCTION("GOOGLETRANSLATE(A4982,""en"",""hy"")"),"Ո՞րն է մեր արեգակնային համակարգի ամենամեծ մոլորակը:")</f>
        <v>Ո՞րն է մեր արեգակնային համակարգի ամենամեծ մոլորակը:</v>
      </c>
      <c r="D4982" s="6" t="str">
        <f>IFERROR(__xludf.DUMMYFUNCTION("GOOGLETRANSLATE(B4982,""en"",""hy"")"),"Յուպիտեր.")</f>
        <v>Յուպիտեր.</v>
      </c>
    </row>
    <row r="4983">
      <c r="A4983" s="5" t="s">
        <v>7450</v>
      </c>
      <c r="B4983" s="5" t="s">
        <v>7451</v>
      </c>
      <c r="C4983" s="5" t="str">
        <f>IFERROR(__xludf.DUMMYFUNCTION("GOOGLETRANSLATE(A4983,""en"",""hy"")"),"Ո՞րն է Ավստրալիայի մայրաքաղաքը:")</f>
        <v>Ո՞րն է Ավստրալիայի մայրաքաղաքը:</v>
      </c>
      <c r="D4983" s="6" t="str">
        <f>IFERROR(__xludf.DUMMYFUNCTION("GOOGLETRANSLATE(B4983,""en"",""hy"")"),"Կանբերա.")</f>
        <v>Կանբերա.</v>
      </c>
    </row>
    <row r="4984">
      <c r="A4984" s="5" t="s">
        <v>8106</v>
      </c>
      <c r="B4984" s="5" t="s">
        <v>7916</v>
      </c>
      <c r="C4984" s="5" t="str">
        <f>IFERROR(__xludf.DUMMYFUNCTION("GOOGLETRANSLATE(A4984,""en"",""hy"")"),"Քանի՞ ոսկոր կա մարդու մարմնում:")</f>
        <v>Քանի՞ ոսկոր կա մարդու մարմնում:</v>
      </c>
      <c r="D4984" s="6" t="str">
        <f>IFERROR(__xludf.DUMMYFUNCTION("GOOGLETRANSLATE(B4984,""en"",""hy"")"),"Մարդու մարմնում կա 206 ոսկոր։")</f>
        <v>Մարդու մարմնում կա 206 ոսկոր։</v>
      </c>
    </row>
    <row r="4985">
      <c r="A4985" s="5" t="s">
        <v>7504</v>
      </c>
      <c r="B4985" s="5" t="s">
        <v>7505</v>
      </c>
      <c r="C4985" s="5" t="str">
        <f>IFERROR(__xludf.DUMMYFUNCTION("GOOGLETRANSLATE(A4985,""en"",""hy"")"),"Ո՞վ է Միացյալ Նահանգների ներկայիս նախագահը:")</f>
        <v>Ո՞վ է Միացյալ Նահանգների ներկայիս նախագահը:</v>
      </c>
      <c r="D4985" s="6" t="str">
        <f>IFERROR(__xludf.DUMMYFUNCTION("GOOGLETRANSLATE(B4985,""en"",""hy"")"),"Ջո Բայդեն.")</f>
        <v>Ջո Բայդեն.</v>
      </c>
    </row>
    <row r="4986">
      <c r="A4986" s="5" t="s">
        <v>7452</v>
      </c>
      <c r="B4986" s="5" t="s">
        <v>7453</v>
      </c>
      <c r="C4986" s="5" t="str">
        <f>IFERROR(__xludf.DUMMYFUNCTION("GOOGLETRANSLATE(A4986,""en"",""hy"")"),"Ո՞րն է ոսկու քիմիական նշանը:")</f>
        <v>Ո՞րն է ոսկու քիմիական նշանը:</v>
      </c>
      <c r="D4986" s="6" t="str">
        <f>IFERROR(__xludf.DUMMYFUNCTION("GOOGLETRANSLATE(B4986,""en"",""hy"")"),"Ոսկու քիմիական նշանը Au-ն է:")</f>
        <v>Ոսկու քիմիական նշանը Au-ն է:</v>
      </c>
    </row>
    <row r="4987">
      <c r="A4987" s="5" t="s">
        <v>8450</v>
      </c>
      <c r="B4987" s="5" t="s">
        <v>7824</v>
      </c>
      <c r="C4987" s="5" t="str">
        <f>IFERROR(__xludf.DUMMYFUNCTION("GOOGLETRANSLATE(A4987,""en"",""hy"")"),"Ո՞ր երկիրն է հայտնի որպես Կրակի և Սառույցի երկիր:")</f>
        <v>Ո՞ր երկիրն է հայտնի որպես Կրակի և Սառույցի երկիր:</v>
      </c>
      <c r="D4987" s="6" t="str">
        <f>IFERROR(__xludf.DUMMYFUNCTION("GOOGLETRANSLATE(B4987,""en"",""hy"")"),"Իսլանդիա.")</f>
        <v>Իսլանդիա.</v>
      </c>
    </row>
    <row r="4988">
      <c r="A4988" s="5" t="s">
        <v>7846</v>
      </c>
      <c r="B4988" s="7">
        <v>1945.0</v>
      </c>
      <c r="C4988" s="5" t="str">
        <f>IFERROR(__xludf.DUMMYFUNCTION("GOOGLETRANSLATE(A4988,""en"",""hy"")"),"Ո՞ր տարում ավարտվեց Երկրորդ համաշխարհային պատերազմը:")</f>
        <v>Ո՞ր տարում ավարտվեց Երկրորդ համաշխարհային պատերազմը:</v>
      </c>
      <c r="D4988" s="6" t="str">
        <f>IFERROR(__xludf.DUMMYFUNCTION("GOOGLETRANSLATE(B4988,""en"",""hy"")"),"1945 թ")</f>
        <v>1945 թ</v>
      </c>
    </row>
    <row r="4989">
      <c r="A4989" s="5" t="s">
        <v>7447</v>
      </c>
      <c r="B4989" s="5" t="s">
        <v>7448</v>
      </c>
      <c r="C4989" s="5" t="str">
        <f>IFERROR(__xludf.DUMMYFUNCTION("GOOGLETRANSLATE(A4989,""en"",""hy"")"),"Ո՞վ է նկարել Մոնա Լիզան:")</f>
        <v>Ո՞վ է նկարել Մոնա Լիզան:</v>
      </c>
      <c r="D4989" s="6" t="str">
        <f>IFERROR(__xludf.DUMMYFUNCTION("GOOGLETRANSLATE(B4989,""en"",""hy"")"),"Լեոնարդո դա Վինչի.")</f>
        <v>Լեոնարդո դա Վինչի.</v>
      </c>
    </row>
    <row r="4990">
      <c r="A4990" s="5" t="s">
        <v>8451</v>
      </c>
      <c r="B4990" s="5" t="s">
        <v>8452</v>
      </c>
      <c r="C4990" s="5" t="str">
        <f>IFERROR(__xludf.DUMMYFUNCTION("GOOGLETRANSLATE(A4990,""en"",""hy"")"),"Քանի՞ «Օսկար» է շահել «Տիտանիկ» ֆիլմը:")</f>
        <v>Քանի՞ «Օսկար» է շահել «Տիտանիկ» ֆիլմը:</v>
      </c>
      <c r="D4990" s="6" t="str">
        <f>IFERROR(__xludf.DUMMYFUNCTION("GOOGLETRANSLATE(B4990,""en"",""hy"")"),"«Տիտանիկ» ֆիլմն արժանացել է 11 Օսկարի։")</f>
        <v>«Տիտանիկ» ֆիլմն արժանացել է 11 Օսկարի։</v>
      </c>
    </row>
    <row r="4991">
      <c r="A4991" s="5" t="s">
        <v>7455</v>
      </c>
      <c r="B4991" s="5" t="s">
        <v>8453</v>
      </c>
      <c r="C4991" s="5" t="str">
        <f>IFERROR(__xludf.DUMMYFUNCTION("GOOGLETRANSLATE(A4991,""en"",""hy"")"),"Ո՞րն է աշխարհի ամենամեծ օվկիանոսը:")</f>
        <v>Ո՞րն է աշխարհի ամենամեծ օվկիանոսը:</v>
      </c>
      <c r="D4991" s="6" t="str">
        <f>IFERROR(__xludf.DUMMYFUNCTION("GOOGLETRANSLATE(B4991,""en"",""hy"")"),"Աշխարհի ամենամեծ օվկիանոսը Խաղաղ օվկիանոսն է։")</f>
        <v>Աշխարհի ամենամեծ օվկիանոսը Խաղաղ օվկիանոսն է։</v>
      </c>
    </row>
    <row r="4992">
      <c r="A4992" s="5" t="s">
        <v>8454</v>
      </c>
      <c r="B4992" s="7">
        <v>1776.0</v>
      </c>
      <c r="C4992" s="5" t="str">
        <f>IFERROR(__xludf.DUMMYFUNCTION("GOOGLETRANSLATE(A4992,""en"",""hy"")"),"Ո՞ր թվականին է Միացյալ Նահանգները հռչակել անկախությունը Մեծ Բրիտանիայից.")</f>
        <v>Ո՞ր թվականին է Միացյալ Նահանգները հռչակել անկախությունը Մեծ Բրիտանիայից.</v>
      </c>
      <c r="D4992" s="6" t="str">
        <f>IFERROR(__xludf.DUMMYFUNCTION("GOOGLETRANSLATE(B4992,""en"",""hy"")"),"1776 թ")</f>
        <v>1776 թ</v>
      </c>
    </row>
    <row r="4993">
      <c r="A4993" s="5" t="s">
        <v>8179</v>
      </c>
      <c r="B4993" s="5" t="s">
        <v>7723</v>
      </c>
      <c r="C4993" s="5" t="str">
        <f>IFERROR(__xludf.DUMMYFUNCTION("GOOGLETRANSLATE(A4993,""en"",""hy"")"),"Ո՞րն է Աֆրիկայի ամենաբարձր լեռը:")</f>
        <v>Ո՞րն է Աֆրիկայի ամենաբարձր լեռը:</v>
      </c>
      <c r="D4993" s="6" t="str">
        <f>IFERROR(__xludf.DUMMYFUNCTION("GOOGLETRANSLATE(B4993,""en"",""hy"")"),"Կիլիմանջարո լեռ.")</f>
        <v>Կիլիմանջարո լեռ.</v>
      </c>
    </row>
    <row r="4994">
      <c r="A4994" s="5" t="s">
        <v>8455</v>
      </c>
      <c r="B4994" s="5" t="s">
        <v>7499</v>
      </c>
      <c r="C4994" s="5" t="str">
        <f>IFERROR(__xludf.DUMMYFUNCTION("GOOGLETRANSLATE(A4994,""en"",""hy"")"),"Ո՞վ է այն հայտնի տեսական ֆիզիկոսը, ով մշակել է հարաբերականության տեսությունը:")</f>
        <v>Ո՞վ է այն հայտնի տեսական ֆիզիկոսը, ով մշակել է հարաբերականության տեսությունը:</v>
      </c>
      <c r="D4994" s="6" t="str">
        <f>IFERROR(__xludf.DUMMYFUNCTION("GOOGLETRANSLATE(B4994,""en"",""hy"")"),"Albert Einstein")</f>
        <v>Albert Einstein</v>
      </c>
    </row>
    <row r="4995">
      <c r="A4995" s="5" t="s">
        <v>8456</v>
      </c>
      <c r="B4995" s="5" t="s">
        <v>8457</v>
      </c>
      <c r="C4995" s="5" t="str">
        <f>IFERROR(__xludf.DUMMYFUNCTION("GOOGLETRANSLATE(A4995,""en"",""hy"")"),"Ո՞րն է պարբերական աղյուսակի թթվածին տարրի խորհրդանիշը:")</f>
        <v>Ո՞րն է պարբերական աղյուսակի թթվածին տարրի խորհրդանիշը:</v>
      </c>
      <c r="D4995" s="6" t="str">
        <f>IFERROR(__xludf.DUMMYFUNCTION("GOOGLETRANSLATE(B4995,""en"",""hy"")"),"Պարբերական աղյուսակում թթվածին տարրի խորհրդանիշն է «O»:")</f>
        <v>Պարբերական աղյուսակում թթվածին տարրի խորհրդանիշն է «O»:</v>
      </c>
    </row>
    <row r="4996">
      <c r="A4996" s="5" t="s">
        <v>7467</v>
      </c>
      <c r="B4996" s="5" t="s">
        <v>7468</v>
      </c>
      <c r="C4996" s="5" t="str">
        <f>IFERROR(__xludf.DUMMYFUNCTION("GOOGLETRANSLATE(A4996,""en"",""hy"")"),"Ո՞րն է Ճապոնիայի արժույթը:")</f>
        <v>Ո՞րն է Ճապոնիայի արժույթը:</v>
      </c>
      <c r="D4996" s="6" t="str">
        <f>IFERROR(__xludf.DUMMYFUNCTION("GOOGLETRANSLATE(B4996,""en"",""hy"")"),"Ճապոնիայի արժույթը ճապոնական իենն է։")</f>
        <v>Ճապոնիայի արժույթը ճապոնական իենն է։</v>
      </c>
    </row>
    <row r="4997">
      <c r="A4997" s="5" t="s">
        <v>8012</v>
      </c>
      <c r="B4997" s="5" t="s">
        <v>7446</v>
      </c>
      <c r="C4997" s="5" t="str">
        <f>IFERROR(__xludf.DUMMYFUNCTION("GOOGLETRANSLATE(A4997,""en"",""hy"")"),"Ո՞ր մոլորակն է հայտնի որպես Կարմիր մոլորակ:")</f>
        <v>Ո՞ր մոլորակն է հայտնի որպես Կարմիր մոլորակ:</v>
      </c>
      <c r="D4997" s="6" t="str">
        <f>IFERROR(__xludf.DUMMYFUNCTION("GOOGLETRANSLATE(B4997,""en"",""hy"")"),"Մարս.")</f>
        <v>Մարս.</v>
      </c>
    </row>
    <row r="4998">
      <c r="A4998" s="5" t="s">
        <v>7502</v>
      </c>
      <c r="B4998" s="5" t="s">
        <v>8458</v>
      </c>
      <c r="C4998" s="5" t="str">
        <f>IFERROR(__xludf.DUMMYFUNCTION("GOOGLETRANSLATE(A4998,""en"",""hy"")"),"Քանի՞ կողմ ունի վեցանկյունը:")</f>
        <v>Քանի՞ կողմ ունի վեցանկյունը:</v>
      </c>
      <c r="D4998" s="6" t="str">
        <f>IFERROR(__xludf.DUMMYFUNCTION("GOOGLETRANSLATE(B4998,""en"",""hy"")"),"Վեցանկյունն ունի 6 կողմ։")</f>
        <v>Վեցանկյունն ունի 6 կողմ։</v>
      </c>
    </row>
    <row r="4999">
      <c r="A4999" s="5" t="s">
        <v>7513</v>
      </c>
      <c r="B4999" s="5" t="s">
        <v>8459</v>
      </c>
      <c r="C4999" s="5" t="str">
        <f>IFERROR(__xludf.DUMMYFUNCTION("GOOGLETRANSLATE(A4999,""en"",""hy"")"),"Ո՞րն է աշխարհի ամենամեծ անապատը:")</f>
        <v>Ո՞րն է աշխարհի ամենամեծ անապատը:</v>
      </c>
      <c r="D4999" s="6" t="str">
        <f>IFERROR(__xludf.DUMMYFUNCTION("GOOGLETRANSLATE(B4999,""en"",""hy"")"),"Սահարա անապատ.")</f>
        <v>Սահարա անապատ.</v>
      </c>
    </row>
    <row r="5000">
      <c r="A5000" s="5" t="s">
        <v>8240</v>
      </c>
      <c r="B5000" s="5" t="s">
        <v>7635</v>
      </c>
      <c r="C5000" s="5" t="str">
        <f>IFERROR(__xludf.DUMMYFUNCTION("GOOGLETRANSLATE(A5000,""en"",""hy"")"),"Ո՞վ էր առաջին մարդը, ով ոտք դրեց լուսնի վրա:")</f>
        <v>Ո՞վ էր առաջին մարդը, ով ոտք դրեց լուսնի վրա:</v>
      </c>
      <c r="D5000" s="6" t="str">
        <f>IFERROR(__xludf.DUMMYFUNCTION("GOOGLETRANSLATE(B5000,""en"",""hy"")"),"Նիլ Արմսթրոնգ.")</f>
        <v>Նիլ Արմսթրոնգ.</v>
      </c>
    </row>
    <row r="5001">
      <c r="A5001" s="5" t="s">
        <v>8014</v>
      </c>
      <c r="B5001" s="5" t="s">
        <v>8460</v>
      </c>
      <c r="C5001" s="5" t="str">
        <f>IFERROR(__xludf.DUMMYFUNCTION("GOOGLETRANSLATE(A5001,""en"",""hy"")"),"Քանի՞ խաղացող կա բասկետբոլի թիմում:")</f>
        <v>Քանի՞ խաղացող կա բասկետբոլի թիմում:</v>
      </c>
      <c r="D5001" s="6" t="str">
        <f>IFERROR(__xludf.DUMMYFUNCTION("GOOGLETRANSLATE(B5001,""en"",""hy"")"),"Բասկետբոլի թիմում 5 խաղացող կա։")</f>
        <v>Բասկետբոլի թիմում 5 խաղացող կա։</v>
      </c>
    </row>
    <row r="5002">
      <c r="A5002" s="5" t="s">
        <v>7780</v>
      </c>
      <c r="B5002" s="5" t="s">
        <v>2951</v>
      </c>
      <c r="C5002" s="5" t="str">
        <f>IFERROR(__xludf.DUMMYFUNCTION("GOOGLETRANSLATE(A5002,""en"",""hy"")"),"Ո՞րն է Կանադայի մայրաքաղաքը:")</f>
        <v>Ո՞րն է Կանադայի մայրաքաղաքը:</v>
      </c>
      <c r="D5002" s="6" t="str">
        <f>IFERROR(__xludf.DUMMYFUNCTION("GOOGLETRANSLATE(B5002,""en"",""hy"")"),"Օտտավա.")</f>
        <v>Օտտավա.</v>
      </c>
    </row>
    <row r="5003">
      <c r="A5003" s="5" t="s">
        <v>7769</v>
      </c>
      <c r="B5003" s="5" t="s">
        <v>8461</v>
      </c>
      <c r="C5003" s="5" t="str">
        <f>IFERROR(__xludf.DUMMYFUNCTION("GOOGLETRANSLATE(A5003,""en"",""hy"")"),"Ո՞վ է Հարրի Փոթերի գրքերի շարքի հեղինակը:")</f>
        <v>Ո՞վ է Հարրի Փոթերի գրքերի շարքի հեղինակը:</v>
      </c>
      <c r="D5003" s="6" t="str">
        <f>IFERROR(__xludf.DUMMYFUNCTION("GOOGLETRANSLATE(B5003,""en"",""hy"")"),"Ջ.Կ. Ռոուլինգը Հարի Փոթերի գրքերի շարքի հեղինակն է։")</f>
        <v>Ջ.Կ. Ռոուլինգը Հարի Փոթերի գրքերի շարքի հեղինակն է։</v>
      </c>
    </row>
    <row r="5004">
      <c r="A5004" s="5" t="s">
        <v>8020</v>
      </c>
      <c r="B5004" s="5" t="s">
        <v>7961</v>
      </c>
      <c r="C5004" s="5" t="str">
        <f>IFERROR(__xludf.DUMMYFUNCTION("GOOGLETRANSLATE(A5004,""en"",""hy"")"),"Ո՞ր թվականին է խորտակվել Տիտանիկը:")</f>
        <v>Ո՞ր թվականին է խորտակվել Տիտանիկը:</v>
      </c>
      <c r="D5004" s="6" t="str">
        <f>IFERROR(__xludf.DUMMYFUNCTION("GOOGLETRANSLATE(B5004,""en"",""hy"")"),"Տիտանիկը խորտակվել է 1912 թվականին։")</f>
        <v>Տիտանիկը խորտակվել է 1912 թվականին։</v>
      </c>
    </row>
    <row r="5005">
      <c r="A5005" s="5" t="s">
        <v>8125</v>
      </c>
      <c r="B5005" s="5" t="s">
        <v>8126</v>
      </c>
      <c r="C5005" s="5" t="str">
        <f>IFERROR(__xludf.DUMMYFUNCTION("GOOGLETRANSLATE(A5005,""en"",""hy"")"),"Ո՞րն է պինգվինի ամենամեծ տեսակը:")</f>
        <v>Ո՞րն է պինգվինի ամենամեծ տեսակը:</v>
      </c>
      <c r="D5005" s="6" t="str">
        <f>IFERROR(__xludf.DUMMYFUNCTION("GOOGLETRANSLATE(B5005,""en"",""hy"")"),"Պինգվինների ամենամեծ տեսակը կայսեր պինգվինն է:")</f>
        <v>Պինգվինների ամենամեծ տեսակը կայսեր պինգվինն է:</v>
      </c>
    </row>
    <row r="5006">
      <c r="A5006" s="5" t="s">
        <v>7552</v>
      </c>
      <c r="B5006" s="5" t="s">
        <v>3535</v>
      </c>
      <c r="C5006" s="5" t="str">
        <f>IFERROR(__xludf.DUMMYFUNCTION("GOOGLETRANSLATE(A5006,""en"",""hy"")"),"Ո՞ր երկիրն է հայտնի Մեծ արգելախութով:")</f>
        <v>Ո՞ր երկիրն է հայտնի Մեծ արգելախութով:</v>
      </c>
      <c r="D5006" s="6" t="str">
        <f>IFERROR(__xludf.DUMMYFUNCTION("GOOGLETRANSLATE(B5006,""en"",""hy"")"),"Ավստրալիա.")</f>
        <v>Ավստրալիա.</v>
      </c>
    </row>
    <row r="5007">
      <c r="A5007" s="5" t="s">
        <v>7536</v>
      </c>
      <c r="B5007" s="5" t="s">
        <v>7870</v>
      </c>
      <c r="C5007" s="5" t="str">
        <f>IFERROR(__xludf.DUMMYFUNCTION("GOOGLETRANSLATE(A5007,""en"",""hy"")"),"Ո՞րն է Ռուսաստանի մայրաքաղաքը:")</f>
        <v>Ո՞րն է Ռուսաստանի մայրաքաղաքը:</v>
      </c>
      <c r="D5007" s="6" t="str">
        <f>IFERROR(__xludf.DUMMYFUNCTION("GOOGLETRANSLATE(B5007,""en"",""hy"")"),"Մոսկվա.")</f>
        <v>Մոսկվա.</v>
      </c>
    </row>
    <row r="5008">
      <c r="A5008" s="5" t="s">
        <v>8462</v>
      </c>
      <c r="B5008" s="5" t="s">
        <v>8463</v>
      </c>
      <c r="C5008" s="5" t="str">
        <f>IFERROR(__xludf.DUMMYFUNCTION("GOOGLETRANSLATE(A5008,""en"",""hy"")"),"Ո՞վ է «Սպանել ծաղրող թռչունին» վեպի հեղինակը:")</f>
        <v>Ո՞վ է «Սպանել ծաղրող թռչունին» վեպի հեղինակը:</v>
      </c>
      <c r="D5008" s="6" t="str">
        <f>IFERROR(__xludf.DUMMYFUNCTION("GOOGLETRANSLATE(B5008,""en"",""hy"")"),"Հարփեր Լի")</f>
        <v>Հարփեր Լի</v>
      </c>
    </row>
    <row r="5009">
      <c r="A5009" s="5" t="s">
        <v>8464</v>
      </c>
      <c r="B5009" s="5" t="s">
        <v>8465</v>
      </c>
      <c r="C5009" s="5" t="str">
        <f>IFERROR(__xludf.DUMMYFUNCTION("GOOGLETRANSLATE(A5009,""en"",""hy"")"),"Քանի՞ ատամ ունի սովորաբար չափահաս մարդը:")</f>
        <v>Քանի՞ ատամ ունի սովորաբար չափահաս մարդը:</v>
      </c>
      <c r="D5009" s="6" t="str">
        <f>IFERROR(__xludf.DUMMYFUNCTION("GOOGLETRANSLATE(B5009,""en"",""hy"")"),"Հասուն մարդը սովորաբար ունենում է 32 ատամ։")</f>
        <v>Հասուն մարդը սովորաբար ունենում է 32 ատամ։</v>
      </c>
    </row>
    <row r="5010">
      <c r="A5010" s="5" t="s">
        <v>8016</v>
      </c>
      <c r="B5010" s="5" t="s">
        <v>8017</v>
      </c>
      <c r="C5010" s="5" t="str">
        <f>IFERROR(__xludf.DUMMYFUNCTION("GOOGLETRANSLATE(A5010,""en"",""hy"")"),"Ո՞րն է Անգլիայի ազգային ծաղիկը:")</f>
        <v>Ո՞րն է Անգլիայի ազգային ծաղիկը:</v>
      </c>
      <c r="D5010" s="6" t="str">
        <f>IFERROR(__xludf.DUMMYFUNCTION("GOOGLETRANSLATE(B5010,""en"",""hy"")"),"Անգլիայի ազգային ծաղիկը վարդն է։")</f>
        <v>Անգլիայի ազգային ծաղիկը վարդն է։</v>
      </c>
    </row>
    <row r="5011">
      <c r="A5011" s="5" t="s">
        <v>7654</v>
      </c>
      <c r="B5011" s="5" t="s">
        <v>7556</v>
      </c>
      <c r="C5011" s="5" t="str">
        <f>IFERROR(__xludf.DUMMYFUNCTION("GOOGLETRANSLATE(A5011,""en"",""hy"")"),"Ո՞վ է հայտնի որպես «Ժամանակակից ֆիզիկայի հայր»:")</f>
        <v>Ո՞վ է հայտնի որպես «Ժամանակակից ֆիզիկայի հայր»:</v>
      </c>
      <c r="D5011" s="6" t="str">
        <f>IFERROR(__xludf.DUMMYFUNCTION("GOOGLETRANSLATE(B5011,""en"",""hy"")"),"Albert Einstein.")</f>
        <v>Albert Einstein.</v>
      </c>
    </row>
    <row r="5012">
      <c r="A5012" s="5" t="s">
        <v>8466</v>
      </c>
      <c r="B5012" s="5" t="s">
        <v>8467</v>
      </c>
      <c r="C5012" s="5" t="str">
        <f>IFERROR(__xludf.DUMMYFUNCTION("GOOGLETRANSLATE(A5012,""en"",""hy"")"),"Ո՞ր թվականին է թողարկվել առաջին iPhone-ը:")</f>
        <v>Ո՞ր թվականին է թողարկվել առաջին iPhone-ը:</v>
      </c>
      <c r="D5012" s="6" t="str">
        <f>IFERROR(__xludf.DUMMYFUNCTION("GOOGLETRANSLATE(B5012,""en"",""hy"")"),"Առաջին iPhone-ը թողարկվել է 2007 թվականին։")</f>
        <v>Առաջին iPhone-ը թողարկվել է 2007 թվականին։</v>
      </c>
    </row>
    <row r="5013">
      <c r="A5013" s="5" t="s">
        <v>8468</v>
      </c>
      <c r="B5013" s="5" t="s">
        <v>8469</v>
      </c>
      <c r="C5013" s="5" t="str">
        <f>IFERROR(__xludf.DUMMYFUNCTION("GOOGLETRANSLATE(A5013,""en"",""hy"")"),"Ո՞րն է Հարավային Ամերիկայի ամենաերկար գետը:")</f>
        <v>Ո՞րն է Հարավային Ամերիկայի ամենաերկար գետը:</v>
      </c>
      <c r="D5013" s="6" t="str">
        <f>IFERROR(__xludf.DUMMYFUNCTION("GOOGLETRANSLATE(B5013,""en"",""hy"")"),"Հարավային Ամերիկայի ամենաերկար գետը Ամազոն գետն է։")</f>
        <v>Հարավային Ամերիկայի ամենաերկար գետը Ամազոն գետն է։</v>
      </c>
    </row>
    <row r="5014">
      <c r="A5014" s="5" t="s">
        <v>7491</v>
      </c>
      <c r="B5014" s="5" t="s">
        <v>7648</v>
      </c>
      <c r="C5014" s="5" t="str">
        <f>IFERROR(__xludf.DUMMYFUNCTION("GOOGLETRANSLATE(A5014,""en"",""hy"")"),"Ո՞վ է նկարել Աստղային գիշերը:")</f>
        <v>Ո՞վ է նկարել Աստղային գիշերը:</v>
      </c>
      <c r="D5014" s="6" t="str">
        <f>IFERROR(__xludf.DUMMYFUNCTION("GOOGLETRANSLATE(B5014,""en"",""hy"")"),"Վինսենթ վան Գոգ.")</f>
        <v>Վինսենթ վան Գոգ.</v>
      </c>
    </row>
    <row r="5015">
      <c r="A5015" s="5" t="s">
        <v>8181</v>
      </c>
      <c r="B5015" s="5" t="s">
        <v>8100</v>
      </c>
      <c r="C5015" s="5" t="str">
        <f>IFERROR(__xludf.DUMMYFUNCTION("GOOGLETRANSLATE(A5015,""en"",""hy"")"),"Քանի՞ մոլորակ կա մեր արեգակնային համակարգում:")</f>
        <v>Քանի՞ մոլորակ կա մեր արեգակնային համակարգում:</v>
      </c>
      <c r="D5015" s="6" t="str">
        <f>IFERROR(__xludf.DUMMYFUNCTION("GOOGLETRANSLATE(B5015,""en"",""hy"")"),"Մեր Արեգակնային համակարգում կա ութ մոլորակ:")</f>
        <v>Մեր Արեգակնային համակարգում կա ութ մոլորակ:</v>
      </c>
    </row>
    <row r="5016">
      <c r="A5016" s="5" t="s">
        <v>8470</v>
      </c>
      <c r="B5016" s="5" t="s">
        <v>8471</v>
      </c>
      <c r="C5016" s="5" t="str">
        <f>IFERROR(__xludf.DUMMYFUNCTION("GOOGLETRANSLATE(A5016,""en"",""hy"")"),"Ո՞ր երկրում են գտնվում Մաչու Պիկչուի հնագույն ավերակները:")</f>
        <v>Ո՞ր երկրում են գտնվում Մաչու Պիկչուի հնագույն ավերակները:</v>
      </c>
      <c r="D5016" s="6" t="str">
        <f>IFERROR(__xludf.DUMMYFUNCTION("GOOGLETRANSLATE(B5016,""en"",""hy"")"),"Պերու.")</f>
        <v>Պերու.</v>
      </c>
    </row>
    <row r="5017">
      <c r="A5017" s="5" t="s">
        <v>7553</v>
      </c>
      <c r="B5017" s="5" t="s">
        <v>7554</v>
      </c>
      <c r="C5017" s="5" t="str">
        <f>IFERROR(__xludf.DUMMYFUNCTION("GOOGLETRANSLATE(A5017,""en"",""hy"")"),"Ո՞րն է Հարավային Աֆրիկայի մայրաքաղաքը:")</f>
        <v>Ո՞րն է Հարավային Աֆրիկայի մայրաքաղաքը:</v>
      </c>
      <c r="D5017" s="6" t="str">
        <f>IFERROR(__xludf.DUMMYFUNCTION("GOOGLETRANSLATE(B5017,""en"",""hy"")"),"Պրետորիա.")</f>
        <v>Պրետորիա.</v>
      </c>
    </row>
    <row r="5018">
      <c r="A5018" s="5" t="s">
        <v>8472</v>
      </c>
      <c r="B5018" s="5" t="s">
        <v>7630</v>
      </c>
      <c r="C5018" s="5" t="str">
        <f>IFERROR(__xludf.DUMMYFUNCTION("GOOGLETRANSLATE(A5018,""en"",""hy"")"),"Ո՞վ է «Հպարտություն և նախապաշարմունք» վեպի հեղինակը.")</f>
        <v>Ո՞վ է «Հպարտություն և նախապաշարմունք» վեպի հեղինակը.</v>
      </c>
      <c r="D5018" s="6" t="str">
        <f>IFERROR(__xludf.DUMMYFUNCTION("GOOGLETRANSLATE(B5018,""en"",""hy"")"),"Ջեյն Օսթին.")</f>
        <v>Ջեյն Օսթին.</v>
      </c>
    </row>
    <row r="5019">
      <c r="A5019" s="5" t="s">
        <v>7557</v>
      </c>
      <c r="B5019" s="5" t="s">
        <v>7857</v>
      </c>
      <c r="C5019" s="5" t="str">
        <f>IFERROR(__xludf.DUMMYFUNCTION("GOOGLETRANSLATE(A5019,""en"",""hy"")"),"Ո՞րն է երկաթի քիմիական նշանը:")</f>
        <v>Ո՞րն է երկաթի քիմիական նշանը:</v>
      </c>
      <c r="D5019" s="6" t="str">
        <f>IFERROR(__xludf.DUMMYFUNCTION("GOOGLETRANSLATE(B5019,""en"",""hy"")"),"Երկաթի քիմիական նշանը Fe է:")</f>
        <v>Երկաթի քիմիական նշանը Fe է:</v>
      </c>
    </row>
    <row r="5020">
      <c r="A5020" s="5" t="s">
        <v>7589</v>
      </c>
      <c r="B5020" s="5" t="s">
        <v>7545</v>
      </c>
      <c r="C5020" s="5" t="str">
        <f>IFERROR(__xludf.DUMMYFUNCTION("GOOGLETRANSLATE(A5020,""en"",""hy"")"),"Ո՞րն է Իտալիայի մայրաքաղաքը:")</f>
        <v>Ո՞րն է Իտալիայի մայրաքաղաքը:</v>
      </c>
      <c r="D5020" s="6" t="str">
        <f>IFERROR(__xludf.DUMMYFUNCTION("GOOGLETRANSLATE(B5020,""en"",""hy"")"),"Հռոմ.")</f>
        <v>Հռոմ.</v>
      </c>
    </row>
    <row r="5021">
      <c r="A5021" s="5" t="s">
        <v>7778</v>
      </c>
      <c r="B5021" s="5" t="s">
        <v>7474</v>
      </c>
      <c r="C5021" s="5" t="str">
        <f>IFERROR(__xludf.DUMMYFUNCTION("GOOGLETRANSLATE(A5021,""en"",""hy"")"),"Ո՞վ է նկարել Սիքստինյան կապելլայի առաստաղը:")</f>
        <v>Ո՞վ է նկարել Սիքստինյան կապելլայի առաստաղը:</v>
      </c>
      <c r="D5021" s="6" t="str">
        <f>IFERROR(__xludf.DUMMYFUNCTION("GOOGLETRANSLATE(B5021,""en"",""hy"")"),"Միքելանջելո.")</f>
        <v>Միքելանջելո.</v>
      </c>
    </row>
    <row r="5022">
      <c r="A5022" s="5" t="s">
        <v>8473</v>
      </c>
      <c r="B5022" s="5" t="s">
        <v>8474</v>
      </c>
      <c r="C5022" s="5" t="str">
        <f>IFERROR(__xludf.DUMMYFUNCTION("GOOGLETRANSLATE(A5022,""en"",""hy"")"),"Քանի՞ օղակ կա օլիմպիական դրոշի վրա:")</f>
        <v>Քանի՞ օղակ կա օլիմպիական դրոշի վրա:</v>
      </c>
      <c r="D5022" s="6" t="str">
        <f>IFERROR(__xludf.DUMMYFUNCTION("GOOGLETRANSLATE(B5022,""en"",""hy"")"),"Օլիմպիական դրոշի վրա հինգ օղակ կա։")</f>
        <v>Օլիմպիական դրոշի վրա հինգ օղակ կա։</v>
      </c>
    </row>
    <row r="5023">
      <c r="A5023" s="5" t="s">
        <v>7449</v>
      </c>
      <c r="B5023" s="5" t="s">
        <v>8141</v>
      </c>
      <c r="C5023" s="5" t="str">
        <f>IFERROR(__xludf.DUMMYFUNCTION("GOOGLETRANSLATE(A5023,""en"",""hy"")"),"Ո՞րն է աշխարհի ամենամեծ երկիրը ցամաքային տարածքով:")</f>
        <v>Ո՞րն է աշխարհի ամենամեծ երկիրը ցամաքային տարածքով:</v>
      </c>
      <c r="D5023" s="6" t="str">
        <f>IFERROR(__xludf.DUMMYFUNCTION("GOOGLETRANSLATE(B5023,""en"",""hy"")"),"Ռուսաստան")</f>
        <v>Ռուսաստան</v>
      </c>
    </row>
    <row r="5024">
      <c r="A5024" s="5" t="s">
        <v>8475</v>
      </c>
      <c r="B5024" s="5" t="s">
        <v>7444</v>
      </c>
      <c r="C5024" s="5" t="str">
        <f>IFERROR(__xludf.DUMMYFUNCTION("GOOGLETRANSLATE(A5024,""en"",""hy"")"),"Ո՞վ է 1984 վեպի հեղինակը։")</f>
        <v>Ո՞վ է 1984 վեպի հեղինակը։</v>
      </c>
      <c r="D5024" s="6" t="str">
        <f>IFERROR(__xludf.DUMMYFUNCTION("GOOGLETRANSLATE(B5024,""en"",""hy"")"),"Ջորջ Օրուել.")</f>
        <v>Ջորջ Օրուել.</v>
      </c>
    </row>
    <row r="5025">
      <c r="A5025" s="5" t="s">
        <v>8476</v>
      </c>
      <c r="B5025" s="5" t="s">
        <v>7976</v>
      </c>
      <c r="C5025" s="5" t="str">
        <f>IFERROR(__xludf.DUMMYFUNCTION("GOOGLETRANSLATE(A5025,""en"",""hy"")"),"Ո՞ր թվականին է սկսվել Առաջին համաշխարհային պատերազմը:")</f>
        <v>Ո՞ր թվականին է սկսվել Առաջին համաշխարհային պատերազմը:</v>
      </c>
      <c r="D5025" s="6" t="str">
        <f>IFERROR(__xludf.DUMMYFUNCTION("GOOGLETRANSLATE(B5025,""en"",""hy"")"),"Առաջին համաշխարհային պատերազմը սկսվել է 1914 թ.")</f>
        <v>Առաջին համաշխարհային պատերազմը սկսվել է 1914 թ.</v>
      </c>
    </row>
    <row r="5026">
      <c r="A5026" s="5" t="s">
        <v>7515</v>
      </c>
      <c r="B5026" s="5" t="s">
        <v>7516</v>
      </c>
      <c r="C5026" s="5" t="str">
        <f>IFERROR(__xludf.DUMMYFUNCTION("GOOGLETRANSLATE(A5026,""en"",""hy"")"),"Ո՞րն է Բրազիլիայի մայրաքաղաքը:")</f>
        <v>Ո՞րն է Բրազիլիայի մայրաքաղաքը:</v>
      </c>
      <c r="D5026" s="6" t="str">
        <f>IFERROR(__xludf.DUMMYFUNCTION("GOOGLETRANSLATE(B5026,""en"",""hy"")"),"Բրազիլիա.")</f>
        <v>Բրազիլիա.</v>
      </c>
    </row>
    <row r="5027">
      <c r="A5027" s="5" t="s">
        <v>7577</v>
      </c>
      <c r="B5027" s="5" t="s">
        <v>7578</v>
      </c>
      <c r="C5027" s="5" t="str">
        <f>IFERROR(__xludf.DUMMYFUNCTION("GOOGLETRANSLATE(A5027,""en"",""hy"")"),"Ո՞վ է գրել Մոբի-Դիկ վեպը:")</f>
        <v>Ո՞վ է գրել Մոբի-Դիկ վեպը:</v>
      </c>
      <c r="D5027" s="6" t="str">
        <f>IFERROR(__xludf.DUMMYFUNCTION("GOOGLETRANSLATE(B5027,""en"",""hy"")"),"Հերման Մելվիլ.")</f>
        <v>Հերման Մելվիլ.</v>
      </c>
    </row>
    <row r="5028">
      <c r="A5028" s="5" t="s">
        <v>7932</v>
      </c>
      <c r="B5028" s="5" t="s">
        <v>7933</v>
      </c>
      <c r="C5028" s="5" t="str">
        <f>IFERROR(__xludf.DUMMYFUNCTION("GOOGLETRANSLATE(A5028,""en"",""hy"")"),"Քանի՞ խցիկ կա մարդու սրտում:")</f>
        <v>Քանի՞ խցիկ կա մարդու սրտում:</v>
      </c>
      <c r="D5028" s="6" t="str">
        <f>IFERROR(__xludf.DUMMYFUNCTION("GOOGLETRANSLATE(B5028,""en"",""hy"")"),"Մարդու սրտում չորս պալատ կա.")</f>
        <v>Մարդու սրտում չորս պալատ կա.</v>
      </c>
    </row>
    <row r="5029">
      <c r="A5029" s="5" t="s">
        <v>7817</v>
      </c>
      <c r="B5029" s="5" t="s">
        <v>7818</v>
      </c>
      <c r="C5029" s="5" t="str">
        <f>IFERROR(__xludf.DUMMYFUNCTION("GOOGLETRANSLATE(A5029,""en"",""hy"")"),"Ո՞րն է Կանադայի ազգային կենդանին:")</f>
        <v>Ո՞րն է Կանադայի ազգային կենդանին:</v>
      </c>
      <c r="D5029" s="6" t="str">
        <f>IFERROR(__xludf.DUMMYFUNCTION("GOOGLETRANSLATE(B5029,""en"",""hy"")"),"Կանադայի ազգային կենդանին կեղևն է:")</f>
        <v>Կանադայի ազգային կենդանին կեղևն է:</v>
      </c>
    </row>
    <row r="5030">
      <c r="A5030" s="5" t="s">
        <v>8477</v>
      </c>
      <c r="B5030" s="5" t="s">
        <v>8478</v>
      </c>
      <c r="C5030" s="5" t="str">
        <f>IFERROR(__xludf.DUMMYFUNCTION("GOOGLETRANSLATE(A5030,""en"",""hy"")"),"Ո՞վ է «Մեծն Գեթսբին» վեպի հեղինակը:")</f>
        <v>Ո՞վ է «Մեծն Գեթսբին» վեպի հեղինակը:</v>
      </c>
      <c r="D5030" s="6" t="str">
        <f>IFERROR(__xludf.DUMMYFUNCTION("GOOGLETRANSLATE(B5030,""en"",""hy"")"),"Ֆ. Սքոթ Ֆիցջերալդը «Մեծն Գեթսբի»-ի հեղինակն է:")</f>
        <v>Ֆ. Սքոթ Ֆիցջերալդը «Մեծն Գեթսբի»-ի հեղինակն է:</v>
      </c>
    </row>
    <row r="5031">
      <c r="A5031" s="5" t="s">
        <v>8479</v>
      </c>
      <c r="B5031" s="5" t="s">
        <v>2790</v>
      </c>
      <c r="C5031" s="5" t="str">
        <f>IFERROR(__xludf.DUMMYFUNCTION("GOOGLETRANSLATE(A5031,""en"",""hy"")"),"Ո՞ր երկրում կգտնեք Մեծ պատը:")</f>
        <v>Ո՞ր երկրում կգտնեք Մեծ պատը:</v>
      </c>
      <c r="D5031" s="6" t="str">
        <f>IFERROR(__xludf.DUMMYFUNCTION("GOOGLETRANSLATE(B5031,""en"",""hy"")"),"Չինաստան.")</f>
        <v>Չինաստան.</v>
      </c>
    </row>
    <row r="5032">
      <c r="A5032" s="5" t="s">
        <v>7509</v>
      </c>
      <c r="B5032" s="5" t="s">
        <v>7684</v>
      </c>
      <c r="C5032" s="5" t="str">
        <f>IFERROR(__xludf.DUMMYFUNCTION("GOOGLETRANSLATE(A5032,""en"",""hy"")"),"Ո՞րն է արծաթի քիմիական նշանը:")</f>
        <v>Ո՞րն է արծաթի քիմիական նշանը:</v>
      </c>
      <c r="D5032" s="6" t="str">
        <f>IFERROR(__xludf.DUMMYFUNCTION("GOOGLETRANSLATE(B5032,""en"",""hy"")"),"Արծաթի քիմիական խորհրդանիշն է Ag.")</f>
        <v>Արծաթի քիմիական խորհրդանիշն է Ag.</v>
      </c>
    </row>
    <row r="5033">
      <c r="A5033" s="5" t="s">
        <v>8480</v>
      </c>
      <c r="B5033" s="5" t="s">
        <v>8481</v>
      </c>
      <c r="C5033" s="5" t="str">
        <f>IFERROR(__xludf.DUMMYFUNCTION("GOOGLETRANSLATE(A5033,""en"",""hy"")"),"Քանի՞ շերտ կա Միացյալ Նահանգների դրոշի վրա:")</f>
        <v>Քանի՞ շերտ կա Միացյալ Նահանգների դրոշի վրա:</v>
      </c>
      <c r="D5033" s="6" t="str">
        <f>IFERROR(__xludf.DUMMYFUNCTION("GOOGLETRANSLATE(B5033,""en"",""hy"")"),"Միացյալ Նահանգների դրոշի վրա կա 13 գծեր։")</f>
        <v>Միացյալ Նահանգների դրոշի վրա կա 13 գծեր։</v>
      </c>
    </row>
    <row r="5034">
      <c r="A5034" s="5" t="s">
        <v>7789</v>
      </c>
      <c r="B5034" s="5" t="s">
        <v>8405</v>
      </c>
      <c r="C5034" s="5" t="str">
        <f>IFERROR(__xludf.DUMMYFUNCTION("GOOGLETRANSLATE(A5034,""en"",""hy"")"),"Ո՞վ է հունական ամպրոպի աստվածը:")</f>
        <v>Ո՞վ է հունական ամպրոպի աստվածը:</v>
      </c>
      <c r="D5034" s="6" t="str">
        <f>IFERROR(__xludf.DUMMYFUNCTION("GOOGLETRANSLATE(B5034,""en"",""hy"")"),"Զևս.")</f>
        <v>Զևս.</v>
      </c>
    </row>
    <row r="5035">
      <c r="A5035" s="5" t="s">
        <v>7614</v>
      </c>
      <c r="B5035" s="5" t="s">
        <v>7721</v>
      </c>
      <c r="C5035" s="5" t="str">
        <f>IFERROR(__xludf.DUMMYFUNCTION("GOOGLETRANSLATE(A5035,""en"",""hy"")"),"Ո՞րն է Ֆրանսիայի արժույթը:")</f>
        <v>Ո՞րն է Ֆրանսիայի արժույթը:</v>
      </c>
      <c r="D5035" s="6" t="str">
        <f>IFERROR(__xludf.DUMMYFUNCTION("GOOGLETRANSLATE(B5035,""en"",""hy"")"),"Ֆրանսիայի արժույթը եվրոն է։")</f>
        <v>Ֆրանսիայի արժույթը եվրոն է։</v>
      </c>
    </row>
    <row r="5036">
      <c r="A5036" s="5" t="s">
        <v>7608</v>
      </c>
      <c r="B5036" s="5" t="s">
        <v>7609</v>
      </c>
      <c r="C5036" s="5" t="str">
        <f>IFERROR(__xludf.DUMMYFUNCTION("GOOGLETRANSLATE(A5036,""en"",""hy"")"),"Ո՞րն է Հնդկաստանի մայրաքաղաքը:")</f>
        <v>Ո՞րն է Հնդկաստանի մայրաքաղաքը:</v>
      </c>
      <c r="D5036" s="6" t="str">
        <f>IFERROR(__xludf.DUMMYFUNCTION("GOOGLETRANSLATE(B5036,""en"",""hy"")"),"Նյու Դելի.")</f>
        <v>Նյու Դելի.</v>
      </c>
    </row>
    <row r="5037">
      <c r="A5037" s="5" t="s">
        <v>8482</v>
      </c>
      <c r="B5037" s="5" t="s">
        <v>8483</v>
      </c>
      <c r="C5037" s="5" t="str">
        <f>IFERROR(__xludf.DUMMYFUNCTION("GOOGLETRANSLATE(A5037,""en"",""hy"")"),"Ո՞վ է «The Catcher in the Rye» վեպի հեղինակը:")</f>
        <v>Ո՞վ է «The Catcher in the Rye» վեպի հեղինակը:</v>
      </c>
      <c r="D5037" s="6" t="str">
        <f>IFERROR(__xludf.DUMMYFUNCTION("GOOGLETRANSLATE(B5037,""en"",""hy"")"),"The Catcher in the Rye-ի հեղինակը Ջ.Դ.Սելինջերն է:")</f>
        <v>The Catcher in the Rye-ի հեղինակը Ջ.Դ.Սելինջերն է:</v>
      </c>
    </row>
    <row r="5038">
      <c r="A5038" s="5" t="s">
        <v>7969</v>
      </c>
      <c r="B5038" s="5" t="s">
        <v>7970</v>
      </c>
      <c r="C5038" s="5" t="str">
        <f>IFERROR(__xludf.DUMMYFUNCTION("GOOGLETRANSLATE(A5038,""en"",""hy"")"),"Քանի՞ ոսկոր կա մարդու գանգում:")</f>
        <v>Քանի՞ ոսկոր կա մարդու գանգում:</v>
      </c>
      <c r="D5038" s="6" t="str">
        <f>IFERROR(__xludf.DUMMYFUNCTION("GOOGLETRANSLATE(B5038,""en"",""hy"")"),"Մարդու գանգում կա 22 ոսկոր։")</f>
        <v>Մարդու գանգում կա 22 ոսկոր։</v>
      </c>
    </row>
    <row r="5039">
      <c r="A5039" s="5" t="s">
        <v>7480</v>
      </c>
      <c r="B5039" s="5" t="s">
        <v>7481</v>
      </c>
      <c r="C5039" s="5" t="str">
        <f>IFERROR(__xludf.DUMMYFUNCTION("GOOGLETRANSLATE(A5039,""en"",""hy"")"),"Ո՞րն է Միացյալ Նահանգների ազգային թռչունը:")</f>
        <v>Ո՞րն է Միացյալ Նահանգների ազգային թռչունը:</v>
      </c>
      <c r="D5039" s="6" t="str">
        <f>IFERROR(__xludf.DUMMYFUNCTION("GOOGLETRANSLATE(B5039,""en"",""hy"")"),"Միացյալ Նահանգների ազգային թռչունը ճաղատ արծիվն է։")</f>
        <v>Միացյալ Նահանգների ազգային թռչունը ճաղատ արծիվն է։</v>
      </c>
    </row>
    <row r="5040">
      <c r="A5040" s="5" t="s">
        <v>8025</v>
      </c>
      <c r="B5040" s="5" t="s">
        <v>8026</v>
      </c>
      <c r="C5040" s="5" t="str">
        <f>IFERROR(__xludf.DUMMYFUNCTION("GOOGLETRANSLATE(A5040,""en"",""hy"")"),"Ո՞րն է Չինաստանի պաշտոնական լեզուն:")</f>
        <v>Ո՞րն է Չինաստանի պաշտոնական լեզուն:</v>
      </c>
      <c r="D5040" s="6" t="str">
        <f>IFERROR(__xludf.DUMMYFUNCTION("GOOGLETRANSLATE(B5040,""en"",""hy"")"),"Չինաստանի պաշտոնական լեզուն մանդարին չինարենն է։")</f>
        <v>Չինաստանի պաշտոնական լեզուն մանդարին չինարենն է։</v>
      </c>
    </row>
    <row r="5041">
      <c r="A5041" s="5" t="s">
        <v>7517</v>
      </c>
      <c r="B5041" s="5" t="s">
        <v>7448</v>
      </c>
      <c r="C5041" s="5" t="str">
        <f>IFERROR(__xludf.DUMMYFUNCTION("GOOGLETRANSLATE(A5041,""en"",""hy"")"),"Ո՞վ է նկարել Վերջին ընթրիքը:")</f>
        <v>Ո՞վ է նկարել Վերջին ընթրիքը:</v>
      </c>
      <c r="D5041" s="6" t="str">
        <f>IFERROR(__xludf.DUMMYFUNCTION("GOOGLETRANSLATE(B5041,""en"",""hy"")"),"Լեոնարդո դա Վինչի.")</f>
        <v>Լեոնարդո դա Վինչի.</v>
      </c>
    </row>
    <row r="5042">
      <c r="A5042" s="5" t="s">
        <v>8053</v>
      </c>
      <c r="B5042" s="5" t="s">
        <v>8424</v>
      </c>
      <c r="C5042" s="5" t="str">
        <f>IFERROR(__xludf.DUMMYFUNCTION("GOOGLETRANSLATE(A5042,""en"",""hy"")"),"Քանի՞ կողմ ունի ութանկյունը:")</f>
        <v>Քանի՞ կողմ ունի ութանկյունը:</v>
      </c>
      <c r="D5042" s="6" t="str">
        <f>IFERROR(__xludf.DUMMYFUNCTION("GOOGLETRANSLATE(B5042,""en"",""hy"")"),"Ութանկյունն ունի 8 կողմ:")</f>
        <v>Ութանկյունն ունի 8 կողմ:</v>
      </c>
    </row>
    <row r="5043">
      <c r="A5043" s="5" t="s">
        <v>7872</v>
      </c>
      <c r="B5043" s="5" t="s">
        <v>6011</v>
      </c>
      <c r="C5043" s="5" t="str">
        <f>IFERROR(__xludf.DUMMYFUNCTION("GOOGLETRANSLATE(A5043,""en"",""hy"")"),"Ո՞րն է Իսպանիայի մայրաքաղաքը:")</f>
        <v>Ո՞րն է Իսպանիայի մայրաքաղաքը:</v>
      </c>
      <c r="D5043" s="6" t="str">
        <f>IFERROR(__xludf.DUMMYFUNCTION("GOOGLETRANSLATE(B5043,""en"",""hy"")"),"Մադրիդ")</f>
        <v>Մադրիդ</v>
      </c>
    </row>
    <row r="5044">
      <c r="A5044" s="5" t="s">
        <v>8484</v>
      </c>
      <c r="B5044" s="5" t="s">
        <v>8485</v>
      </c>
      <c r="C5044" s="5" t="str">
        <f>IFERROR(__xludf.DUMMYFUNCTION("GOOGLETRANSLATE(A5044,""en"",""hy"")"),"Ո՞վ է Պատերազմ և խաղաղություն վեպի հեղինակը.")</f>
        <v>Ո՞վ է Պատերազմ և խաղաղություն վեպի հեղինակը.</v>
      </c>
      <c r="D5044" s="6" t="str">
        <f>IFERROR(__xludf.DUMMYFUNCTION("GOOGLETRANSLATE(B5044,""en"",""hy"")"),"Լև Տոլստոյ.")</f>
        <v>Լև Տոլստոյ.</v>
      </c>
    </row>
    <row r="5045">
      <c r="A5045" s="5" t="s">
        <v>8298</v>
      </c>
      <c r="B5045" s="7">
        <v>1989.0</v>
      </c>
      <c r="C5045" s="5" t="str">
        <f>IFERROR(__xludf.DUMMYFUNCTION("GOOGLETRANSLATE(A5045,""en"",""hy"")"),"Ո՞ր թվականին է փլվել Բեռլինի պատը:")</f>
        <v>Ո՞ր թվականին է փլվել Բեռլինի պատը:</v>
      </c>
      <c r="D5045" s="6" t="str">
        <f>IFERROR(__xludf.DUMMYFUNCTION("GOOGLETRANSLATE(B5045,""en"",""hy"")"),"1989 թ")</f>
        <v>1989 թ</v>
      </c>
    </row>
    <row r="5046">
      <c r="A5046" s="5" t="s">
        <v>7497</v>
      </c>
      <c r="B5046" s="5" t="s">
        <v>1299</v>
      </c>
      <c r="C5046" s="5" t="str">
        <f>IFERROR(__xludf.DUMMYFUNCTION("GOOGLETRANSLATE(A5046,""en"",""hy"")"),"Ո՞րն է աշխարհի ամենամեծ մայրցամաքը:")</f>
        <v>Ո՞րն է աշխարհի ամենամեծ մայրցամաքը:</v>
      </c>
      <c r="D5046" s="6" t="str">
        <f>IFERROR(__xludf.DUMMYFUNCTION("GOOGLETRANSLATE(B5046,""en"",""hy"")"),"Ասիա.")</f>
        <v>Ասիա.</v>
      </c>
    </row>
    <row r="5047">
      <c r="A5047" s="5" t="s">
        <v>8486</v>
      </c>
      <c r="B5047" s="5" t="s">
        <v>8487</v>
      </c>
      <c r="C5047" s="5" t="str">
        <f>IFERROR(__xludf.DUMMYFUNCTION("GOOGLETRANSLATE(A5047,""en"",""hy"")"),"Ո՞վ է համարվում «Ժամանակակից համակարգչի հայրը»:")</f>
        <v>Ո՞վ է համարվում «Ժամանակակից համակարգչի հայրը»:</v>
      </c>
      <c r="D5047" s="6" t="str">
        <f>IFERROR(__xludf.DUMMYFUNCTION("GOOGLETRANSLATE(B5047,""en"",""hy"")"),"Ալան Թյուրինգ.")</f>
        <v>Ալան Թյուրինգ.</v>
      </c>
    </row>
    <row r="5048">
      <c r="A5048" s="5" t="s">
        <v>7665</v>
      </c>
      <c r="B5048" s="5" t="s">
        <v>7666</v>
      </c>
      <c r="C5048" s="5" t="str">
        <f>IFERROR(__xludf.DUMMYFUNCTION("GOOGLETRANSLATE(A5048,""en"",""hy"")"),"Ո՞րն է նատրիումի քիմիական նշանը:")</f>
        <v>Ո՞րն է նատրիումի քիմիական նշանը:</v>
      </c>
      <c r="D5048" s="6" t="str">
        <f>IFERROR(__xludf.DUMMYFUNCTION("GOOGLETRANSLATE(B5048,""en"",""hy"")"),"Նա")</f>
        <v>Նա</v>
      </c>
    </row>
    <row r="5049">
      <c r="A5049" s="5" t="s">
        <v>7791</v>
      </c>
      <c r="B5049" s="5" t="s">
        <v>8128</v>
      </c>
      <c r="C5049" s="5" t="str">
        <f>IFERROR(__xludf.DUMMYFUNCTION("GOOGLETRANSLATE(A5049,""en"",""hy"")"),"Ո՞րն է Ավստրալիայի ազգային կենդանին:")</f>
        <v>Ո՞րն է Ավստրալիայի ազգային կենդանին:</v>
      </c>
      <c r="D5049" s="6" t="str">
        <f>IFERROR(__xludf.DUMMYFUNCTION("GOOGLETRANSLATE(B5049,""en"",""hy"")"),"Կենգուրու.")</f>
        <v>Կենգուրու.</v>
      </c>
    </row>
    <row r="5050">
      <c r="A5050" s="5" t="s">
        <v>8488</v>
      </c>
      <c r="B5050" s="5" t="s">
        <v>8489</v>
      </c>
      <c r="C5050" s="5" t="str">
        <f>IFERROR(__xludf.DUMMYFUNCTION("GOOGLETRANSLATE(A5050,""en"",""hy"")"),"Ո՞վ է գրել Ֆրանկենշտեյն վեպը:")</f>
        <v>Ո՞վ է գրել Ֆրանկենշտեյն վեպը:</v>
      </c>
      <c r="D5050" s="6" t="str">
        <f>IFERROR(__xludf.DUMMYFUNCTION("GOOGLETRANSLATE(B5050,""en"",""hy"")"),"Մերի Շելլի.")</f>
        <v>Մերի Շելլի.</v>
      </c>
    </row>
    <row r="5051">
      <c r="A5051" s="5" t="s">
        <v>8184</v>
      </c>
      <c r="B5051" s="5" t="s">
        <v>8185</v>
      </c>
      <c r="C5051" s="5" t="str">
        <f>IFERROR(__xludf.DUMMYFUNCTION("GOOGLETRANSLATE(A5051,""en"",""hy"")"),"Քանի՞ լար է սովորաբար ունենում կիթառը:")</f>
        <v>Քանի՞ լար է սովորաբար ունենում կիթառը:</v>
      </c>
      <c r="D5051" s="6" t="str">
        <f>IFERROR(__xludf.DUMMYFUNCTION("GOOGLETRANSLATE(B5051,""en"",""hy"")"),"Կիթառը սովորաբար ունի վեց լար:")</f>
        <v>Կիթառը սովորաբար ունի վեց լար:</v>
      </c>
    </row>
    <row r="5052">
      <c r="A5052" s="5" t="s">
        <v>7903</v>
      </c>
      <c r="B5052" s="5" t="s">
        <v>8261</v>
      </c>
      <c r="C5052" s="5" t="str">
        <f>IFERROR(__xludf.DUMMYFUNCTION("GOOGLETRANSLATE(A5052,""en"",""hy"")"),"Ո՞րն է Մեքսիկայի մայրաքաղաքը:")</f>
        <v>Ո՞րն է Մեքսիկայի մայրաքաղաքը:</v>
      </c>
      <c r="D5052" s="6" t="str">
        <f>IFERROR(__xludf.DUMMYFUNCTION("GOOGLETRANSLATE(B5052,""en"",""hy"")"),"Մեխիկո Սիթի.")</f>
        <v>Մեխիկո Սիթի.</v>
      </c>
    </row>
    <row r="5053">
      <c r="A5053" s="5" t="s">
        <v>8490</v>
      </c>
      <c r="B5053" s="5" t="s">
        <v>7867</v>
      </c>
      <c r="C5053" s="5" t="str">
        <f>IFERROR(__xludf.DUMMYFUNCTION("GOOGLETRANSLATE(A5053,""en"",""hy"")"),"Ո՞վ է «Մատանիների տիրակալը» վեպի հեղինակը.")</f>
        <v>Ո՞վ է «Մատանիների տիրակալը» վեպի հեղինակը.</v>
      </c>
      <c r="D5053" s="6" t="str">
        <f>IFERROR(__xludf.DUMMYFUNCTION("GOOGLETRANSLATE(B5053,""en"",""hy"")"),"Ջ.Ռ.Ռ. Թոլքինը։")</f>
        <v>Ջ.Ռ.Ռ. Թոլքինը։</v>
      </c>
    </row>
    <row r="5054">
      <c r="A5054" s="5" t="s">
        <v>8491</v>
      </c>
      <c r="B5054" s="5" t="s">
        <v>8492</v>
      </c>
      <c r="C5054" s="5" t="str">
        <f>IFERROR(__xludf.DUMMYFUNCTION("GOOGLETRANSLATE(A5054,""en"",""hy"")"),"Քանի՞ ոսկոր կա մարդու ձեռքում:")</f>
        <v>Քանի՞ ոսկոր կա մարդու ձեռքում:</v>
      </c>
      <c r="D5054" s="6" t="str">
        <f>IFERROR(__xludf.DUMMYFUNCTION("GOOGLETRANSLATE(B5054,""en"",""hy"")"),"Մարդու ձեռքում կա 27 ոսկոր։")</f>
        <v>Մարդու ձեռքում կա 27 ոսկոր։</v>
      </c>
    </row>
    <row r="5055">
      <c r="A5055" s="5" t="s">
        <v>8343</v>
      </c>
      <c r="B5055" s="5" t="s">
        <v>8344</v>
      </c>
      <c r="C5055" s="5" t="str">
        <f>IFERROR(__xludf.DUMMYFUNCTION("GOOGLETRANSLATE(A5055,""en"",""hy"")"),"Ո՞րն է Շոտլանդիայի ազգային ծաղիկը:")</f>
        <v>Ո՞րն է Շոտլանդիայի ազգային ծաղիկը:</v>
      </c>
      <c r="D5055" s="6" t="str">
        <f>IFERROR(__xludf.DUMMYFUNCTION("GOOGLETRANSLATE(B5055,""en"",""hy"")"),"Շոտլանդիայի ազգային ծաղիկը տատասկափուշն է:")</f>
        <v>Շոտլանդիայի ազգային ծաղիկը տատասկափուշն է:</v>
      </c>
    </row>
    <row r="5056">
      <c r="A5056" s="5" t="s">
        <v>7574</v>
      </c>
      <c r="B5056" s="5" t="s">
        <v>7525</v>
      </c>
      <c r="C5056" s="5" t="str">
        <f>IFERROR(__xludf.DUMMYFUNCTION("GOOGLETRANSLATE(A5056,""en"",""hy"")"),"Ո՞րն է Չինաստանի մայրաքաղաքը:")</f>
        <v>Ո՞րն է Չինաստանի մայրաքաղաքը:</v>
      </c>
      <c r="D5056" s="6" t="str">
        <f>IFERROR(__xludf.DUMMYFUNCTION("GOOGLETRANSLATE(B5056,""en"",""hy"")"),"Պեկին.")</f>
        <v>Պեկին.</v>
      </c>
    </row>
    <row r="5057">
      <c r="A5057" s="5" t="s">
        <v>8493</v>
      </c>
      <c r="B5057" s="5" t="s">
        <v>8494</v>
      </c>
      <c r="C5057" s="5" t="str">
        <f>IFERROR(__xludf.DUMMYFUNCTION("GOOGLETRANSLATE(A5057,""en"",""hy"")"),"Ո՞վ է Fahrenheit 451 վեպի հեղինակը:")</f>
        <v>Ո՞վ է Fahrenheit 451 վեպի հեղինակը:</v>
      </c>
      <c r="D5057" s="6" t="str">
        <f>IFERROR(__xludf.DUMMYFUNCTION("GOOGLETRANSLATE(B5057,""en"",""hy"")"),"Ռեյ Բրեդբերի.")</f>
        <v>Ռեյ Բրեդբերի.</v>
      </c>
    </row>
    <row r="5058">
      <c r="A5058" s="5" t="s">
        <v>8495</v>
      </c>
      <c r="B5058" s="7">
        <v>1776.0</v>
      </c>
      <c r="C5058" s="5" t="str">
        <f>IFERROR(__xludf.DUMMYFUNCTION("GOOGLETRANSLATE(A5058,""en"",""hy"")"),"Ո՞ր թվականին է ստորագրվել Անկախության հռչակագիրը։")</f>
        <v>Ո՞ր թվականին է ստորագրվել Անկախության հռչակագիրը։</v>
      </c>
      <c r="D5058" s="6" t="str">
        <f>IFERROR(__xludf.DUMMYFUNCTION("GOOGLETRANSLATE(B5058,""en"",""hy"")"),"1776 թ")</f>
        <v>1776 թ</v>
      </c>
    </row>
    <row r="5059">
      <c r="A5059" s="5" t="s">
        <v>7699</v>
      </c>
      <c r="B5059" s="5" t="s">
        <v>7700</v>
      </c>
      <c r="C5059" s="5" t="str">
        <f>IFERROR(__xludf.DUMMYFUNCTION("GOOGLETRANSLATE(A5059,""en"",""hy"")"),"Ո՞րն է ածխածնի քիմիական նշանը:")</f>
        <v>Ո՞րն է ածխածնի քիմիական նշանը:</v>
      </c>
      <c r="D5059" s="6" t="str">
        <f>IFERROR(__xludf.DUMMYFUNCTION("GOOGLETRANSLATE(B5059,""en"",""hy"")"),"Ածխածնի քիմիական նշանը C է:")</f>
        <v>Ածխածնի քիմիական նշանը C է:</v>
      </c>
    </row>
    <row r="5060">
      <c r="A5060" s="5" t="s">
        <v>7500</v>
      </c>
      <c r="B5060" s="5" t="s">
        <v>7501</v>
      </c>
      <c r="C5060" s="5" t="str">
        <f>IFERROR(__xludf.DUMMYFUNCTION("GOOGLETRANSLATE(A5060,""en"",""hy"")"),"Ո՞րն է Ֆրանսիայի մայրաքաղաքը:")</f>
        <v>Ո՞րն է Ֆրանսիայի մայրաքաղաքը:</v>
      </c>
      <c r="D5060" s="6" t="str">
        <f>IFERROR(__xludf.DUMMYFUNCTION("GOOGLETRANSLATE(B5060,""en"",""hy"")"),"Փարիզ.")</f>
        <v>Փարիզ.</v>
      </c>
    </row>
    <row r="5061">
      <c r="A5061" s="5" t="s">
        <v>7620</v>
      </c>
      <c r="B5061" s="5" t="s">
        <v>7621</v>
      </c>
      <c r="C5061" s="5" t="str">
        <f>IFERROR(__xludf.DUMMYFUNCTION("GOOGLETRANSLATE(A5061,""en"",""hy"")"),"Ո՞վ է նկարել Վեներայի ծնունդը:")</f>
        <v>Ո՞վ է նկարել Վեներայի ծնունդը:</v>
      </c>
      <c r="D5061" s="6" t="str">
        <f>IFERROR(__xludf.DUMMYFUNCTION("GOOGLETRANSLATE(B5061,""en"",""hy"")"),"Սանդրո Բոտիչելի.")</f>
        <v>Սանդրո Բոտիչելի.</v>
      </c>
    </row>
    <row r="5062">
      <c r="A5062" s="5" t="s">
        <v>8496</v>
      </c>
      <c r="B5062" s="5" t="s">
        <v>8497</v>
      </c>
      <c r="C5062" s="5" t="str">
        <f>IFERROR(__xludf.DUMMYFUNCTION("GOOGLETRANSLATE(A5062,""en"",""hy"")"),"Քանի՞ փական ունի մարդու սիրտը:")</f>
        <v>Քանի՞ փական ունի մարդու սիրտը:</v>
      </c>
      <c r="D5062" s="6" t="str">
        <f>IFERROR(__xludf.DUMMYFUNCTION("GOOGLETRANSLATE(B5062,""en"",""hy"")"),"Մարդու սիրտն ունի չորս փական.")</f>
        <v>Մարդու սիրտն ունի չորս փական.</v>
      </c>
    </row>
    <row r="5063">
      <c r="A5063" s="5" t="s">
        <v>8151</v>
      </c>
      <c r="B5063" s="5" t="s">
        <v>8498</v>
      </c>
      <c r="C5063" s="5" t="str">
        <f>IFERROR(__xludf.DUMMYFUNCTION("GOOGLETRANSLATE(A5063,""en"",""hy"")"),"Ո՞րն է Հնդկաստանի ազգային կենդանին:")</f>
        <v>Ո՞րն է Հնդկաստանի ազգային կենդանին:</v>
      </c>
      <c r="D5063" s="6" t="str">
        <f>IFERROR(__xludf.DUMMYFUNCTION("GOOGLETRANSLATE(B5063,""en"",""hy"")"),"Վագր.")</f>
        <v>Վագր.</v>
      </c>
    </row>
    <row r="5064">
      <c r="A5064" s="5" t="s">
        <v>8499</v>
      </c>
      <c r="B5064" s="5" t="s">
        <v>8500</v>
      </c>
      <c r="C5064" s="5" t="str">
        <f>IFERROR(__xludf.DUMMYFUNCTION("GOOGLETRANSLATE(A5064,""en"",""hy"")"),"Ո՞վ է գրել «Ոդիսական» վեպը:")</f>
        <v>Ո՞վ է գրել «Ոդիսական» վեպը:</v>
      </c>
      <c r="D5064" s="6" t="str">
        <f>IFERROR(__xludf.DUMMYFUNCTION("GOOGLETRANSLATE(B5064,""en"",""hy"")"),"Հոմեր.")</f>
        <v>Հոմեր.</v>
      </c>
    </row>
    <row r="5065">
      <c r="A5065" s="5" t="s">
        <v>8276</v>
      </c>
      <c r="B5065" s="5" t="s">
        <v>8277</v>
      </c>
      <c r="C5065" s="5" t="str">
        <f>IFERROR(__xludf.DUMMYFUNCTION("GOOGLETRANSLATE(A5065,""en"",""hy"")"),"Մեր Արեգակնային համակարգում քանի՞ մոլորակ ունի օղակ:")</f>
        <v>Մեր Արեգակնային համակարգում քանի՞ մոլորակ ունի օղակ:</v>
      </c>
      <c r="D5065" s="6" t="str">
        <f>IFERROR(__xludf.DUMMYFUNCTION("GOOGLETRANSLATE(B5065,""en"",""hy"")"),"Մեր Արեգակնային համակարգի չորս մոլորակներ ունեն օղակներ:")</f>
        <v>Մեր Արեգակնային համակարգի չորս մոլորակներ ունեն օղակներ:</v>
      </c>
    </row>
    <row r="5066">
      <c r="A5066" s="5" t="s">
        <v>8501</v>
      </c>
      <c r="B5066" s="5" t="s">
        <v>8502</v>
      </c>
      <c r="C5066" s="5" t="str">
        <f>IFERROR(__xludf.DUMMYFUNCTION("GOOGLETRANSLATE(A5066,""en"",""hy"")"),"Ո՞ր քաղաքն է ընդունել 2016 թվականի ամառային օլիմպիական խաղերը:")</f>
        <v>Ո՞ր քաղաքն է ընդունել 2016 թվականի ամառային օլիմպիական խաղերը:</v>
      </c>
      <c r="D5066" s="6" t="str">
        <f>IFERROR(__xludf.DUMMYFUNCTION("GOOGLETRANSLATE(B5066,""en"",""hy"")"),"Ռիո դե Ժանեյրո, Բրազիլիա.")</f>
        <v>Ռիո դե Ժանեյրո, Բրազիլիա.</v>
      </c>
    </row>
    <row r="5067">
      <c r="A5067" s="5" t="s">
        <v>7897</v>
      </c>
      <c r="B5067" s="5" t="s">
        <v>7898</v>
      </c>
      <c r="C5067" s="5" t="str">
        <f>IFERROR(__xludf.DUMMYFUNCTION("GOOGLETRANSLATE(A5067,""en"",""hy"")"),"Ո՞րն է Արգենտինայի մայրաքաղաքը:")</f>
        <v>Ո՞րն է Արգենտինայի մայրաքաղաքը:</v>
      </c>
      <c r="D5067" s="6" t="str">
        <f>IFERROR(__xludf.DUMMYFUNCTION("GOOGLETRANSLATE(B5067,""en"",""hy"")"),"Բուենոս Այրես.")</f>
        <v>Բուենոս Այրես.</v>
      </c>
    </row>
    <row r="5068">
      <c r="A5068" s="5" t="s">
        <v>8503</v>
      </c>
      <c r="B5068" s="5" t="s">
        <v>8504</v>
      </c>
      <c r="C5068" s="5" t="str">
        <f>IFERROR(__xludf.DUMMYFUNCTION("GOOGLETRANSLATE(A5068,""en"",""hy"")"),"Ո՞վ է Catch-22 վեպի հեղինակը:")</f>
        <v>Ո՞վ է Catch-22 վեպի հեղինակը:</v>
      </c>
      <c r="D5068" s="6" t="str">
        <f>IFERROR(__xludf.DUMMYFUNCTION("GOOGLETRANSLATE(B5068,""en"",""hy"")"),"Ջոզեֆ Հելլեր.")</f>
        <v>Ջոզեֆ Հելլեր.</v>
      </c>
    </row>
    <row r="5069">
      <c r="A5069" s="5" t="s">
        <v>8505</v>
      </c>
      <c r="B5069" s="5" t="s">
        <v>8506</v>
      </c>
      <c r="C5069" s="5" t="str">
        <f>IFERROR(__xludf.DUMMYFUNCTION("GOOGLETRANSLATE(A5069,""en"",""hy"")"),"Քանի՞ ոտք ունի սարդը սովորաբար:")</f>
        <v>Քանի՞ ոտք ունի սարդը սովորաբար:</v>
      </c>
      <c r="D5069" s="6" t="str">
        <f>IFERROR(__xludf.DUMMYFUNCTION("GOOGLETRANSLATE(B5069,""en"",""hy"")"),"Սարդը սովորաբար ունի ութ ոտք:")</f>
        <v>Սարդը սովորաբար ունի ութ ոտք:</v>
      </c>
    </row>
    <row r="5070">
      <c r="A5070" s="5" t="s">
        <v>8161</v>
      </c>
      <c r="B5070" s="5" t="s">
        <v>8162</v>
      </c>
      <c r="C5070" s="5" t="str">
        <f>IFERROR(__xludf.DUMMYFUNCTION("GOOGLETRANSLATE(A5070,""en"",""hy"")"),"Ո՞րն է Ճապոնիայի ազգային ծաղիկը:")</f>
        <v>Ո՞րն է Ճապոնիայի ազգային ծաղիկը:</v>
      </c>
      <c r="D5070" s="6" t="str">
        <f>IFERROR(__xludf.DUMMYFUNCTION("GOOGLETRANSLATE(B5070,""en"",""hy"")"),"Ճապոնիայի ազգային ծաղիկը բալի ծաղիկն է:")</f>
        <v>Ճապոնիայի ազգային ծաղիկը բալի ծաղիկն է:</v>
      </c>
    </row>
    <row r="5071">
      <c r="A5071" s="5" t="s">
        <v>7626</v>
      </c>
      <c r="B5071" s="5" t="s">
        <v>8066</v>
      </c>
      <c r="C5071" s="5" t="str">
        <f>IFERROR(__xludf.DUMMYFUNCTION("GOOGLETRANSLATE(A5071,""en"",""hy"")"),"Ո՞րն է Գերմանիայի մայրաքաղաքը:")</f>
        <v>Ո՞րն է Գերմանիայի մայրաքաղաքը:</v>
      </c>
      <c r="D5071" s="6" t="str">
        <f>IFERROR(__xludf.DUMMYFUNCTION("GOOGLETRANSLATE(B5071,""en"",""hy"")"),"Բեռլին.")</f>
        <v>Բեռլին.</v>
      </c>
    </row>
    <row r="5072">
      <c r="A5072" s="5" t="s">
        <v>8507</v>
      </c>
      <c r="B5072" s="5" t="s">
        <v>7560</v>
      </c>
      <c r="C5072" s="5" t="str">
        <f>IFERROR(__xludf.DUMMYFUNCTION("GOOGLETRANSLATE(A5072,""en"",""hy"")"),"Ո՞վ է «Cacher in the Rye» վեպի հեղինակը:")</f>
        <v>Ո՞վ է «Cacher in the Rye» վեպի հեղինակը:</v>
      </c>
      <c r="D5072" s="6" t="str">
        <f>IFERROR(__xludf.DUMMYFUNCTION("GOOGLETRANSLATE(B5072,""en"",""hy"")"),"Ջ.Դ.Սելինջեր.")</f>
        <v>Ջ.Դ.Սելինջեր.</v>
      </c>
    </row>
    <row r="5073">
      <c r="A5073" s="5" t="s">
        <v>8508</v>
      </c>
      <c r="B5073" s="5" t="s">
        <v>8509</v>
      </c>
      <c r="C5073" s="5" t="str">
        <f>IFERROR(__xludf.DUMMYFUNCTION("GOOGLETRANSLATE(A5073,""en"",""hy"")"),"Ո՞ր թվականին սկսվեց Ֆրանսիական հեղափոխությունը:")</f>
        <v>Ո՞ր թվականին սկսվեց Ֆրանսիական հեղափոխությունը:</v>
      </c>
      <c r="D5073" s="6" t="str">
        <f>IFERROR(__xludf.DUMMYFUNCTION("GOOGLETRANSLATE(B5073,""en"",""hy"")"),"Ֆրանսիական հեղափոխությունը սկսվել է 1789 թվականին։")</f>
        <v>Ֆրանսիական հեղափոխությունը սկսվել է 1789 թվականին։</v>
      </c>
    </row>
    <row r="5074">
      <c r="A5074" s="5" t="s">
        <v>7825</v>
      </c>
      <c r="B5074" s="5" t="s">
        <v>7826</v>
      </c>
      <c r="C5074" s="5" t="str">
        <f>IFERROR(__xludf.DUMMYFUNCTION("GOOGLETRANSLATE(A5074,""en"",""hy"")"),"Ո՞րն է մարդու մարմնի ամենամեծ ոսկորը:")</f>
        <v>Ո՞րն է մարդու մարմնի ամենամեծ ոսկորը:</v>
      </c>
      <c r="D5074" s="6" t="str">
        <f>IFERROR(__xludf.DUMMYFUNCTION("GOOGLETRANSLATE(B5074,""en"",""hy"")"),"Ֆեմուրը.")</f>
        <v>Ֆեմուրը.</v>
      </c>
    </row>
    <row r="5075">
      <c r="A5075" s="5" t="s">
        <v>8198</v>
      </c>
      <c r="B5075" s="5" t="s">
        <v>8199</v>
      </c>
      <c r="C5075" s="5" t="str">
        <f>IFERROR(__xludf.DUMMYFUNCTION("GOOGLETRANSLATE(A5075,""en"",""hy"")"),"Ո՞րն է Չինաստանի ազգային կենդանին:")</f>
        <v>Ո՞րն է Չինաստանի ազգային կենդանին:</v>
      </c>
      <c r="D5075" s="6" t="str">
        <f>IFERROR(__xludf.DUMMYFUNCTION("GOOGLETRANSLATE(B5075,""en"",""hy"")"),"Չինաստանի ազգային կենդանին հսկա պանդան է։")</f>
        <v>Չինաստանի ազգային կենդանին հսկա պանդան է։</v>
      </c>
    </row>
    <row r="5076">
      <c r="A5076" s="5" t="s">
        <v>8510</v>
      </c>
      <c r="B5076" s="5" t="s">
        <v>8511</v>
      </c>
      <c r="C5076" s="5" t="str">
        <f>IFERROR(__xludf.DUMMYFUNCTION("GOOGLETRANSLATE(A5076,""en"",""hy"")"),"Ո՞վ է գրել «Ջունգլիների գիրքը» վեպը:")</f>
        <v>Ո՞վ է գրել «Ջունգլիների գիրքը» վեպը:</v>
      </c>
      <c r="D5076" s="6" t="str">
        <f>IFERROR(__xludf.DUMMYFUNCTION("GOOGLETRANSLATE(B5076,""en"",""hy"")"),"Ռադյարդ Քիփլինգ.")</f>
        <v>Ռադյարդ Քիփլինգ.</v>
      </c>
    </row>
    <row r="5077">
      <c r="A5077" s="5" t="s">
        <v>8512</v>
      </c>
      <c r="B5077" s="5" t="s">
        <v>8513</v>
      </c>
      <c r="C5077" s="5" t="str">
        <f>IFERROR(__xludf.DUMMYFUNCTION("GOOGLETRANSLATE(A5077,""en"",""hy"")"),"Մեր Արեգակնային համակարգում քանի՞ մոլորակ կա արբանյակ:")</f>
        <v>Մեր Արեգակնային համակարգում քանի՞ մոլորակ կա արբանյակ:</v>
      </c>
      <c r="D5077" s="6" t="str">
        <f>IFERROR(__xludf.DUMMYFUNCTION("GOOGLETRANSLATE(B5077,""en"",""hy"")"),"Մեր Արեգակնային համակարգում կան ութ մոլորակներ, որոնք ունեն արբանյակներ:")</f>
        <v>Մեր Արեգակնային համակարգում կան ութ մոլորակներ, որոնք ունեն արբանյակներ:</v>
      </c>
    </row>
    <row r="5078">
      <c r="A5078" s="5" t="s">
        <v>8514</v>
      </c>
      <c r="B5078" s="5" t="s">
        <v>7501</v>
      </c>
      <c r="C5078" s="5" t="str">
        <f>IFERROR(__xludf.DUMMYFUNCTION("GOOGLETRANSLATE(A5078,""en"",""hy"")"),"Ո՞ր քաղաքն է հայտնի որպես «սիրո քաղաք»:")</f>
        <v>Ո՞ր քաղաքն է հայտնի որպես «սիրո քաղաք»:</v>
      </c>
      <c r="D5078" s="6" t="str">
        <f>IFERROR(__xludf.DUMMYFUNCTION("GOOGLETRANSLATE(B5078,""en"",""hy"")"),"Փարիզ.")</f>
        <v>Փարիզ.</v>
      </c>
    </row>
    <row r="5079">
      <c r="A5079" s="5" t="s">
        <v>7809</v>
      </c>
      <c r="B5079" s="5" t="s">
        <v>7810</v>
      </c>
      <c r="C5079" s="5" t="str">
        <f>IFERROR(__xludf.DUMMYFUNCTION("GOOGLETRANSLATE(A5079,""en"",""hy"")"),"Ո՞րն է հելիումի քիմիական նշանը:")</f>
        <v>Ո՞րն է հելիումի քիմիական նշանը:</v>
      </c>
      <c r="D5079" s="6" t="str">
        <f>IFERROR(__xludf.DUMMYFUNCTION("GOOGLETRANSLATE(B5079,""en"",""hy"")"),"Նա")</f>
        <v>Նա</v>
      </c>
    </row>
    <row r="5080">
      <c r="A5080" s="5" t="s">
        <v>8515</v>
      </c>
      <c r="B5080" s="5" t="s">
        <v>8516</v>
      </c>
      <c r="C5080" s="5" t="str">
        <f>IFERROR(__xludf.DUMMYFUNCTION("GOOGLETRANSLATE(A5080,""en"",""hy"")"),"Ո՞րն է Միացյալ Թագավորության մայրաքաղաքը:")</f>
        <v>Ո՞րն է Միացյալ Թագավորության մայրաքաղաքը:</v>
      </c>
      <c r="D5080" s="6" t="str">
        <f>IFERROR(__xludf.DUMMYFUNCTION("GOOGLETRANSLATE(B5080,""en"",""hy"")"),"Լոնդոն")</f>
        <v>Լոնդոն</v>
      </c>
    </row>
    <row r="5081">
      <c r="A5081" s="5" t="s">
        <v>7574</v>
      </c>
      <c r="B5081" s="5" t="s">
        <v>7525</v>
      </c>
      <c r="C5081" s="5" t="str">
        <f>IFERROR(__xludf.DUMMYFUNCTION("GOOGLETRANSLATE(A5081,""en"",""hy"")"),"Ո՞րն է Չինաստանի մայրաքաղաքը:")</f>
        <v>Ո՞րն է Չինաստանի մայրաքաղաքը:</v>
      </c>
      <c r="D5081" s="6" t="str">
        <f>IFERROR(__xludf.DUMMYFUNCTION("GOOGLETRANSLATE(B5081,""en"",""hy"")"),"Պեկին.")</f>
        <v>Պեկին.</v>
      </c>
    </row>
    <row r="5082">
      <c r="A5082" s="5" t="s">
        <v>8517</v>
      </c>
      <c r="B5082" s="5" t="s">
        <v>7448</v>
      </c>
      <c r="C5082" s="5" t="str">
        <f>IFERROR(__xludf.DUMMYFUNCTION("GOOGLETRANSLATE(A5082,""en"",""hy"")"),"Ո՞վ է նկարել հայտնի Մոնա Լիզային:")</f>
        <v>Ո՞վ է նկարել հայտնի Մոնա Լիզային:</v>
      </c>
      <c r="D5082" s="6" t="str">
        <f>IFERROR(__xludf.DUMMYFUNCTION("GOOGLETRANSLATE(B5082,""en"",""hy"")"),"Լեոնարդո դա Վինչի.")</f>
        <v>Լեոնարդո դա Վինչի.</v>
      </c>
    </row>
    <row r="5083">
      <c r="A5083" s="5" t="s">
        <v>7452</v>
      </c>
      <c r="B5083" s="5" t="s">
        <v>7631</v>
      </c>
      <c r="C5083" s="5" t="str">
        <f>IFERROR(__xludf.DUMMYFUNCTION("GOOGLETRANSLATE(A5083,""en"",""hy"")"),"Ո՞րն է ոսկու քիմիական նշանը:")</f>
        <v>Ո՞րն է ոսկու քիմիական նշանը:</v>
      </c>
      <c r="D5083" s="6" t="str">
        <f>IFERROR(__xludf.DUMMYFUNCTION("GOOGLETRANSLATE(B5083,""en"",""hy"")"),"Ավ")</f>
        <v>Ավ</v>
      </c>
    </row>
    <row r="5084">
      <c r="A5084" s="5" t="s">
        <v>8518</v>
      </c>
      <c r="B5084" s="5" t="s">
        <v>8201</v>
      </c>
      <c r="C5084" s="5" t="str">
        <f>IFERROR(__xludf.DUMMYFUNCTION("GOOGLETRANSLATE(A5084,""en"",""hy"")"),"Ո՞ր երկրում են ծագել Օլիմպիական խաղերը:")</f>
        <v>Ո՞ր երկրում են ծագել Օլիմպիական խաղերը:</v>
      </c>
      <c r="D5084" s="6" t="str">
        <f>IFERROR(__xludf.DUMMYFUNCTION("GOOGLETRANSLATE(B5084,""en"",""hy"")"),"Հունաստան.")</f>
        <v>Հունաստան.</v>
      </c>
    </row>
    <row r="5085">
      <c r="A5085" s="5" t="s">
        <v>7463</v>
      </c>
      <c r="B5085" s="5" t="s">
        <v>7464</v>
      </c>
      <c r="C5085" s="5" t="str">
        <f>IFERROR(__xludf.DUMMYFUNCTION("GOOGLETRANSLATE(A5085,""en"",""hy"")"),"Ո՞րն է աշխարհի ամենաբարձր լեռը:")</f>
        <v>Ո՞րն է աշխարհի ամենաբարձր լեռը:</v>
      </c>
      <c r="D5085" s="6" t="str">
        <f>IFERROR(__xludf.DUMMYFUNCTION("GOOGLETRANSLATE(B5085,""en"",""hy"")"),"Էվերեստ լեռ.")</f>
        <v>Էվերեստ լեռ.</v>
      </c>
    </row>
    <row r="5086">
      <c r="A5086" s="5" t="s">
        <v>7465</v>
      </c>
      <c r="B5086" s="5" t="s">
        <v>7630</v>
      </c>
      <c r="C5086" s="5" t="str">
        <f>IFERROR(__xludf.DUMMYFUNCTION("GOOGLETRANSLATE(A5086,""en"",""hy"")"),"Ո՞վ է գրել «Հպարտություն և նախապաշարմունք» վեպը:")</f>
        <v>Ո՞վ է գրել «Հպարտություն և նախապաշարմունք» վեպը:</v>
      </c>
      <c r="D5086" s="6" t="str">
        <f>IFERROR(__xludf.DUMMYFUNCTION("GOOGLETRANSLATE(B5086,""en"",""hy"")"),"Ջեյն Օսթին.")</f>
        <v>Ջեյն Օսթին.</v>
      </c>
    </row>
    <row r="5087">
      <c r="A5087" s="5" t="s">
        <v>7483</v>
      </c>
      <c r="B5087" s="5" t="s">
        <v>8295</v>
      </c>
      <c r="C5087" s="5" t="str">
        <f>IFERROR(__xludf.DUMMYFUNCTION("GOOGLETRANSLATE(A5087,""en"",""hy"")"),"Ո՞րն է ջրի քիմիական բանաձևը:")</f>
        <v>Ո՞րն է ջրի քիմիական բանաձևը:</v>
      </c>
      <c r="D5087" s="6" t="str">
        <f>IFERROR(__xludf.DUMMYFUNCTION("GOOGLETRANSLATE(B5087,""en"",""hy"")"),"H2O")</f>
        <v>H2O</v>
      </c>
    </row>
    <row r="5088">
      <c r="A5088" s="5" t="s">
        <v>8245</v>
      </c>
      <c r="B5088" s="5" t="s">
        <v>8170</v>
      </c>
      <c r="C5088" s="5" t="str">
        <f>IFERROR(__xludf.DUMMYFUNCTION("GOOGLETRANSLATE(A5088,""en"",""hy"")"),"Ո՞ր քաղաքում է գտնվում Էյֆելյան աշտարակը:")</f>
        <v>Ո՞ր քաղաքում է գտնվում Էյֆելյան աշտարակը:</v>
      </c>
      <c r="D5088" s="6" t="str">
        <f>IFERROR(__xludf.DUMMYFUNCTION("GOOGLETRANSLATE(B5088,""en"",""hy"")"),"Փարիզ")</f>
        <v>Փարիզ</v>
      </c>
    </row>
    <row r="5089">
      <c r="A5089" s="5" t="s">
        <v>8012</v>
      </c>
      <c r="B5089" s="5" t="s">
        <v>7446</v>
      </c>
      <c r="C5089" s="5" t="str">
        <f>IFERROR(__xludf.DUMMYFUNCTION("GOOGLETRANSLATE(A5089,""en"",""hy"")"),"Ո՞ր մոլորակն է հայտնի որպես Կարմիր մոլորակ:")</f>
        <v>Ո՞ր մոլորակն է հայտնի որպես Կարմիր մոլորակ:</v>
      </c>
      <c r="D5089" s="6" t="str">
        <f>IFERROR(__xludf.DUMMYFUNCTION("GOOGLETRANSLATE(B5089,""en"",""hy"")"),"Մարս.")</f>
        <v>Մարս.</v>
      </c>
    </row>
    <row r="5090">
      <c r="A5090" s="5" t="s">
        <v>7654</v>
      </c>
      <c r="B5090" s="5" t="s">
        <v>7556</v>
      </c>
      <c r="C5090" s="5" t="str">
        <f>IFERROR(__xludf.DUMMYFUNCTION("GOOGLETRANSLATE(A5090,""en"",""hy"")"),"Ո՞վ է հայտնի որպես «Ժամանակակից ֆիզիկայի հայր»:")</f>
        <v>Ո՞վ է հայտնի որպես «Ժամանակակից ֆիզիկայի հայր»:</v>
      </c>
      <c r="D5090" s="6" t="str">
        <f>IFERROR(__xludf.DUMMYFUNCTION("GOOGLETRANSLATE(B5090,""en"",""hy"")"),"Albert Einstein.")</f>
        <v>Albert Einstein.</v>
      </c>
    </row>
    <row r="5091">
      <c r="A5091" s="5" t="s">
        <v>7461</v>
      </c>
      <c r="B5091" s="5" t="s">
        <v>7639</v>
      </c>
      <c r="C5091" s="5" t="str">
        <f>IFERROR(__xludf.DUMMYFUNCTION("GOOGLETRANSLATE(A5091,""en"",""hy"")"),"Ո՞րն է մարդու մարմնի ամենամեծ օրգանը:")</f>
        <v>Ո՞րն է մարդու մարմնի ամենամեծ օրգանը:</v>
      </c>
      <c r="D5091" s="6" t="str">
        <f>IFERROR(__xludf.DUMMYFUNCTION("GOOGLETRANSLATE(B5091,""en"",""hy"")"),"Մարդու մարմնի ամենամեծ օրգանը մաշկն է։")</f>
        <v>Մարդու մարմնի ամենամեծ օրգանը մաշկն է։</v>
      </c>
    </row>
    <row r="5092">
      <c r="A5092" s="5" t="s">
        <v>8519</v>
      </c>
      <c r="B5092" s="5" t="s">
        <v>1016</v>
      </c>
      <c r="C5092" s="5" t="str">
        <f>IFERROR(__xludf.DUMMYFUNCTION("GOOGLETRANSLATE(A5092,""en"",""hy"")"),"Ո՞ր հայտնի դրամատուրգն է գրել Ռոմեո և Ջուլիետ:")</f>
        <v>Ո՞ր հայտնի դրամատուրգն է գրել Ռոմեո և Ջուլիետ:</v>
      </c>
      <c r="D5092" s="6" t="str">
        <f>IFERROR(__xludf.DUMMYFUNCTION("GOOGLETRANSLATE(B5092,""en"",""hy"")"),"Ուիլյամ Շեքսպիր.")</f>
        <v>Ուիլյամ Շեքսպիր.</v>
      </c>
    </row>
    <row r="5093">
      <c r="A5093" s="5" t="s">
        <v>7455</v>
      </c>
      <c r="B5093" s="5" t="s">
        <v>8453</v>
      </c>
      <c r="C5093" s="5" t="str">
        <f>IFERROR(__xludf.DUMMYFUNCTION("GOOGLETRANSLATE(A5093,""en"",""hy"")"),"Ո՞րն է աշխարհի ամենամեծ օվկիանոսը:")</f>
        <v>Ո՞րն է աշխարհի ամենամեծ օվկիանոսը:</v>
      </c>
      <c r="D5093" s="6" t="str">
        <f>IFERROR(__xludf.DUMMYFUNCTION("GOOGLETRANSLATE(B5093,""en"",""hy"")"),"Աշխարհի ամենամեծ օվկիանոսը Խաղաղ օվկիանոսն է։")</f>
        <v>Աշխարհի ամենամեծ օվկիանոսը Խաղաղ օվկիանոսն է։</v>
      </c>
    </row>
    <row r="5094">
      <c r="A5094" s="5" t="s">
        <v>7469</v>
      </c>
      <c r="B5094" s="5" t="s">
        <v>7470</v>
      </c>
      <c r="C5094" s="5" t="str">
        <f>IFERROR(__xludf.DUMMYFUNCTION("GOOGLETRANSLATE(A5094,""en"",""hy"")"),"Ո՞ր տարում ավարտվեց Երկրորդ համաշխարհային պատերազմը:")</f>
        <v>Ո՞ր տարում ավարտվեց Երկրորդ համաշխարհային պատերազմը:</v>
      </c>
      <c r="D5094" s="6" t="str">
        <f>IFERROR(__xludf.DUMMYFUNCTION("GOOGLETRANSLATE(B5094,""en"",""hy"")"),"Երկրորդ համաշխարհային պատերազմն ավարտվեց 1945 թվականին։")</f>
        <v>Երկրորդ համաշխարհային պատերազմն ավարտվեց 1945 թվականին։</v>
      </c>
    </row>
    <row r="5095">
      <c r="A5095" s="5" t="s">
        <v>7634</v>
      </c>
      <c r="B5095" s="5" t="s">
        <v>7635</v>
      </c>
      <c r="C5095" s="5" t="str">
        <f>IFERROR(__xludf.DUMMYFUNCTION("GOOGLETRANSLATE(A5095,""en"",""hy"")"),"Ո՞վ էր առաջին մարդը, ով ոտք դրեց լուսնի վրա:")</f>
        <v>Ո՞վ էր առաջին մարդը, ով ոտք դրեց լուսնի վրա:</v>
      </c>
      <c r="D5095" s="6" t="str">
        <f>IFERROR(__xludf.DUMMYFUNCTION("GOOGLETRANSLATE(B5095,""en"",""hy"")"),"Նիլ Արմսթրոնգ.")</f>
        <v>Նիլ Արմսթրոնգ.</v>
      </c>
    </row>
    <row r="5096">
      <c r="A5096" s="5" t="s">
        <v>8161</v>
      </c>
      <c r="B5096" s="5" t="s">
        <v>8162</v>
      </c>
      <c r="C5096" s="5" t="str">
        <f>IFERROR(__xludf.DUMMYFUNCTION("GOOGLETRANSLATE(A5096,""en"",""hy"")"),"Ո՞րն է Ճապոնիայի ազգային ծաղիկը:")</f>
        <v>Ո՞րն է Ճապոնիայի ազգային ծաղիկը:</v>
      </c>
      <c r="D5096" s="6" t="str">
        <f>IFERROR(__xludf.DUMMYFUNCTION("GOOGLETRANSLATE(B5096,""en"",""hy"")"),"Ճապոնիայի ազգային ծաղիկը բալի ծաղիկն է:")</f>
        <v>Ճապոնիայի ազգային ծաղիկը բալի ծաղիկն է:</v>
      </c>
    </row>
    <row r="5097">
      <c r="A5097" s="5" t="s">
        <v>8520</v>
      </c>
      <c r="B5097" s="5" t="s">
        <v>7556</v>
      </c>
      <c r="C5097" s="5" t="str">
        <f>IFERROR(__xludf.DUMMYFUNCTION("GOOGLETRANSLATE(A5097,""en"",""hy"")"),"Ո՞ր գիտնականն է առաջարկել հարաբերականության տեսությունը:")</f>
        <v>Ո՞ր գիտնականն է առաջարկել հարաբերականության տեսությունը:</v>
      </c>
      <c r="D5097" s="6" t="str">
        <f>IFERROR(__xludf.DUMMYFUNCTION("GOOGLETRANSLATE(B5097,""en"",""hy"")"),"Albert Einstein.")</f>
        <v>Albert Einstein.</v>
      </c>
    </row>
    <row r="5098">
      <c r="A5098" s="5" t="s">
        <v>8254</v>
      </c>
      <c r="B5098" s="5" t="s">
        <v>3535</v>
      </c>
      <c r="C5098" s="5" t="str">
        <f>IFERROR(__xludf.DUMMYFUNCTION("GOOGLETRANSLATE(A5098,""en"",""hy"")"),"Ո՞րն է աշխարհի ամենափոքր մայրցամաքը:")</f>
        <v>Ո՞րն է աշխարհի ամենափոքր մայրցամաքը:</v>
      </c>
      <c r="D5098" s="6" t="str">
        <f>IFERROR(__xludf.DUMMYFUNCTION("GOOGLETRANSLATE(B5098,""en"",""hy"")"),"Ավստրալիա.")</f>
        <v>Ավստրալիա.</v>
      </c>
    </row>
    <row r="5099">
      <c r="A5099" s="5" t="s">
        <v>7540</v>
      </c>
      <c r="B5099" s="5" t="s">
        <v>7541</v>
      </c>
      <c r="C5099" s="5" t="str">
        <f>IFERROR(__xludf.DUMMYFUNCTION("GOOGLETRANSLATE(A5099,""en"",""hy"")"),"Ո՞վ է գրել «Սպանել ծաղրող թռչունին» վեպը:")</f>
        <v>Ո՞վ է գրել «Սպանել ծաղրող թռչունին» վեպը:</v>
      </c>
      <c r="D5099" s="6" t="str">
        <f>IFERROR(__xludf.DUMMYFUNCTION("GOOGLETRANSLATE(B5099,""en"",""hy"")"),"Հարփեր Լի.")</f>
        <v>Հարփեր Լի.</v>
      </c>
    </row>
    <row r="5100">
      <c r="A5100" s="5" t="s">
        <v>8521</v>
      </c>
      <c r="B5100" s="5" t="s">
        <v>8522</v>
      </c>
      <c r="C5100" s="5" t="str">
        <f>IFERROR(__xludf.DUMMYFUNCTION("GOOGLETRANSLATE(A5100,""en"",""hy"")"),"Ո՞րն է Էյնշտեյնի հարաբերականության տեսության բանաձեւը:")</f>
        <v>Ո՞րն է Էյնշտեյնի հարաբերականության տեսության բանաձեւը:</v>
      </c>
      <c r="D5100" s="6" t="str">
        <f>IFERROR(__xludf.DUMMYFUNCTION("GOOGLETRANSLATE(B5100,""en"",""hy"")"),"Էյնշտեյնի հարաբերականության տեսության բանաձեւը E = mc^2 է։")</f>
        <v>Էյնշտեյնի հարաբերականության տեսության բանաձեւը E = mc^2 է։</v>
      </c>
    </row>
    <row r="5101">
      <c r="A5101" s="5" t="s">
        <v>7471</v>
      </c>
      <c r="B5101" s="5" t="s">
        <v>7472</v>
      </c>
      <c r="C5101" s="5" t="str">
        <f>IFERROR(__xludf.DUMMYFUNCTION("GOOGLETRANSLATE(A5101,""en"",""hy"")"),"Ո՞րն է Երկրի ամենամեծ կենդանին:")</f>
        <v>Ո՞րն է Երկրի ամենամեծ կենդանին:</v>
      </c>
      <c r="D5101" s="6" t="str">
        <f>IFERROR(__xludf.DUMMYFUNCTION("GOOGLETRANSLATE(B5101,""en"",""hy"")"),"Կապույտ կետը.")</f>
        <v>Կապույտ կետը.</v>
      </c>
    </row>
    <row r="5102">
      <c r="A5102" s="5" t="s">
        <v>8250</v>
      </c>
      <c r="B5102" s="5" t="s">
        <v>8523</v>
      </c>
      <c r="C5102" s="5" t="str">
        <f>IFERROR(__xludf.DUMMYFUNCTION("GOOGLETRANSLATE(A5102,""en"",""hy"")"),"Ո՞ր քաղաքում է գտնվում Ազատության արձանը:")</f>
        <v>Ո՞ր քաղաքում է գտնվում Ազատության արձանը:</v>
      </c>
      <c r="D5102" s="6" t="str">
        <f>IFERROR(__xludf.DUMMYFUNCTION("GOOGLETRANSLATE(B5102,""en"",""hy"")"),"Ազատության արձանը գտնվում է Նյու Յորքում։")</f>
        <v>Ազատության արձանը գտնվում է Նյու Յորքում։</v>
      </c>
    </row>
    <row r="5103">
      <c r="A5103" s="5" t="s">
        <v>8524</v>
      </c>
      <c r="B5103" s="5" t="s">
        <v>7648</v>
      </c>
      <c r="C5103" s="5" t="str">
        <f>IFERROR(__xludf.DUMMYFUNCTION("GOOGLETRANSLATE(A5103,""en"",""hy"")"),"Ո՞վ է նկարել հայտնի Աստղային գիշերը:")</f>
        <v>Ո՞վ է նկարել հայտնի Աստղային գիշերը:</v>
      </c>
      <c r="D5103" s="6" t="str">
        <f>IFERROR(__xludf.DUMMYFUNCTION("GOOGLETRANSLATE(B5103,""en"",""hy"")"),"Վինսենթ վան Գոգ.")</f>
        <v>Վինսենթ վան Գոգ.</v>
      </c>
    </row>
    <row r="5104">
      <c r="A5104" s="5" t="s">
        <v>7513</v>
      </c>
      <c r="B5104" s="5" t="s">
        <v>8525</v>
      </c>
      <c r="C5104" s="5" t="str">
        <f>IFERROR(__xludf.DUMMYFUNCTION("GOOGLETRANSLATE(A5104,""en"",""hy"")"),"Ո՞րն է աշխարհի ամենամեծ անապատը:")</f>
        <v>Ո՞րն է աշխարհի ամենամեծ անապատը:</v>
      </c>
      <c r="D5104" s="6" t="str">
        <f>IFERROR(__xludf.DUMMYFUNCTION("GOOGLETRANSLATE(B5104,""en"",""hy"")"),"Աշխարհի ամենամեծ անապատը Անտարկտիդայի անապատն է։")</f>
        <v>Աշխարհի ամենամեծ անապատը Անտարկտիդայի անապատն է։</v>
      </c>
    </row>
    <row r="5105">
      <c r="A5105" s="5" t="s">
        <v>8526</v>
      </c>
      <c r="B5105" s="5" t="s">
        <v>7535</v>
      </c>
      <c r="C5105" s="5" t="str">
        <f>IFERROR(__xludf.DUMMYFUNCTION("GOOGLETRANSLATE(A5105,""en"",""hy"")"),"Ո՞վ է հաճախ վերագրվում հեռախոսի հորինմանը:")</f>
        <v>Ո՞վ է հաճախ վերագրվում հեռախոսի հորինմանը:</v>
      </c>
      <c r="D5105" s="6" t="str">
        <f>IFERROR(__xludf.DUMMYFUNCTION("GOOGLETRANSLATE(B5105,""en"",""hy"")"),"Ալեքսանդր Գրեհեմ Բել.")</f>
        <v>Ալեքսանդր Գրեհեմ Բել.</v>
      </c>
    </row>
    <row r="5106">
      <c r="A5106" s="5" t="s">
        <v>7480</v>
      </c>
      <c r="B5106" s="5" t="s">
        <v>7481</v>
      </c>
      <c r="C5106" s="5" t="str">
        <f>IFERROR(__xludf.DUMMYFUNCTION("GOOGLETRANSLATE(A5106,""en"",""hy"")"),"Ո՞րն է Միացյալ Նահանգների ազգային թռչունը:")</f>
        <v>Ո՞րն է Միացյալ Նահանգների ազգային թռչունը:</v>
      </c>
      <c r="D5106" s="6" t="str">
        <f>IFERROR(__xludf.DUMMYFUNCTION("GOOGLETRANSLATE(B5106,""en"",""hy"")"),"Միացյալ Նահանգների ազգային թռչունը ճաղատ արծիվն է։")</f>
        <v>Միացյալ Նահանգների ազգային թռչունը ճաղատ արծիվն է։</v>
      </c>
    </row>
    <row r="5107">
      <c r="A5107" s="5" t="s">
        <v>8527</v>
      </c>
      <c r="B5107" s="5" t="s">
        <v>7784</v>
      </c>
      <c r="C5107" s="5" t="str">
        <f>IFERROR(__xludf.DUMMYFUNCTION("GOOGLETRANSLATE(A5107,""en"",""hy"")"),"Ո՞ր երկիրն է հայտնի որպես «ծագող արևի երկիր»:")</f>
        <v>Ո՞ր երկիրն է հայտնի որպես «ծագող արևի երկիր»:</v>
      </c>
      <c r="D5107" s="6" t="str">
        <f>IFERROR(__xludf.DUMMYFUNCTION("GOOGLETRANSLATE(B5107,""en"",""hy"")"),"Ճապոնիա")</f>
        <v>Ճապոնիա</v>
      </c>
    </row>
    <row r="5108">
      <c r="A5108" s="5" t="s">
        <v>7485</v>
      </c>
      <c r="B5108" s="5" t="s">
        <v>7486</v>
      </c>
      <c r="C5108" s="5" t="str">
        <f>IFERROR(__xludf.DUMMYFUNCTION("GOOGLETRANSLATE(A5108,""en"",""hy"")"),"Ո՞վ է Հարի Փոթերի շարքի հեղինակը:")</f>
        <v>Ո՞վ է Հարի Փոթերի շարքի հեղինակը:</v>
      </c>
      <c r="D5108" s="6" t="str">
        <f>IFERROR(__xludf.DUMMYFUNCTION("GOOGLETRANSLATE(B5108,""en"",""hy"")"),"Ջ.Կ. Ռոուլինգ.")</f>
        <v>Ջ.Կ. Ռոուլինգ.</v>
      </c>
    </row>
    <row r="5109">
      <c r="A5109" s="5" t="s">
        <v>8528</v>
      </c>
      <c r="B5109" s="5" t="s">
        <v>8529</v>
      </c>
      <c r="C5109" s="5" t="str">
        <f>IFERROR(__xludf.DUMMYFUNCTION("GOOGLETRANSLATE(A5109,""en"",""hy"")"),"Կենդանիների ո՞ր տեսակն է մողեսի ամենամեծ կենդանի տեսակը:")</f>
        <v>Կենդանիների ո՞ր տեսակն է մողեսի ամենամեծ կենդանի տեսակը:</v>
      </c>
      <c r="D5109" s="6" t="str">
        <f>IFERROR(__xludf.DUMMYFUNCTION("GOOGLETRANSLATE(B5109,""en"",""hy"")"),"Կոմոդո վիշապը.")</f>
        <v>Կոմոդո վիշապը.</v>
      </c>
    </row>
    <row r="5110">
      <c r="A5110" s="5" t="s">
        <v>7557</v>
      </c>
      <c r="B5110" s="5" t="s">
        <v>7857</v>
      </c>
      <c r="C5110" s="5" t="str">
        <f>IFERROR(__xludf.DUMMYFUNCTION("GOOGLETRANSLATE(A5110,""en"",""hy"")"),"Ո՞րն է երկաթի քիմիական նշանը:")</f>
        <v>Ո՞րն է երկաթի քիմիական նշանը:</v>
      </c>
      <c r="D5110" s="6" t="str">
        <f>IFERROR(__xludf.DUMMYFUNCTION("GOOGLETRANSLATE(B5110,""en"",""hy"")"),"Երկաթի քիմիական նշանը Fe է:")</f>
        <v>Երկաթի քիմիական նշանը Fe է:</v>
      </c>
    </row>
    <row r="5111">
      <c r="A5111" s="5" t="s">
        <v>7842</v>
      </c>
      <c r="B5111" s="5" t="s">
        <v>7671</v>
      </c>
      <c r="C5111" s="5" t="str">
        <f>IFERROR(__xludf.DUMMYFUNCTION("GOOGLETRANSLATE(A5111,""en"",""hy"")"),"Ո՞րն է աշխարհի ամենաերկար գետը:")</f>
        <v>Ո՞րն է աշխարհի ամենաերկար գետը:</v>
      </c>
      <c r="D5111" s="6" t="str">
        <f>IFERROR(__xludf.DUMMYFUNCTION("GOOGLETRANSLATE(B5111,""en"",""hy"")"),"Նեղոս գետ.")</f>
        <v>Նեղոս գետ.</v>
      </c>
    </row>
    <row r="5112">
      <c r="A5112" s="5" t="s">
        <v>8530</v>
      </c>
      <c r="B5112" s="5" t="s">
        <v>8531</v>
      </c>
      <c r="C5112" s="5" t="str">
        <f>IFERROR(__xludf.DUMMYFUNCTION("GOOGLETRANSLATE(A5112,""en"",""hy"")"),"Ո՞վ է հայտնի որպես «Ամերիկյան Սահմանադրության հայր»:")</f>
        <v>Ո՞վ է հայտնի որպես «Ամերիկյան Սահմանադրության հայր»:</v>
      </c>
      <c r="D5112" s="6" t="str">
        <f>IFERROR(__xludf.DUMMYFUNCTION("GOOGLETRANSLATE(B5112,""en"",""hy"")"),"Ջեյմս Մեդիսոն.")</f>
        <v>Ջեյմս Մեդիսոն.</v>
      </c>
    </row>
    <row r="5113">
      <c r="A5113" s="5" t="s">
        <v>8532</v>
      </c>
      <c r="B5113" s="5" t="s">
        <v>7712</v>
      </c>
      <c r="C5113" s="5" t="str">
        <f>IFERROR(__xludf.DUMMYFUNCTION("GOOGLETRANSLATE(A5113,""en"",""hy"")"),"Ո՞րն է ԱՄՆ-ի ամենամեծ քաղաքն ըստ բնակչության:")</f>
        <v>Ո՞րն է ԱՄՆ-ի ամենամեծ քաղաքն ըստ բնակչության:</v>
      </c>
      <c r="D5113" s="6" t="str">
        <f>IFERROR(__xludf.DUMMYFUNCTION("GOOGLETRANSLATE(B5113,""en"",""hy"")"),"Նյու Յորք քաղաք.")</f>
        <v>Նյու Յորք քաղաք.</v>
      </c>
    </row>
    <row r="5114">
      <c r="A5114" s="5" t="s">
        <v>8533</v>
      </c>
      <c r="B5114" s="5" t="s">
        <v>8534</v>
      </c>
      <c r="C5114" s="5" t="str">
        <f>IFERROR(__xludf.DUMMYFUNCTION("GOOGLETRANSLATE(A5114,""en"",""hy"")"),"Ո՞ր տարրի ատոմային թիվն է 6:")</f>
        <v>Ո՞ր տարրի ատոմային թիվն է 6:</v>
      </c>
      <c r="D5114" s="6" t="str">
        <f>IFERROR(__xludf.DUMMYFUNCTION("GOOGLETRANSLATE(B5114,""en"",""hy"")"),"Ածխածին.")</f>
        <v>Ածխածին.</v>
      </c>
    </row>
    <row r="5115">
      <c r="A5115" s="5" t="s">
        <v>8535</v>
      </c>
      <c r="B5115" s="5" t="s">
        <v>8536</v>
      </c>
      <c r="C5115" s="5" t="str">
        <f>IFERROR(__xludf.DUMMYFUNCTION("GOOGLETRANSLATE(A5115,""en"",""hy"")"),"Ո՞վ էր հին հույն փիլիսոփան, որը հայտնի էր տրամաբանության և էթիկայի վերաբերյալ իր ուսմունքներով:")</f>
        <v>Ո՞վ էր հին հույն փիլիսոփան, որը հայտնի էր տրամաբանության և էթիկայի վերաբերյալ իր ուսմունքներով:</v>
      </c>
      <c r="D5115" s="6" t="str">
        <f>IFERROR(__xludf.DUMMYFUNCTION("GOOGLETRANSLATE(B5115,""en"",""hy"")"),"Սոկրատես")</f>
        <v>Սոկրատես</v>
      </c>
    </row>
    <row r="5116">
      <c r="A5116" s="5" t="s">
        <v>8537</v>
      </c>
      <c r="B5116" s="5" t="s">
        <v>8538</v>
      </c>
      <c r="C5116" s="5" t="str">
        <f>IFERROR(__xludf.DUMMYFUNCTION("GOOGLETRANSLATE(A5116,""en"",""hy"")"),"Ո՞րն է Միջերկրական ծովի ամենամեծ կղզին:")</f>
        <v>Ո՞րն է Միջերկրական ծովի ամենամեծ կղզին:</v>
      </c>
      <c r="D5116" s="6" t="str">
        <f>IFERROR(__xludf.DUMMYFUNCTION("GOOGLETRANSLATE(B5116,""en"",""hy"")"),"Սիցիլիա.")</f>
        <v>Սիցիլիա.</v>
      </c>
    </row>
    <row r="5117">
      <c r="A5117" s="5" t="s">
        <v>7473</v>
      </c>
      <c r="B5117" s="5" t="s">
        <v>7474</v>
      </c>
      <c r="C5117" s="5" t="str">
        <f>IFERROR(__xludf.DUMMYFUNCTION("GOOGLETRANSLATE(A5117,""en"",""hy"")"),"Ո՞վ է նկարել Սիքստինյան կապելլայի առաստաղը:")</f>
        <v>Ո՞վ է նկարել Սիքստինյան կապելլայի առաստաղը:</v>
      </c>
      <c r="D5117" s="6" t="str">
        <f>IFERROR(__xludf.DUMMYFUNCTION("GOOGLETRANSLATE(B5117,""en"",""hy"")"),"Միքելանջելո.")</f>
        <v>Միքելանջելո.</v>
      </c>
    </row>
    <row r="5118">
      <c r="A5118" s="5" t="s">
        <v>8539</v>
      </c>
      <c r="B5118" s="5" t="s">
        <v>8540</v>
      </c>
      <c r="C5118" s="5" t="str">
        <f>IFERROR(__xludf.DUMMYFUNCTION("GOOGLETRANSLATE(A5118,""en"",""hy"")"),"Ո՞ր թվականին է Միացյալ Նահանգները հռչակել իր անկախությունը Բրիտանիայից:")</f>
        <v>Ո՞ր թվականին է Միացյալ Նահանգները հռչակել իր անկախությունը Բրիտանիայից:</v>
      </c>
      <c r="D5118" s="6" t="str">
        <f>IFERROR(__xludf.DUMMYFUNCTION("GOOGLETRANSLATE(B5118,""en"",""hy"")"),"Միացյալ Նահանգները հայտարարեց իր անկախությունը Բրիտանիայից 1776 թվականին։")</f>
        <v>Միացյալ Նահանգները հայտարարեց իր անկախությունը Բրիտանիայից 1776 թվականին։</v>
      </c>
    </row>
    <row r="5119">
      <c r="A5119" s="5" t="s">
        <v>7791</v>
      </c>
      <c r="B5119" s="5" t="s">
        <v>8541</v>
      </c>
      <c r="C5119" s="5" t="str">
        <f>IFERROR(__xludf.DUMMYFUNCTION("GOOGLETRANSLATE(A5119,""en"",""hy"")"),"Ո՞րն է Ավստրալիայի ազգային կենդանին:")</f>
        <v>Ո՞րն է Ավստրալիայի ազգային կենդանին:</v>
      </c>
      <c r="D5119" s="6" t="str">
        <f>IFERROR(__xludf.DUMMYFUNCTION("GOOGLETRANSLATE(B5119,""en"",""hy"")"),"Կենգուրու")</f>
        <v>Կենգուրու</v>
      </c>
    </row>
    <row r="5120">
      <c r="A5120" s="5" t="s">
        <v>7509</v>
      </c>
      <c r="B5120" s="5" t="s">
        <v>7510</v>
      </c>
      <c r="C5120" s="5" t="str">
        <f>IFERROR(__xludf.DUMMYFUNCTION("GOOGLETRANSLATE(A5120,""en"",""hy"")"),"Ո՞րն է արծաթի քիմիական նշանը:")</f>
        <v>Ո՞րն է արծաթի քիմիական նշանը:</v>
      </c>
      <c r="D5120" s="6" t="str">
        <f>IFERROR(__xludf.DUMMYFUNCTION("GOOGLETRANSLATE(B5120,""en"",""hy"")"),"Ագ")</f>
        <v>Ագ</v>
      </c>
    </row>
    <row r="5121">
      <c r="A5121" s="5" t="s">
        <v>7655</v>
      </c>
      <c r="B5121" s="5" t="s">
        <v>7656</v>
      </c>
      <c r="C5121" s="5" t="str">
        <f>IFERROR(__xludf.DUMMYFUNCTION("GOOGLETRANSLATE(A5121,""en"",""hy"")"),"Ո՞վ է գրել «Ագռավը» բանաստեղծությունը:")</f>
        <v>Ո՞վ է գրել «Ագռավը» բանաստեղծությունը:</v>
      </c>
      <c r="D5121" s="6" t="str">
        <f>IFERROR(__xludf.DUMMYFUNCTION("GOOGLETRANSLATE(B5121,""en"",""hy"")"),"Էդգար Ալան Պո.")</f>
        <v>Էդգար Ալան Պո.</v>
      </c>
    </row>
    <row r="5122">
      <c r="A5122" s="5" t="s">
        <v>7845</v>
      </c>
      <c r="B5122" s="5" t="s">
        <v>6236</v>
      </c>
      <c r="C5122" s="5" t="str">
        <f>IFERROR(__xludf.DUMMYFUNCTION("GOOGLETRANSLATE(A5122,""en"",""hy"")"),"Ո՞րն է Բրազիլիայի պաշտոնական լեզուն:")</f>
        <v>Ո՞րն է Բրազիլիայի պաշտոնական լեզուն:</v>
      </c>
      <c r="D5122" s="6" t="str">
        <f>IFERROR(__xludf.DUMMYFUNCTION("GOOGLETRANSLATE(B5122,""en"",""hy"")"),"պորտուգալերեն.")</f>
        <v>պորտուգալերեն.</v>
      </c>
    </row>
    <row r="5123">
      <c r="A5123" s="5" t="s">
        <v>8542</v>
      </c>
      <c r="B5123" s="5" t="s">
        <v>8543</v>
      </c>
      <c r="C5123" s="5" t="str">
        <f>IFERROR(__xludf.DUMMYFUNCTION("GOOGLETRANSLATE(A5123,""en"",""hy"")"),"Ո՞վ է համարվում ժամանակակից հոգեբանության հիմնադիրը:")</f>
        <v>Ո՞վ է համարվում ժամանակակից հոգեբանության հիմնադիրը:</v>
      </c>
      <c r="D5123" s="6" t="str">
        <f>IFERROR(__xludf.DUMMYFUNCTION("GOOGLETRANSLATE(B5123,""en"",""hy"")"),"Զիգմունդ Ֆրեյդ.")</f>
        <v>Զիգմունդ Ֆրեյդ.</v>
      </c>
    </row>
    <row r="5124">
      <c r="A5124" s="5" t="s">
        <v>7618</v>
      </c>
      <c r="B5124" s="5" t="s">
        <v>7733</v>
      </c>
      <c r="C5124" s="5" t="str">
        <f>IFERROR(__xludf.DUMMYFUNCTION("GOOGLETRANSLATE(A5124,""en"",""hy"")"),"Ո՞րն է աշխարհի ամենամեծ ջրվեժը:")</f>
        <v>Ո՞րն է աշխարհի ամենամեծ ջրվեժը:</v>
      </c>
      <c r="D5124" s="6" t="str">
        <f>IFERROR(__xludf.DUMMYFUNCTION("GOOGLETRANSLATE(B5124,""en"",""hy"")"),"Angel Falls.")</f>
        <v>Angel Falls.</v>
      </c>
    </row>
    <row r="5125">
      <c r="A5125" s="5" t="s">
        <v>7960</v>
      </c>
      <c r="B5125" s="5" t="s">
        <v>7961</v>
      </c>
      <c r="C5125" s="5" t="str">
        <f>IFERROR(__xludf.DUMMYFUNCTION("GOOGLETRANSLATE(A5125,""en"",""hy"")"),"Ո՞ր տարում է խորտակվել Տիտանիկը:")</f>
        <v>Ո՞ր տարում է խորտակվել Տիտանիկը:</v>
      </c>
      <c r="D5125" s="6" t="str">
        <f>IFERROR(__xludf.DUMMYFUNCTION("GOOGLETRANSLATE(B5125,""en"",""hy"")"),"Տիտանիկը խորտակվել է 1912 թվականին։")</f>
        <v>Տիտանիկը խորտակվել է 1912 թվականին։</v>
      </c>
    </row>
    <row r="5126">
      <c r="A5126" s="5" t="s">
        <v>7450</v>
      </c>
      <c r="B5126" s="5" t="s">
        <v>7829</v>
      </c>
      <c r="C5126" s="5" t="str">
        <f>IFERROR(__xludf.DUMMYFUNCTION("GOOGLETRANSLATE(A5126,""en"",""hy"")"),"Ո՞րն է Ավստրալիայի մայրաքաղաքը:")</f>
        <v>Ո՞րն է Ավստրալիայի մայրաքաղաքը:</v>
      </c>
      <c r="D5126" s="6" t="str">
        <f>IFERROR(__xludf.DUMMYFUNCTION("GOOGLETRANSLATE(B5126,""en"",""hy"")"),"Ավստրալիայի մայրաքաղաքը Կանբերան է։")</f>
        <v>Ավստրալիայի մայրաքաղաքը Կանբերան է։</v>
      </c>
    </row>
    <row r="5127">
      <c r="A5127" s="5" t="s">
        <v>7773</v>
      </c>
      <c r="B5127" s="5" t="s">
        <v>7774</v>
      </c>
      <c r="C5127" s="5" t="str">
        <f>IFERROR(__xludf.DUMMYFUNCTION("GOOGLETRANSLATE(A5127,""en"",""hy"")"),"Ո՞վ է հայտնաբերել պենիցիլինը:")</f>
        <v>Ո՞վ է հայտնաբերել պենիցիլինը:</v>
      </c>
      <c r="D5127" s="6" t="str">
        <f>IFERROR(__xludf.DUMMYFUNCTION("GOOGLETRANSLATE(B5127,""en"",""hy"")"),"Ալեքսանդր Ֆլեմինգը հայտնաբերել է պենիցիլին:")</f>
        <v>Ալեքսանդր Ֆլեմինգը հայտնաբերել է պենիցիլին:</v>
      </c>
    </row>
    <row r="5128">
      <c r="A5128" s="5" t="s">
        <v>8016</v>
      </c>
      <c r="B5128" s="5" t="s">
        <v>8017</v>
      </c>
      <c r="C5128" s="5" t="str">
        <f>IFERROR(__xludf.DUMMYFUNCTION("GOOGLETRANSLATE(A5128,""en"",""hy"")"),"Ո՞րն է Անգլիայի ազգային ծաղիկը:")</f>
        <v>Ո՞րն է Անգլիայի ազգային ծաղիկը:</v>
      </c>
      <c r="D5128" s="6" t="str">
        <f>IFERROR(__xludf.DUMMYFUNCTION("GOOGLETRANSLATE(B5128,""en"",""hy"")"),"Անգլիայի ազգային ծաղիկը վարդն է։")</f>
        <v>Անգլիայի ազգային ծաղիկը վարդն է։</v>
      </c>
    </row>
    <row r="5129">
      <c r="A5129" s="5" t="s">
        <v>7920</v>
      </c>
      <c r="B5129" s="5" t="s">
        <v>7921</v>
      </c>
      <c r="C5129" s="5" t="str">
        <f>IFERROR(__xludf.DUMMYFUNCTION("GOOGLETRANSLATE(A5129,""en"",""hy"")"),"Ո՞ր երկրում է գտնվում Թաջ Մահալը:")</f>
        <v>Ո՞ր երկրում է գտնվում Թաջ Մահալը:</v>
      </c>
      <c r="D5129" s="6" t="str">
        <f>IFERROR(__xludf.DUMMYFUNCTION("GOOGLETRANSLATE(B5129,""en"",""hy"")"),"Հնդկաստան.")</f>
        <v>Հնդկաստան.</v>
      </c>
    </row>
    <row r="5130">
      <c r="A5130" s="5" t="s">
        <v>8544</v>
      </c>
      <c r="B5130" s="5" t="s">
        <v>7448</v>
      </c>
      <c r="C5130" s="5" t="str">
        <f>IFERROR(__xludf.DUMMYFUNCTION("GOOGLETRANSLATE(A5130,""en"",""hy"")"),"Ո՞վ է նկարել հայտնի «Վերջին ընթրիք» կտավը:")</f>
        <v>Ո՞վ է նկարել հայտնի «Վերջին ընթրիք» կտավը:</v>
      </c>
      <c r="D5130" s="6" t="str">
        <f>IFERROR(__xludf.DUMMYFUNCTION("GOOGLETRANSLATE(B5130,""en"",""hy"")"),"Լեոնարդո դա Վինչի.")</f>
        <v>Լեոնարդո դա Վինչի.</v>
      </c>
    </row>
    <row r="5131">
      <c r="A5131" s="5" t="s">
        <v>7665</v>
      </c>
      <c r="B5131" s="5" t="s">
        <v>7781</v>
      </c>
      <c r="C5131" s="5" t="str">
        <f>IFERROR(__xludf.DUMMYFUNCTION("GOOGLETRANSLATE(A5131,""en"",""hy"")"),"Ո՞րն է նատրիումի քիմիական նշանը:")</f>
        <v>Ո՞րն է նատրիումի քիմիական նշանը:</v>
      </c>
      <c r="D5131" s="6" t="str">
        <f>IFERROR(__xludf.DUMMYFUNCTION("GOOGLETRANSLATE(B5131,""en"",""hy"")"),"Նատրիումի քիմիական նշանը Na է:")</f>
        <v>Նատրիումի քիմիական նշանը Na է:</v>
      </c>
    </row>
    <row r="5132">
      <c r="A5132" s="5" t="s">
        <v>8545</v>
      </c>
      <c r="B5132" s="5" t="s">
        <v>7578</v>
      </c>
      <c r="C5132" s="5" t="str">
        <f>IFERROR(__xludf.DUMMYFUNCTION("GOOGLETRANSLATE(A5132,""en"",""hy"")"),"Ո՞վ է Մոբի-Դիկի վեպի հեղինակը:")</f>
        <v>Ո՞վ է Մոբի-Դիկի վեպի հեղինակը:</v>
      </c>
      <c r="D5132" s="6" t="str">
        <f>IFERROR(__xludf.DUMMYFUNCTION("GOOGLETRANSLATE(B5132,""en"",""hy"")"),"Հերման Մելվիլ.")</f>
        <v>Հերման Մելվիլ.</v>
      </c>
    </row>
    <row r="5133">
      <c r="A5133" s="5" t="s">
        <v>8124</v>
      </c>
      <c r="B5133" s="5" t="s">
        <v>1299</v>
      </c>
      <c r="C5133" s="5" t="str">
        <f>IFERROR(__xludf.DUMMYFUNCTION("GOOGLETRANSLATE(A5133,""en"",""hy"")"),"Ո՞րն է ամենամեծ մայրցամաքը ըստ ցամաքային տարածքի:")</f>
        <v>Ո՞րն է ամենամեծ մայրցամաքը ըստ ցամաքային տարածքի:</v>
      </c>
      <c r="D5133" s="6" t="str">
        <f>IFERROR(__xludf.DUMMYFUNCTION("GOOGLETRANSLATE(B5133,""en"",""hy"")"),"Ասիա.")</f>
        <v>Ասիա.</v>
      </c>
    </row>
    <row r="5134">
      <c r="A5134" s="5" t="s">
        <v>8546</v>
      </c>
      <c r="B5134" s="5" t="s">
        <v>8038</v>
      </c>
      <c r="C5134" s="5" t="str">
        <f>IFERROR(__xludf.DUMMYFUNCTION("GOOGLETRANSLATE(A5134,""en"",""hy"")"),"Ո՞վ է ստեղծել սիմֆոնիան, որը հայտնի է որպես թիվ 9 սիմֆոնիա կամ «Բեթհովենի իններորդ»:")</f>
        <v>Ո՞վ է ստեղծել սիմֆոնիան, որը հայտնի է որպես թիվ 9 սիմֆոնիա կամ «Բեթհովենի իններորդ»:</v>
      </c>
      <c r="D5134" s="6" t="str">
        <f>IFERROR(__xludf.DUMMYFUNCTION("GOOGLETRANSLATE(B5134,""en"",""hy"")"),"Լյուդվիգ վան Բեթհովեն.")</f>
        <v>Լյուդվիգ վան Բեթհովեն.</v>
      </c>
    </row>
    <row r="5135">
      <c r="A5135" s="5" t="s">
        <v>7589</v>
      </c>
      <c r="B5135" s="5" t="s">
        <v>7545</v>
      </c>
      <c r="C5135" s="5" t="str">
        <f>IFERROR(__xludf.DUMMYFUNCTION("GOOGLETRANSLATE(A5135,""en"",""hy"")"),"Ո՞րն է Իտալիայի մայրաքաղաքը:")</f>
        <v>Ո՞րն է Իտալիայի մայրաքաղաքը:</v>
      </c>
      <c r="D5135" s="6" t="str">
        <f>IFERROR(__xludf.DUMMYFUNCTION("GOOGLETRANSLATE(B5135,""en"",""hy"")"),"Հռոմ.")</f>
        <v>Հռոմ.</v>
      </c>
    </row>
    <row r="5136">
      <c r="A5136" s="5" t="s">
        <v>7570</v>
      </c>
      <c r="B5136" s="5" t="s">
        <v>7571</v>
      </c>
      <c r="C5136" s="5" t="str">
        <f>IFERROR(__xludf.DUMMYFUNCTION("GOOGLETRANSLATE(A5136,""en"",""hy"")"),"Ո՞րն է գլյուկոզայի քիմիական բանաձևը:")</f>
        <v>Ո՞րն է գլյուկոզայի քիմիական բանաձևը:</v>
      </c>
      <c r="D5136" s="6" t="str">
        <f>IFERROR(__xludf.DUMMYFUNCTION("GOOGLETRANSLATE(B5136,""en"",""hy"")"),"Գլյուկոզայի քիմիական բանաձևը C6H12O6 է:")</f>
        <v>Գլյուկոզայի քիմիական բանաձևը C6H12O6 է:</v>
      </c>
    </row>
    <row r="5137">
      <c r="A5137" s="5" t="s">
        <v>8475</v>
      </c>
      <c r="B5137" s="5" t="s">
        <v>8547</v>
      </c>
      <c r="C5137" s="5" t="str">
        <f>IFERROR(__xludf.DUMMYFUNCTION("GOOGLETRANSLATE(A5137,""en"",""hy"")"),"Ո՞վ է 1984 վեպի հեղինակը։")</f>
        <v>Ո՞վ է 1984 վեպի հեղինակը։</v>
      </c>
      <c r="D5137" s="6" t="str">
        <f>IFERROR(__xludf.DUMMYFUNCTION("GOOGLETRANSLATE(B5137,""en"",""hy"")"),"1984 վեպի հեղինակը Ջորջ Օրուելն է։")</f>
        <v>1984 վեպի հեղինակը Ջորջ Օրուելն է։</v>
      </c>
    </row>
    <row r="5138">
      <c r="A5138" s="5" t="s">
        <v>8548</v>
      </c>
      <c r="B5138" s="5" t="s">
        <v>8549</v>
      </c>
      <c r="C5138" s="5" t="str">
        <f>IFERROR(__xludf.DUMMYFUNCTION("GOOGLETRANSLATE(A5138,""en"",""hy"")"),"Ո՞ր լեռնաշղթան է ձգվում Եվրոպայի յոթ երկրներում:")</f>
        <v>Ո՞ր լեռնաշղթան է ձգվում Եվրոպայի յոթ երկրներում:</v>
      </c>
      <c r="D5138" s="6" t="str">
        <f>IFERROR(__xludf.DUMMYFUNCTION("GOOGLETRANSLATE(B5138,""en"",""hy"")"),"Ալպեր")</f>
        <v>Ալպեր</v>
      </c>
    </row>
    <row r="5139">
      <c r="A5139" s="5" t="s">
        <v>8550</v>
      </c>
      <c r="B5139" s="5" t="s">
        <v>1016</v>
      </c>
      <c r="C5139" s="5" t="str">
        <f>IFERROR(__xludf.DUMMYFUNCTION("GOOGLETRANSLATE(A5139,""en"",""hy"")"),"Ո՞վ է հայտնի որպես «Բարդ Էյվոն»:")</f>
        <v>Ո՞վ է հայտնի որպես «Բարդ Էյվոն»:</v>
      </c>
      <c r="D5139" s="6" t="str">
        <f>IFERROR(__xludf.DUMMYFUNCTION("GOOGLETRANSLATE(B5139,""en"",""hy"")"),"Ուիլյամ Շեքսպիր.")</f>
        <v>Ուիլյամ Շեքսպիր.</v>
      </c>
    </row>
    <row r="5140">
      <c r="A5140" s="5" t="s">
        <v>7817</v>
      </c>
      <c r="B5140" s="5" t="s">
        <v>7818</v>
      </c>
      <c r="C5140" s="5" t="str">
        <f>IFERROR(__xludf.DUMMYFUNCTION("GOOGLETRANSLATE(A5140,""en"",""hy"")"),"Ո՞րն է Կանադայի ազգային կենդանին:")</f>
        <v>Ո՞րն է Կանադայի ազգային կենդանին:</v>
      </c>
      <c r="D5140" s="6" t="str">
        <f>IFERROR(__xludf.DUMMYFUNCTION("GOOGLETRANSLATE(B5140,""en"",""hy"")"),"Կանադայի ազգային կենդանին կեղևն է:")</f>
        <v>Կանադայի ազգային կենդանին կեղևն է:</v>
      </c>
    </row>
    <row r="5141">
      <c r="A5141" s="5" t="s">
        <v>7738</v>
      </c>
      <c r="B5141" s="5" t="s">
        <v>7739</v>
      </c>
      <c r="C5141" s="5" t="str">
        <f>IFERROR(__xludf.DUMMYFUNCTION("GOOGLETRANSLATE(A5141,""en"",""hy"")"),"Ո՞րն է կալցիումի քիմիական նշանը:")</f>
        <v>Ո՞րն է կալցիումի քիմիական նշանը:</v>
      </c>
      <c r="D5141" s="6" t="str">
        <f>IFERROR(__xludf.DUMMYFUNCTION("GOOGLETRANSLATE(B5141,""en"",""hy"")"),"Կալցիումի քիմիական նշանը Ca է:")</f>
        <v>Կալցիումի քիմիական նշանը Ca է:</v>
      </c>
    </row>
    <row r="5142">
      <c r="A5142" s="5" t="s">
        <v>8551</v>
      </c>
      <c r="B5142" s="5" t="s">
        <v>7585</v>
      </c>
      <c r="C5142" s="5" t="str">
        <f>IFERROR(__xludf.DUMMYFUNCTION("GOOGLETRANSLATE(A5142,""en"",""hy"")"),"Ո՞վ է նկարել հայտնի «Ճիչ» կտավը:")</f>
        <v>Ո՞վ է նկարել հայտնի «Ճիչ» կտավը:</v>
      </c>
      <c r="D5142" s="6" t="str">
        <f>IFERROR(__xludf.DUMMYFUNCTION("GOOGLETRANSLATE(B5142,""en"",""hy"")"),"Էդվարդ Մունկ.")</f>
        <v>Էդվարդ Մունկ.</v>
      </c>
    </row>
    <row r="5143">
      <c r="A5143" s="5" t="s">
        <v>8552</v>
      </c>
      <c r="B5143" s="5" t="s">
        <v>7525</v>
      </c>
      <c r="C5143" s="5" t="str">
        <f>IFERROR(__xludf.DUMMYFUNCTION("GOOGLETRANSLATE(A5143,""en"",""hy"")"),"Ո՞ր քաղաքում է գտնվում Չինական Մեծ պարիսպը:")</f>
        <v>Ո՞ր քաղաքում է գտնվում Չինական Մեծ պարիսպը:</v>
      </c>
      <c r="D5143" s="6" t="str">
        <f>IFERROR(__xludf.DUMMYFUNCTION("GOOGLETRANSLATE(B5143,""en"",""hy"")"),"Պեկին.")</f>
        <v>Պեկին.</v>
      </c>
    </row>
    <row r="5144">
      <c r="A5144" s="5" t="s">
        <v>8553</v>
      </c>
      <c r="B5144" s="5" t="s">
        <v>8554</v>
      </c>
      <c r="C5144" s="5" t="str">
        <f>IFERROR(__xludf.DUMMYFUNCTION("GOOGLETRANSLATE(A5144,""en"",""hy"")"),"Ո՞վ է գրել «Պատերազմ և խաղաղություն» վեպը:")</f>
        <v>Ո՞վ է գրել «Պատերազմ և խաղաղություն» վեպը:</v>
      </c>
      <c r="D5144" s="6" t="str">
        <f>IFERROR(__xludf.DUMMYFUNCTION("GOOGLETRANSLATE(B5144,""en"",""hy"")"),"Լև Տոլստոյ")</f>
        <v>Լև Տոլստոյ</v>
      </c>
    </row>
    <row r="5145">
      <c r="A5145" s="5" t="s">
        <v>7795</v>
      </c>
      <c r="B5145" s="5" t="s">
        <v>8555</v>
      </c>
      <c r="C5145" s="5" t="str">
        <f>IFERROR(__xludf.DUMMYFUNCTION("GOOGLETRANSLATE(A5145,""en"",""hy"")"),"Ո՞րն է Եգիպտոսի մայրաքաղաքը:")</f>
        <v>Ո՞րն է Եգիպտոսի մայրաքաղաքը:</v>
      </c>
      <c r="D5145" s="6" t="str">
        <f>IFERROR(__xludf.DUMMYFUNCTION("GOOGLETRANSLATE(B5145,""en"",""hy"")"),"Եգիպտոսի մայրաքաղաքը Կահիրեն է։")</f>
        <v>Եգիպտոսի մայրաքաղաքը Կահիրեն է։</v>
      </c>
    </row>
    <row r="5146">
      <c r="A5146" s="5" t="s">
        <v>7532</v>
      </c>
      <c r="B5146" s="5" t="s">
        <v>7533</v>
      </c>
      <c r="C5146" s="5" t="str">
        <f>IFERROR(__xludf.DUMMYFUNCTION("GOOGLETRANSLATE(A5146,""en"",""hy"")"),"Ո՞րն է սննդի աղի քիմիական բանաձևը:")</f>
        <v>Ո՞րն է սննդի աղի քիմիական բանաձևը:</v>
      </c>
      <c r="D5146" s="6" t="str">
        <f>IFERROR(__xludf.DUMMYFUNCTION("GOOGLETRANSLATE(B5146,""en"",""hy"")"),"Սեղանի աղի քիմիական բանաձևը NaCl է:")</f>
        <v>Սեղանի աղի քիմիական բանաձևը NaCl է:</v>
      </c>
    </row>
    <row r="5147">
      <c r="A5147" s="5" t="s">
        <v>8556</v>
      </c>
      <c r="B5147" s="5" t="s">
        <v>8557</v>
      </c>
      <c r="C5147" s="5" t="str">
        <f>IFERROR(__xludf.DUMMYFUNCTION("GOOGLETRANSLATE(A5147,""en"",""hy"")"),"Ո՞վ է հայտնի որպես «երկրաչափության հայր»:")</f>
        <v>Ո՞վ է հայտնի որպես «երկրաչափության հայր»:</v>
      </c>
      <c r="D5147" s="6" t="str">
        <f>IFERROR(__xludf.DUMMYFUNCTION("GOOGLETRANSLATE(B5147,""en"",""hy"")"),"Էվկլիդես.")</f>
        <v>Էվկլիդես.</v>
      </c>
    </row>
    <row r="5148">
      <c r="A5148" s="5" t="s">
        <v>8558</v>
      </c>
      <c r="B5148" s="5" t="s">
        <v>7343</v>
      </c>
      <c r="C5148" s="5" t="str">
        <f>IFERROR(__xludf.DUMMYFUNCTION("GOOGLETRANSLATE(A5148,""en"",""hy"")"),"Ո՞րն է ամենամեծ երկիրը ըստ ցամաքային տարածքի:")</f>
        <v>Ո՞րն է ամենամեծ երկիրը ըստ ցամաքային տարածքի:</v>
      </c>
      <c r="D5148" s="6" t="str">
        <f>IFERROR(__xludf.DUMMYFUNCTION("GOOGLETRANSLATE(B5148,""en"",""hy"")"),"Ռուսաստան.")</f>
        <v>Ռուսաստան.</v>
      </c>
    </row>
    <row r="5149">
      <c r="A5149" s="5" t="s">
        <v>8482</v>
      </c>
      <c r="B5149" s="5" t="s">
        <v>7560</v>
      </c>
      <c r="C5149" s="5" t="str">
        <f>IFERROR(__xludf.DUMMYFUNCTION("GOOGLETRANSLATE(A5149,""en"",""hy"")"),"Ո՞վ է «The Catcher in the Rye» վեպի հեղինակը:")</f>
        <v>Ո՞վ է «The Catcher in the Rye» վեպի հեղինակը:</v>
      </c>
      <c r="D5149" s="6" t="str">
        <f>IFERROR(__xludf.DUMMYFUNCTION("GOOGLETRANSLATE(B5149,""en"",""hy"")"),"Ջ.Դ.Սելինջեր.")</f>
        <v>Ջ.Դ.Սելինջեր.</v>
      </c>
    </row>
    <row r="5150">
      <c r="A5150" s="5" t="s">
        <v>7875</v>
      </c>
      <c r="B5150" s="5" t="s">
        <v>7876</v>
      </c>
      <c r="C5150" s="5" t="str">
        <f>IFERROR(__xludf.DUMMYFUNCTION("GOOGLETRANSLATE(A5150,""en"",""hy"")"),"Ո՞րն է ազոտի քիմիական նշանը:")</f>
        <v>Ո՞րն է ազոտի քիմիական նշանը:</v>
      </c>
      <c r="D5150" s="6" t="str">
        <f>IFERROR(__xludf.DUMMYFUNCTION("GOOGLETRANSLATE(B5150,""en"",""hy"")"),"Ազոտի քիմիական նշանն է N.")</f>
        <v>Ազոտի քիմիական նշանն է N.</v>
      </c>
    </row>
    <row r="5151">
      <c r="A5151" s="5" t="s">
        <v>8559</v>
      </c>
      <c r="B5151" s="5" t="s">
        <v>8038</v>
      </c>
      <c r="C5151" s="5" t="str">
        <f>IFERROR(__xludf.DUMMYFUNCTION("GOOGLETRANSLATE(A5151,""en"",""hy"")"),"Ո՞վ է ստեղծել թիվ 5 սիմֆոնիան հայտնի սիմֆոնիան:")</f>
        <v>Ո՞վ է ստեղծել թիվ 5 սիմֆոնիան հայտնի սիմֆոնիան:</v>
      </c>
      <c r="D5151" s="6" t="str">
        <f>IFERROR(__xludf.DUMMYFUNCTION("GOOGLETRANSLATE(B5151,""en"",""hy"")"),"Լյուդվիգ վան Բեթհովեն.")</f>
        <v>Լյուդվիգ վան Բեթհովեն.</v>
      </c>
    </row>
    <row r="5152">
      <c r="A5152" s="5" t="s">
        <v>7780</v>
      </c>
      <c r="B5152" s="5" t="s">
        <v>2951</v>
      </c>
      <c r="C5152" s="5" t="str">
        <f>IFERROR(__xludf.DUMMYFUNCTION("GOOGLETRANSLATE(A5152,""en"",""hy"")"),"Ո՞րն է Կանադայի մայրաքաղաքը:")</f>
        <v>Ո՞րն է Կանադայի մայրաքաղաքը:</v>
      </c>
      <c r="D5152" s="6" t="str">
        <f>IFERROR(__xludf.DUMMYFUNCTION("GOOGLETRANSLATE(B5152,""en"",""hy"")"),"Օտտավա.")</f>
        <v>Օտտավա.</v>
      </c>
    </row>
    <row r="5153">
      <c r="A5153" s="5" t="s">
        <v>8560</v>
      </c>
      <c r="B5153" s="5" t="s">
        <v>7673</v>
      </c>
      <c r="C5153" s="5" t="str">
        <f>IFERROR(__xludf.DUMMYFUNCTION("GOOGLETRANSLATE(A5153,""en"",""hy"")"),"Ո՞ր երկրում է գտնվում Ռիո դե Ժանեյրոն քաղաքը:")</f>
        <v>Ո՞ր երկրում է գտնվում Ռիո դե Ժանեյրոն քաղաքը:</v>
      </c>
      <c r="D5153" s="6" t="str">
        <f>IFERROR(__xludf.DUMMYFUNCTION("GOOGLETRANSLATE(B5153,""en"",""hy"")"),"Բրազիլիա.")</f>
        <v>Բրազիլիա.</v>
      </c>
    </row>
    <row r="5154">
      <c r="A5154" s="5" t="s">
        <v>8561</v>
      </c>
      <c r="B5154" s="5" t="s">
        <v>8562</v>
      </c>
      <c r="C5154" s="5" t="str">
        <f>IFERROR(__xludf.DUMMYFUNCTION("GOOGLETRANSLATE(A5154,""en"",""hy"")"),"Ո՞վ է համարվում «արդի տնտեսագիտության հայրը»:")</f>
        <v>Ո՞վ է համարվում «արդի տնտեսագիտության հայրը»:</v>
      </c>
      <c r="D5154" s="6" t="str">
        <f>IFERROR(__xludf.DUMMYFUNCTION("GOOGLETRANSLATE(B5154,""en"",""hy"")"),"Ադամ Սմիթ.")</f>
        <v>Ադամ Սմիթ.</v>
      </c>
    </row>
    <row r="5155">
      <c r="A5155" s="5" t="s">
        <v>7699</v>
      </c>
      <c r="B5155" s="5" t="s">
        <v>7700</v>
      </c>
      <c r="C5155" s="5" t="str">
        <f>IFERROR(__xludf.DUMMYFUNCTION("GOOGLETRANSLATE(A5155,""en"",""hy"")"),"Ո՞րն է ածխածնի քիմիական նշանը:")</f>
        <v>Ո՞րն է ածխածնի քիմիական նշանը:</v>
      </c>
      <c r="D5155" s="6" t="str">
        <f>IFERROR(__xludf.DUMMYFUNCTION("GOOGLETRANSLATE(B5155,""en"",""hy"")"),"Ածխածնի քիմիական նշանը C է:")</f>
        <v>Ածխածնի քիմիական նշանը C է:</v>
      </c>
    </row>
    <row r="5156">
      <c r="A5156" s="5" t="s">
        <v>8563</v>
      </c>
      <c r="B5156" s="5" t="s">
        <v>7745</v>
      </c>
      <c r="C5156" s="5" t="str">
        <f>IFERROR(__xludf.DUMMYFUNCTION("GOOGLETRANSLATE(A5156,""en"",""hy"")"),"Ո՞վ է նկարել հայտնի «Հիշողության համառություն» կտավը:")</f>
        <v>Ո՞վ է նկարել հայտնի «Հիշողության համառություն» կտավը:</v>
      </c>
      <c r="D5156" s="6" t="str">
        <f>IFERROR(__xludf.DUMMYFUNCTION("GOOGLETRANSLATE(B5156,""en"",""hy"")"),"Սալվադոր Դալի.")</f>
        <v>Սալվադոր Դալի.</v>
      </c>
    </row>
    <row r="5157">
      <c r="A5157" s="5" t="s">
        <v>8564</v>
      </c>
      <c r="B5157" s="5" t="s">
        <v>7837</v>
      </c>
      <c r="C5157" s="5" t="str">
        <f>IFERROR(__xludf.DUMMYFUNCTION("GOOGLETRANSLATE(A5157,""en"",""hy"")"),"Ո՞ր թվականին է սկսվել Առաջին համաշխարհային պատերազմը:")</f>
        <v>Ո՞ր թվականին է սկսվել Առաջին համաշխարհային պատերազմը:</v>
      </c>
      <c r="D5157" s="6" t="str">
        <f>IFERROR(__xludf.DUMMYFUNCTION("GOOGLETRANSLATE(B5157,""en"",""hy"")"),"Առաջին համաշխարհային պատերազմը սկսվել է 1914 թ.")</f>
        <v>Առաջին համաշխարհային պատերազմը սկսվել է 1914 թ.</v>
      </c>
    </row>
    <row r="5158">
      <c r="A5158" s="5" t="s">
        <v>7872</v>
      </c>
      <c r="B5158" s="5" t="s">
        <v>6011</v>
      </c>
      <c r="C5158" s="5" t="str">
        <f>IFERROR(__xludf.DUMMYFUNCTION("GOOGLETRANSLATE(A5158,""en"",""hy"")"),"Ո՞րն է Իսպանիայի մայրաքաղաքը:")</f>
        <v>Ո՞րն է Իսպանիայի մայրաքաղաքը:</v>
      </c>
      <c r="D5158" s="6" t="str">
        <f>IFERROR(__xludf.DUMMYFUNCTION("GOOGLETRANSLATE(B5158,""en"",""hy"")"),"Մադրիդ")</f>
        <v>Մադրիդ</v>
      </c>
    </row>
    <row r="5159">
      <c r="A5159" s="5" t="s">
        <v>7612</v>
      </c>
      <c r="B5159" s="5" t="s">
        <v>7613</v>
      </c>
      <c r="C5159" s="5" t="str">
        <f>IFERROR(__xludf.DUMMYFUNCTION("GOOGLETRANSLATE(A5159,""en"",""hy"")"),"Ո՞վ է գրել «Մեծն Գեթսբի» վեպը:")</f>
        <v>Ո՞վ է գրել «Մեծն Գեթսբի» վեպը:</v>
      </c>
      <c r="D5159" s="6" t="str">
        <f>IFERROR(__xludf.DUMMYFUNCTION("GOOGLETRANSLATE(B5159,""en"",""hy"")"),"F. Scott Fitzgerald")</f>
        <v>F. Scott Fitzgerald</v>
      </c>
    </row>
    <row r="5160">
      <c r="A5160" s="5" t="s">
        <v>8565</v>
      </c>
      <c r="B5160" s="5" t="s">
        <v>8566</v>
      </c>
      <c r="C5160" s="5" t="str">
        <f>IFERROR(__xludf.DUMMYFUNCTION("GOOGLETRANSLATE(A5160,""en"",""hy"")"),"Ո՞րն է թթվածնի քիմիական բանաձևը:")</f>
        <v>Ո՞րն է թթվածնի քիմիական բանաձևը:</v>
      </c>
      <c r="D5160" s="6" t="str">
        <f>IFERROR(__xludf.DUMMYFUNCTION("GOOGLETRANSLATE(B5160,""en"",""hy"")"),"Թթվածնի քիմիական բանաձևը O2 է:")</f>
        <v>Թթվածնի քիմիական բանաձևը O2 է:</v>
      </c>
    </row>
    <row r="5161">
      <c r="A5161" s="5" t="s">
        <v>8021</v>
      </c>
      <c r="B5161" s="5" t="s">
        <v>8567</v>
      </c>
      <c r="C5161" s="5" t="str">
        <f>IFERROR(__xludf.DUMMYFUNCTION("GOOGLETRANSLATE(A5161,""en"",""hy"")"),"Ո՞վ է հայտնի որպես «Սոուլի թագուհի»:")</f>
        <v>Ո՞վ է հայտնի որպես «Սոուլի թագուհի»:</v>
      </c>
      <c r="D5161" s="6" t="str">
        <f>IFERROR(__xludf.DUMMYFUNCTION("GOOGLETRANSLATE(B5161,""en"",""hy"")"),"Արետա Ֆրանկլին")</f>
        <v>Արետա Ֆրանկլին</v>
      </c>
    </row>
    <row r="5162">
      <c r="A5162" s="5" t="s">
        <v>7691</v>
      </c>
      <c r="B5162" s="5" t="s">
        <v>7692</v>
      </c>
      <c r="C5162" s="5" t="str">
        <f>IFERROR(__xludf.DUMMYFUNCTION("GOOGLETRANSLATE(A5162,""en"",""hy"")"),"Ո՞րն է Աֆրիկայի ամենամեծ լիճը:")</f>
        <v>Ո՞րն է Աֆրիկայի ամենամեծ լիճը:</v>
      </c>
      <c r="D5162" s="6" t="str">
        <f>IFERROR(__xludf.DUMMYFUNCTION("GOOGLETRANSLATE(B5162,""en"",""hy"")"),"Վիկտորիա լիճ.")</f>
        <v>Վիկտորիա լիճ.</v>
      </c>
    </row>
    <row r="5163">
      <c r="A5163" s="5" t="s">
        <v>8490</v>
      </c>
      <c r="B5163" s="5" t="s">
        <v>7867</v>
      </c>
      <c r="C5163" s="5" t="str">
        <f>IFERROR(__xludf.DUMMYFUNCTION("GOOGLETRANSLATE(A5163,""en"",""hy"")"),"Ո՞վ է «Մատանիների տիրակալը» վեպի հեղինակը.")</f>
        <v>Ո՞վ է «Մատանիների տիրակալը» վեպի հեղինակը.</v>
      </c>
      <c r="D5163" s="6" t="str">
        <f>IFERROR(__xludf.DUMMYFUNCTION("GOOGLETRANSLATE(B5163,""en"",""hy"")"),"Ջ.Ռ.Ռ. Թոլքինը։")</f>
        <v>Ջ.Ռ.Ռ. Թոլքինը։</v>
      </c>
    </row>
    <row r="5164">
      <c r="A5164" s="5" t="s">
        <v>7530</v>
      </c>
      <c r="B5164" s="5" t="s">
        <v>8568</v>
      </c>
      <c r="C5164" s="5" t="str">
        <f>IFERROR(__xludf.DUMMYFUNCTION("GOOGLETRANSLATE(A5164,""en"",""hy"")"),"Ո՞րն է Հնդկաստանի ազգային թռչունը:")</f>
        <v>Ո՞րն է Հնդկաստանի ազգային թռչունը:</v>
      </c>
      <c r="D5164" s="6" t="str">
        <f>IFERROR(__xludf.DUMMYFUNCTION("GOOGLETRANSLATE(B5164,""en"",""hy"")"),"Հնդկաստանի ազգային թռչունը հնդկական սիրամարգն է:")</f>
        <v>Հնդկաստանի ազգային թռչունը հնդկական սիրամարգն է:</v>
      </c>
    </row>
    <row r="5165">
      <c r="A5165" s="5" t="s">
        <v>7893</v>
      </c>
      <c r="B5165" s="5" t="s">
        <v>7894</v>
      </c>
      <c r="C5165" s="5" t="str">
        <f>IFERROR(__xludf.DUMMYFUNCTION("GOOGLETRANSLATE(A5165,""en"",""hy"")"),"Ո՞րն է կալիումի քիմիական նշանը:")</f>
        <v>Ո՞րն է կալիումի քիմիական նշանը:</v>
      </c>
      <c r="D5165" s="6" t="str">
        <f>IFERROR(__xludf.DUMMYFUNCTION("GOOGLETRANSLATE(B5165,""en"",""hy"")"),"Կալիումի քիմիական նշանը Կ.")</f>
        <v>Կալիումի քիմիական նշանը Կ.</v>
      </c>
    </row>
    <row r="5166">
      <c r="A5166" s="5" t="s">
        <v>8569</v>
      </c>
      <c r="B5166" s="5" t="s">
        <v>8038</v>
      </c>
      <c r="C5166" s="5" t="str">
        <f>IFERROR(__xludf.DUMMYFUNCTION("GOOGLETRANSLATE(A5166,""en"",""hy"")"),"Ո՞վ է հորինել սիմֆոնիան, որը հայտնի է որպես թիվ 6 սիմֆոնիա կամ «Հովվական սիմֆոնիա»:")</f>
        <v>Ո՞վ է հորինել սիմֆոնիան, որը հայտնի է որպես թիվ 6 սիմֆոնիա կամ «Հովվական սիմֆոնիա»:</v>
      </c>
      <c r="D5166" s="6" t="str">
        <f>IFERROR(__xludf.DUMMYFUNCTION("GOOGLETRANSLATE(B5166,""en"",""hy"")"),"Լյուդվիգ վան Բեթհովեն.")</f>
        <v>Լյուդվիգ վան Բեթհովեն.</v>
      </c>
    </row>
    <row r="5167">
      <c r="A5167" s="5" t="s">
        <v>7536</v>
      </c>
      <c r="B5167" s="5" t="s">
        <v>7870</v>
      </c>
      <c r="C5167" s="5" t="str">
        <f>IFERROR(__xludf.DUMMYFUNCTION("GOOGLETRANSLATE(A5167,""en"",""hy"")"),"Ո՞րն է Ռուսաստանի մայրաքաղաքը:")</f>
        <v>Ո՞րն է Ռուսաստանի մայրաքաղաքը:</v>
      </c>
      <c r="D5167" s="6" t="str">
        <f>IFERROR(__xludf.DUMMYFUNCTION("GOOGLETRANSLATE(B5167,""en"",""hy"")"),"Մոսկվա.")</f>
        <v>Մոսկվա.</v>
      </c>
    </row>
    <row r="5168">
      <c r="A5168" s="5" t="s">
        <v>8570</v>
      </c>
      <c r="B5168" s="5" t="s">
        <v>5895</v>
      </c>
      <c r="C5168" s="5" t="str">
        <f>IFERROR(__xludf.DUMMYFUNCTION("GOOGLETRANSLATE(A5168,""en"",""hy"")"),"Ո՞ր երկրում է գտնվում Քեյփթաուն քաղաքը:")</f>
        <v>Ո՞ր երկրում է գտնվում Քեյփթաուն քաղաքը:</v>
      </c>
      <c r="D5168" s="6" t="str">
        <f>IFERROR(__xludf.DUMMYFUNCTION("GOOGLETRANSLATE(B5168,""en"",""hy"")"),"Հարավային Աֆրիկա.")</f>
        <v>Հարավային Աֆրիկա.</v>
      </c>
    </row>
    <row r="5169">
      <c r="A5169" s="5" t="s">
        <v>8571</v>
      </c>
      <c r="B5169" s="5" t="s">
        <v>8543</v>
      </c>
      <c r="C5169" s="5" t="str">
        <f>IFERROR(__xludf.DUMMYFUNCTION("GOOGLETRANSLATE(A5169,""en"",""hy"")"),"Ո՞վ է համարվում «ժամանակակից հոգեբանության հայրը»:")</f>
        <v>Ո՞վ է համարվում «ժամանակակից հոգեբանության հայրը»:</v>
      </c>
      <c r="D5169" s="6" t="str">
        <f>IFERROR(__xludf.DUMMYFUNCTION("GOOGLETRANSLATE(B5169,""en"",""hy"")"),"Զիգմունդ Ֆրեյդ.")</f>
        <v>Զիգմունդ Ֆրեյդ.</v>
      </c>
    </row>
    <row r="5170">
      <c r="A5170" s="5" t="s">
        <v>7761</v>
      </c>
      <c r="B5170" s="5" t="s">
        <v>7762</v>
      </c>
      <c r="C5170" s="5" t="str">
        <f>IFERROR(__xludf.DUMMYFUNCTION("GOOGLETRANSLATE(A5170,""en"",""hy"")"),"Ո՞րն է ջրածնի քիմիական նշանը:")</f>
        <v>Ո՞րն է ջրածնի քիմիական նշանը:</v>
      </c>
      <c r="D5170" s="6" t="str">
        <f>IFERROR(__xludf.DUMMYFUNCTION("GOOGLETRANSLATE(B5170,""en"",""hy"")"),"Հ")</f>
        <v>Հ</v>
      </c>
    </row>
    <row r="5171">
      <c r="A5171" s="5" t="s">
        <v>8572</v>
      </c>
      <c r="B5171" s="5" t="s">
        <v>7549</v>
      </c>
      <c r="C5171" s="5" t="str">
        <f>IFERROR(__xludf.DUMMYFUNCTION("GOOGLETRANSLATE(A5171,""en"",""hy"")"),"Ո՞վ է նկարել հայտնի «Մարգարտյա ականջօղով աղջիկը» կտավը:")</f>
        <v>Ո՞վ է նկարել հայտնի «Մարգարտյա ականջօղով աղջիկը» կտավը:</v>
      </c>
      <c r="D5171" s="6" t="str">
        <f>IFERROR(__xludf.DUMMYFUNCTION("GOOGLETRANSLATE(B5171,""en"",""hy"")"),"Յոհաննես Վերմեեր.")</f>
        <v>Յոհաննես Վերմեեր.</v>
      </c>
    </row>
    <row r="5172">
      <c r="A5172" s="5" t="s">
        <v>7626</v>
      </c>
      <c r="B5172" s="5" t="s">
        <v>8066</v>
      </c>
      <c r="C5172" s="5" t="str">
        <f>IFERROR(__xludf.DUMMYFUNCTION("GOOGLETRANSLATE(A5172,""en"",""hy"")"),"Ո՞րն է Գերմանիայի մայրաքաղաքը:")</f>
        <v>Ո՞րն է Գերմանիայի մայրաքաղաքը:</v>
      </c>
      <c r="D5172" s="6" t="str">
        <f>IFERROR(__xludf.DUMMYFUNCTION("GOOGLETRANSLATE(B5172,""en"",""hy"")"),"Բեռլին.")</f>
        <v>Բեռլին.</v>
      </c>
    </row>
    <row r="5173">
      <c r="A5173" s="5" t="s">
        <v>8573</v>
      </c>
      <c r="B5173" s="5" t="s">
        <v>1016</v>
      </c>
      <c r="C5173" s="5" t="str">
        <f>IFERROR(__xludf.DUMMYFUNCTION("GOOGLETRANSLATE(A5173,""en"",""hy"")"),"Ո՞վ է գրել «Մակբեթ», «Համլետ» և «Օթելլո» պիեսները:")</f>
        <v>Ո՞վ է գրել «Մակբեթ», «Համլետ» և «Օթելլո» պիեսները:</v>
      </c>
      <c r="D5173" s="6" t="str">
        <f>IFERROR(__xludf.DUMMYFUNCTION("GOOGLETRANSLATE(B5173,""en"",""hy"")"),"Ուիլյամ Շեքսպիր.")</f>
        <v>Ուիլյամ Շեքսպիր.</v>
      </c>
    </row>
    <row r="5174">
      <c r="A5174" s="5" t="s">
        <v>7809</v>
      </c>
      <c r="B5174" s="5" t="s">
        <v>7810</v>
      </c>
      <c r="C5174" s="5" t="str">
        <f>IFERROR(__xludf.DUMMYFUNCTION("GOOGLETRANSLATE(A5174,""en"",""hy"")"),"Ո՞րն է հելիումի քիմիական նշանը:")</f>
        <v>Ո՞րն է հելիումի քիմիական նշանը:</v>
      </c>
      <c r="D5174" s="6" t="str">
        <f>IFERROR(__xludf.DUMMYFUNCTION("GOOGLETRANSLATE(B5174,""en"",""hy"")"),"Նա")</f>
        <v>Նա</v>
      </c>
    </row>
    <row r="5175">
      <c r="A5175" s="5" t="s">
        <v>8029</v>
      </c>
      <c r="B5175" s="5" t="s">
        <v>8030</v>
      </c>
      <c r="C5175" s="5" t="str">
        <f>IFERROR(__xludf.DUMMYFUNCTION("GOOGLETRANSLATE(A5175,""en"",""hy"")"),"Ո՞վ է հայտնի որպես «Փոփի արքա»:")</f>
        <v>Ո՞վ է հայտնի որպես «Փոփի արքա»:</v>
      </c>
      <c r="D5175" s="6" t="str">
        <f>IFERROR(__xludf.DUMMYFUNCTION("GOOGLETRANSLATE(B5175,""en"",""hy"")"),"Մայքլ Ջեքսոն.")</f>
        <v>Մայքլ Ջեքսոն.</v>
      </c>
    </row>
    <row r="5176">
      <c r="A5176" s="5" t="s">
        <v>8574</v>
      </c>
      <c r="B5176" s="5" t="s">
        <v>8575</v>
      </c>
      <c r="C5176" s="5" t="str">
        <f>IFERROR(__xludf.DUMMYFUNCTION("GOOGLETRANSLATE(A5176,""en"",""hy"")"),"Ո՞րն է ԱՄՆ-ի ամենամեծ լիճը մակերեսով:")</f>
        <v>Ո՞րն է ԱՄՆ-ի ամենամեծ լիճը մակերեսով:</v>
      </c>
      <c r="D5176" s="6" t="str">
        <f>IFERROR(__xludf.DUMMYFUNCTION("GOOGLETRANSLATE(B5176,""en"",""hy"")"),"Սուպերիոր լիճ.")</f>
        <v>Սուպերիոր լիճ.</v>
      </c>
    </row>
    <row r="5177">
      <c r="A5177" s="5" t="s">
        <v>8576</v>
      </c>
      <c r="B5177" s="5" t="s">
        <v>8038</v>
      </c>
      <c r="C5177" s="5" t="str">
        <f>IFERROR(__xludf.DUMMYFUNCTION("GOOGLETRANSLATE(A5177,""en"",""hy"")"),"Ո՞վ է ստեղծել սիմֆոնիան, որը հայտնի է որպես թիվ 3 սիմֆոնիա կամ «Էրոիկա»:")</f>
        <v>Ո՞վ է ստեղծել սիմֆոնիան, որը հայտնի է որպես թիվ 3 սիմֆոնիա կամ «Էրոիկա»:</v>
      </c>
      <c r="D5177" s="6" t="str">
        <f>IFERROR(__xludf.DUMMYFUNCTION("GOOGLETRANSLATE(B5177,""en"",""hy"")"),"Լյուդվիգ վան Բեթհովեն.")</f>
        <v>Լյուդվիգ վան Բեթհովեն.</v>
      </c>
    </row>
    <row r="5178">
      <c r="A5178" s="5" t="s">
        <v>7500</v>
      </c>
      <c r="B5178" s="5" t="s">
        <v>8170</v>
      </c>
      <c r="C5178" s="5" t="str">
        <f>IFERROR(__xludf.DUMMYFUNCTION("GOOGLETRANSLATE(A5178,""en"",""hy"")"),"Ո՞րն է Ֆրանսիայի մայրաքաղաքը:")</f>
        <v>Ո՞րն է Ֆրանսիայի մայրաքաղաքը:</v>
      </c>
      <c r="D5178" s="6" t="str">
        <f>IFERROR(__xludf.DUMMYFUNCTION("GOOGLETRANSLATE(B5178,""en"",""hy"")"),"Փարիզ")</f>
        <v>Փարիզ</v>
      </c>
    </row>
    <row r="5179">
      <c r="A5179" s="5" t="s">
        <v>8577</v>
      </c>
      <c r="B5179" s="5" t="s">
        <v>8578</v>
      </c>
      <c r="C5179" s="5" t="str">
        <f>IFERROR(__xludf.DUMMYFUNCTION("GOOGLETRANSLATE(A5179,""en"",""hy"")"),"Ո՞վ է գրել «Թշվառները» վեպը:")</f>
        <v>Ո՞վ է գրել «Թշվառները» վեպը:</v>
      </c>
      <c r="D5179" s="6" t="str">
        <f>IFERROR(__xludf.DUMMYFUNCTION("GOOGLETRANSLATE(B5179,""en"",""hy"")"),"Վիկտոր Հյուգո.")</f>
        <v>Վիկտոր Հյուգո.</v>
      </c>
    </row>
    <row r="5180">
      <c r="A5180" s="5" t="s">
        <v>7604</v>
      </c>
      <c r="B5180" s="5" t="s">
        <v>7855</v>
      </c>
      <c r="C5180" s="5" t="str">
        <f>IFERROR(__xludf.DUMMYFUNCTION("GOOGLETRANSLATE(A5180,""en"",""hy"")"),"Ո՞րն է ածխաթթու գազի քիմիական բանաձևը:")</f>
        <v>Ո՞րն է ածխաթթու գազի քիմիական բանաձևը:</v>
      </c>
      <c r="D5180" s="6" t="str">
        <f>IFERROR(__xludf.DUMMYFUNCTION("GOOGLETRANSLATE(B5180,""en"",""hy"")"),"Ածխածնի երկօքսիդի քիմիական բանաձևը CO2 է:")</f>
        <v>Ածխածնի երկօքսիդի քիմիական բանաձևը CO2 է:</v>
      </c>
    </row>
    <row r="5181">
      <c r="A5181" s="5" t="s">
        <v>7500</v>
      </c>
      <c r="B5181" s="5" t="s">
        <v>7501</v>
      </c>
      <c r="C5181" s="5" t="str">
        <f>IFERROR(__xludf.DUMMYFUNCTION("GOOGLETRANSLATE(A5181,""en"",""hy"")"),"Ո՞րն է Ֆրանսիայի մայրաքաղաքը:")</f>
        <v>Ո՞րն է Ֆրանսիայի մայրաքաղաքը:</v>
      </c>
      <c r="D5181" s="6" t="str">
        <f>IFERROR(__xludf.DUMMYFUNCTION("GOOGLETRANSLATE(B5181,""en"",""hy"")"),"Փարիզ.")</f>
        <v>Փարիզ.</v>
      </c>
    </row>
    <row r="5182">
      <c r="A5182" s="5" t="s">
        <v>7447</v>
      </c>
      <c r="B5182" s="5" t="s">
        <v>7448</v>
      </c>
      <c r="C5182" s="5" t="str">
        <f>IFERROR(__xludf.DUMMYFUNCTION("GOOGLETRANSLATE(A5182,""en"",""hy"")"),"Ո՞վ է նկարել Մոնա Լիզան:")</f>
        <v>Ո՞վ է նկարել Մոնա Լիզան:</v>
      </c>
      <c r="D5182" s="6" t="str">
        <f>IFERROR(__xludf.DUMMYFUNCTION("GOOGLETRANSLATE(B5182,""en"",""hy"")"),"Լեոնարդո դա Վինչի.")</f>
        <v>Լեոնարդո դա Վինչի.</v>
      </c>
    </row>
    <row r="5183">
      <c r="A5183" s="5" t="s">
        <v>8181</v>
      </c>
      <c r="B5183" s="5" t="s">
        <v>8579</v>
      </c>
      <c r="C5183" s="5" t="str">
        <f>IFERROR(__xludf.DUMMYFUNCTION("GOOGLETRANSLATE(A5183,""en"",""hy"")"),"Քանի՞ մոլորակ կա մեր արեգակնային համակարգում:")</f>
        <v>Քանի՞ մոլորակ կա մեր արեգակնային համակարգում:</v>
      </c>
      <c r="D5183" s="6" t="str">
        <f>IFERROR(__xludf.DUMMYFUNCTION("GOOGLETRANSLATE(B5183,""en"",""hy"")"),"Մեր Արեգակնային համակարգում կա 8 մոլորակ։")</f>
        <v>Մեր Արեգակնային համակարգում կա 8 մոլորակ։</v>
      </c>
    </row>
    <row r="5184">
      <c r="A5184" s="5" t="s">
        <v>8580</v>
      </c>
      <c r="B5184" s="5" t="s">
        <v>7472</v>
      </c>
      <c r="C5184" s="5" t="str">
        <f>IFERROR(__xludf.DUMMYFUNCTION("GOOGLETRANSLATE(A5184,""en"",""hy"")"),"Ո՞րն է Երկրի վրա ամենամեծ կաթնասունը:")</f>
        <v>Ո՞րն է Երկրի վրա ամենամեծ կաթնասունը:</v>
      </c>
      <c r="D5184" s="6" t="str">
        <f>IFERROR(__xludf.DUMMYFUNCTION("GOOGLETRANSLATE(B5184,""en"",""hy"")"),"Կապույտ կետը.")</f>
        <v>Կապույտ կետը.</v>
      </c>
    </row>
    <row r="5185">
      <c r="A5185" s="5" t="s">
        <v>8581</v>
      </c>
      <c r="B5185" s="5" t="s">
        <v>8582</v>
      </c>
      <c r="C5185" s="5" t="str">
        <f>IFERROR(__xludf.DUMMYFUNCTION("GOOGLETRANSLATE(A5185,""en"",""hy"")"),"Ո՞ր տարում սկսվեց Երկրորդ համաշխարհային պատերազմը:")</f>
        <v>Ո՞ր տարում սկսվեց Երկրորդ համաշխարհային պատերազմը:</v>
      </c>
      <c r="D5185" s="6" t="str">
        <f>IFERROR(__xludf.DUMMYFUNCTION("GOOGLETRANSLATE(B5185,""en"",""hy"")"),"Երկրորդ համաշխարհային պատերազմը սկսվել է 1939 թ.")</f>
        <v>Երկրորդ համաշխարհային պատերազմը սկսվել է 1939 թ.</v>
      </c>
    </row>
    <row r="5186">
      <c r="A5186" s="5" t="s">
        <v>8105</v>
      </c>
      <c r="B5186" s="5" t="s">
        <v>7635</v>
      </c>
      <c r="C5186" s="5" t="str">
        <f>IFERROR(__xludf.DUMMYFUNCTION("GOOGLETRANSLATE(A5186,""en"",""hy"")"),"Ո՞վ էր առաջին մարդը, ով քայլեց լուսնի վրա:")</f>
        <v>Ո՞վ էր առաջին մարդը, ով քայլեց լուսնի վրա:</v>
      </c>
      <c r="D5186" s="6" t="str">
        <f>IFERROR(__xludf.DUMMYFUNCTION("GOOGLETRANSLATE(B5186,""en"",""hy"")"),"Նիլ Արմսթրոնգ.")</f>
        <v>Նիլ Արմսթրոնգ.</v>
      </c>
    </row>
    <row r="5187">
      <c r="A5187" s="5" t="s">
        <v>8078</v>
      </c>
      <c r="B5187" s="5" t="s">
        <v>7784</v>
      </c>
      <c r="C5187" s="5" t="str">
        <f>IFERROR(__xludf.DUMMYFUNCTION("GOOGLETRANSLATE(A5187,""en"",""hy"")"),"Ո՞ր երկիրն է հայտնի որպես Ծագող Արևի երկիր:")</f>
        <v>Ո՞ր երկիրն է հայտնի որպես Ծագող Արևի երկիր:</v>
      </c>
      <c r="D5187" s="6" t="str">
        <f>IFERROR(__xludf.DUMMYFUNCTION("GOOGLETRANSLATE(B5187,""en"",""hy"")"),"Ճապոնիա")</f>
        <v>Ճապոնիա</v>
      </c>
    </row>
    <row r="5188">
      <c r="A5188" s="5" t="s">
        <v>7463</v>
      </c>
      <c r="B5188" s="5" t="s">
        <v>7464</v>
      </c>
      <c r="C5188" s="5" t="str">
        <f>IFERROR(__xludf.DUMMYFUNCTION("GOOGLETRANSLATE(A5188,""en"",""hy"")"),"Ո՞րն է աշխարհի ամենաբարձր լեռը:")</f>
        <v>Ո՞րն է աշխարհի ամենաբարձր լեռը:</v>
      </c>
      <c r="D5188" s="6" t="str">
        <f>IFERROR(__xludf.DUMMYFUNCTION("GOOGLETRANSLATE(B5188,""en"",""hy"")"),"Էվերեստ լեռ.")</f>
        <v>Էվերեստ լեռ.</v>
      </c>
    </row>
    <row r="5189">
      <c r="A5189" s="5" t="s">
        <v>7452</v>
      </c>
      <c r="B5189" s="5" t="s">
        <v>7453</v>
      </c>
      <c r="C5189" s="5" t="str">
        <f>IFERROR(__xludf.DUMMYFUNCTION("GOOGLETRANSLATE(A5189,""en"",""hy"")"),"Ո՞րն է ոսկու քիմիական նշանը:")</f>
        <v>Ո՞րն է ոսկու քիմիական նշանը:</v>
      </c>
      <c r="D5189" s="6" t="str">
        <f>IFERROR(__xludf.DUMMYFUNCTION("GOOGLETRANSLATE(B5189,""en"",""hy"")"),"Ոսկու քիմիական նշանը Au-ն է:")</f>
        <v>Ոսկու քիմիական նշանը Au-ն է:</v>
      </c>
    </row>
    <row r="5190">
      <c r="A5190" s="5" t="s">
        <v>7698</v>
      </c>
      <c r="B5190" s="5" t="s">
        <v>7630</v>
      </c>
      <c r="C5190" s="5" t="str">
        <f>IFERROR(__xludf.DUMMYFUNCTION("GOOGLETRANSLATE(A5190,""en"",""hy"")"),"Ո՞վ է գրել «Հպարտություն և նախապաշարմունք» վեպը:")</f>
        <v>Ո՞վ է գրել «Հպարտություն և նախապաշարմունք» վեպը:</v>
      </c>
      <c r="D5190" s="6" t="str">
        <f>IFERROR(__xludf.DUMMYFUNCTION("GOOGLETRANSLATE(B5190,""en"",""hy"")"),"Ջեյն Օսթին.")</f>
        <v>Ջեյն Օսթին.</v>
      </c>
    </row>
    <row r="5191">
      <c r="A5191" s="5" t="s">
        <v>8583</v>
      </c>
      <c r="B5191" s="5" t="s">
        <v>3535</v>
      </c>
      <c r="C5191" s="5" t="str">
        <f>IFERROR(__xludf.DUMMYFUNCTION("GOOGLETRANSLATE(A5191,""en"",""hy"")"),"Ո՞ր երկրում է գտնվում Մեծ արգելախութը:")</f>
        <v>Ո՞ր երկրում է գտնվում Մեծ արգելախութը:</v>
      </c>
      <c r="D5191" s="6" t="str">
        <f>IFERROR(__xludf.DUMMYFUNCTION("GOOGLETRANSLATE(B5191,""en"",""hy"")"),"Ավստրալիա.")</f>
        <v>Ավստրալիա.</v>
      </c>
    </row>
    <row r="5192">
      <c r="A5192" s="5" t="s">
        <v>7480</v>
      </c>
      <c r="B5192" s="5" t="s">
        <v>7481</v>
      </c>
      <c r="C5192" s="5" t="str">
        <f>IFERROR(__xludf.DUMMYFUNCTION("GOOGLETRANSLATE(A5192,""en"",""hy"")"),"Ո՞րն է Միացյալ Նահանգների ազգային թռչունը:")</f>
        <v>Ո՞րն է Միացյալ Նահանգների ազգային թռչունը:</v>
      </c>
      <c r="D5192" s="6" t="str">
        <f>IFERROR(__xludf.DUMMYFUNCTION("GOOGLETRANSLATE(B5192,""en"",""hy"")"),"Միացյալ Նահանգների ազգային թռչունը ճաղատ արծիվն է։")</f>
        <v>Միացյալ Նահանգների ազգային թռչունը ճաղատ արծիվն է։</v>
      </c>
    </row>
    <row r="5193">
      <c r="A5193" s="5" t="s">
        <v>8246</v>
      </c>
      <c r="B5193" s="5" t="s">
        <v>7648</v>
      </c>
      <c r="C5193" s="5" t="str">
        <f>IFERROR(__xludf.DUMMYFUNCTION("GOOGLETRANSLATE(A5193,""en"",""hy"")"),"Ո՞վ է նկարել հայտնի «Աստղային գիշերը» արվեստի գործը:")</f>
        <v>Ո՞վ է նկարել հայտնի «Աստղային գիշերը» արվեստի գործը:</v>
      </c>
      <c r="D5193" s="6" t="str">
        <f>IFERROR(__xludf.DUMMYFUNCTION("GOOGLETRANSLATE(B5193,""en"",""hy"")"),"Վինսենթ վան Գոգ.")</f>
        <v>Վինսենթ վան Գոգ.</v>
      </c>
    </row>
    <row r="5194">
      <c r="A5194" s="5" t="s">
        <v>7645</v>
      </c>
      <c r="B5194" s="5" t="s">
        <v>7646</v>
      </c>
      <c r="C5194" s="5" t="str">
        <f>IFERROR(__xludf.DUMMYFUNCTION("GOOGLETRANSLATE(A5194,""en"",""hy"")"),"Ո՞րն է Երկրի ամենամեծ օվկիանոսը:")</f>
        <v>Ո՞րն է Երկրի ամենամեծ օվկիանոսը:</v>
      </c>
      <c r="D5194" s="6" t="str">
        <f>IFERROR(__xludf.DUMMYFUNCTION("GOOGLETRANSLATE(B5194,""en"",""hy"")"),"Խաղաղ օվկիանոս.")</f>
        <v>Խաղաղ օվկիանոս.</v>
      </c>
    </row>
    <row r="5195">
      <c r="A5195" s="5" t="s">
        <v>7467</v>
      </c>
      <c r="B5195" s="5" t="s">
        <v>7468</v>
      </c>
      <c r="C5195" s="5" t="str">
        <f>IFERROR(__xludf.DUMMYFUNCTION("GOOGLETRANSLATE(A5195,""en"",""hy"")"),"Ո՞րն է Ճապոնիայի արժույթը:")</f>
        <v>Ո՞րն է Ճապոնիայի արժույթը:</v>
      </c>
      <c r="D5195" s="6" t="str">
        <f>IFERROR(__xludf.DUMMYFUNCTION("GOOGLETRANSLATE(B5195,""en"",""hy"")"),"Ճապոնիայի արժույթը ճապոնական իենն է։")</f>
        <v>Ճապոնիայի արժույթը ճապոնական իենն է։</v>
      </c>
    </row>
    <row r="5196">
      <c r="A5196" s="5" t="s">
        <v>8584</v>
      </c>
      <c r="B5196" s="5" t="s">
        <v>8585</v>
      </c>
      <c r="C5196" s="5" t="str">
        <f>IFERROR(__xludf.DUMMYFUNCTION("GOOGLETRANSLATE(A5196,""en"",""hy"")"),"Ինչպե՞ս է կոչվում բրածոների ուսումնասիրությունը:")</f>
        <v>Ինչպե՞ս է կոչվում բրածոների ուսումնասիրությունը:</v>
      </c>
      <c r="D5196" s="6" t="str">
        <f>IFERROR(__xludf.DUMMYFUNCTION("GOOGLETRANSLATE(B5196,""en"",""hy"")"),"Բրածոների ուսումնասիրությունը կոչվում է պալեոնտոլոգիա:")</f>
        <v>Բրածոների ուսումնասիրությունը կոչվում է պալեոնտոլոգիա:</v>
      </c>
    </row>
    <row r="5197">
      <c r="A5197" s="5" t="s">
        <v>8520</v>
      </c>
      <c r="B5197" s="5" t="s">
        <v>7556</v>
      </c>
      <c r="C5197" s="5" t="str">
        <f>IFERROR(__xludf.DUMMYFUNCTION("GOOGLETRANSLATE(A5197,""en"",""hy"")"),"Ո՞ր գիտնականն է առաջարկել հարաբերականության տեսությունը:")</f>
        <v>Ո՞ր գիտնականն է առաջարկել հարաբերականության տեսությունը:</v>
      </c>
      <c r="D5197" s="6" t="str">
        <f>IFERROR(__xludf.DUMMYFUNCTION("GOOGLETRANSLATE(B5197,""en"",""hy"")"),"Albert Einstein.")</f>
        <v>Albert Einstein.</v>
      </c>
    </row>
    <row r="5198">
      <c r="A5198" s="5" t="s">
        <v>7789</v>
      </c>
      <c r="B5198" s="5" t="s">
        <v>7790</v>
      </c>
      <c r="C5198" s="5" t="str">
        <f>IFERROR(__xludf.DUMMYFUNCTION("GOOGLETRANSLATE(A5198,""en"",""hy"")"),"Ո՞վ է հունական ամպրոպի աստվածը:")</f>
        <v>Ո՞վ է հունական ամպրոպի աստվածը:</v>
      </c>
      <c r="D5198" s="6" t="str">
        <f>IFERROR(__xludf.DUMMYFUNCTION("GOOGLETRANSLATE(B5198,""en"",""hy"")"),"Հունական ամպրոպի աստվածը Զևսն է:")</f>
        <v>Հունական ամպրոպի աստվածը Զևսն է:</v>
      </c>
    </row>
    <row r="5199">
      <c r="A5199" s="5" t="s">
        <v>7506</v>
      </c>
      <c r="B5199" s="5" t="s">
        <v>7507</v>
      </c>
      <c r="C5199" s="5" t="str">
        <f>IFERROR(__xludf.DUMMYFUNCTION("GOOGLETRANSLATE(A5199,""en"",""hy"")"),"Ո՞րն է աշխարհի ամենափոքր երկիրը:")</f>
        <v>Ո՞րն է աշխարհի ամենափոքր երկիրը:</v>
      </c>
      <c r="D5199" s="6" t="str">
        <f>IFERROR(__xludf.DUMMYFUNCTION("GOOGLETRANSLATE(B5199,""en"",""hy"")"),"Քաղաք Վատիկան.")</f>
        <v>Քաղաք Վատիկան.</v>
      </c>
    </row>
    <row r="5200">
      <c r="A5200" s="5" t="s">
        <v>8586</v>
      </c>
      <c r="B5200" s="5" t="s">
        <v>7501</v>
      </c>
      <c r="C5200" s="5" t="str">
        <f>IFERROR(__xludf.DUMMYFUNCTION("GOOGLETRANSLATE(A5200,""en"",""hy"")"),"Ո՞ր քաղաքում է գտնվում Լուվրի թանգարանը:")</f>
        <v>Ո՞ր քաղաքում է գտնվում Լուվրի թանգարանը:</v>
      </c>
      <c r="D5200" s="6" t="str">
        <f>IFERROR(__xludf.DUMMYFUNCTION("GOOGLETRANSLATE(B5200,""en"",""hy"")"),"Փարիզ.")</f>
        <v>Փարիզ.</v>
      </c>
    </row>
    <row r="5201">
      <c r="A5201" s="5" t="s">
        <v>7483</v>
      </c>
      <c r="B5201" s="5" t="s">
        <v>8295</v>
      </c>
      <c r="C5201" s="5" t="str">
        <f>IFERROR(__xludf.DUMMYFUNCTION("GOOGLETRANSLATE(A5201,""en"",""hy"")"),"Ո՞րն է ջրի քիմիական բանաձևը:")</f>
        <v>Ո՞րն է ջրի քիմիական բանաձևը:</v>
      </c>
      <c r="D5201" s="6" t="str">
        <f>IFERROR(__xludf.DUMMYFUNCTION("GOOGLETRANSLATE(B5201,""en"",""hy"")"),"H2O")</f>
        <v>H2O</v>
      </c>
    </row>
    <row r="5202">
      <c r="A5202" s="5" t="s">
        <v>8587</v>
      </c>
      <c r="B5202" s="5" t="s">
        <v>8038</v>
      </c>
      <c r="C5202" s="5" t="str">
        <f>IFERROR(__xludf.DUMMYFUNCTION("GOOGLETRANSLATE(A5202,""en"",""hy"")"),"Ո՞վ է հեղինակել «Für Elise» երաժշտական ​​ստեղծագործությունը:")</f>
        <v>Ո՞վ է հեղինակել «Für Elise» երաժշտական ​​ստեղծագործությունը:</v>
      </c>
      <c r="D5202" s="6" t="str">
        <f>IFERROR(__xludf.DUMMYFUNCTION("GOOGLETRANSLATE(B5202,""en"",""hy"")"),"Լյուդվիգ վան Բեթհովեն.")</f>
        <v>Լյուդվիգ վան Բեթհովեն.</v>
      </c>
    </row>
    <row r="5203">
      <c r="A5203" s="5" t="s">
        <v>8028</v>
      </c>
      <c r="B5203" s="5" t="s">
        <v>79</v>
      </c>
      <c r="C5203" s="5" t="str">
        <f>IFERROR(__xludf.DUMMYFUNCTION("GOOGLETRANSLATE(A5203,""en"",""hy"")"),"Ո՞րն է Կանադայի ազգային սպորտը:")</f>
        <v>Ո՞րն է Կանադայի ազգային սպորտը:</v>
      </c>
      <c r="D5203" s="6" t="str">
        <f>IFERROR(__xludf.DUMMYFUNCTION("GOOGLETRANSLATE(B5203,""en"",""hy"")"),"Հոկեյ.")</f>
        <v>Հոկեյ.</v>
      </c>
    </row>
    <row r="5204">
      <c r="A5204" s="5" t="s">
        <v>7454</v>
      </c>
      <c r="B5204" s="5" t="s">
        <v>1016</v>
      </c>
      <c r="C5204" s="5" t="str">
        <f>IFERROR(__xludf.DUMMYFUNCTION("GOOGLETRANSLATE(A5204,""en"",""hy"")"),"Ո՞վ է գրել Ռոմեո և Ջուլիետ պիեսը:")</f>
        <v>Ո՞վ է գրել Ռոմեո և Ջուլիետ պիեսը:</v>
      </c>
      <c r="D5204" s="6" t="str">
        <f>IFERROR(__xludf.DUMMYFUNCTION("GOOGLETRANSLATE(B5204,""en"",""hy"")"),"Ուիլյամ Շեքսպիր.")</f>
        <v>Ուիլյամ Շեքսպիր.</v>
      </c>
    </row>
    <row r="5205">
      <c r="A5205" s="5" t="s">
        <v>8588</v>
      </c>
      <c r="B5205" s="5" t="s">
        <v>8030</v>
      </c>
      <c r="C5205" s="5" t="str">
        <f>IFERROR(__xludf.DUMMYFUNCTION("GOOGLETRANSLATE(A5205,""en"",""hy"")"),"Ո՞ր հայտնի երգիչն է հայտնի նաև որպես «Փոփի արքա»:")</f>
        <v>Ո՞ր հայտնի երգիչն է հայտնի նաև որպես «Փոփի արքա»:</v>
      </c>
      <c r="D5205" s="6" t="str">
        <f>IFERROR(__xludf.DUMMYFUNCTION("GOOGLETRANSLATE(B5205,""en"",""hy"")"),"Մայքլ Ջեքսոն.")</f>
        <v>Մայքլ Ջեքսոն.</v>
      </c>
    </row>
    <row r="5206">
      <c r="A5206" s="5" t="s">
        <v>7746</v>
      </c>
      <c r="B5206" s="5" t="s">
        <v>7747</v>
      </c>
      <c r="C5206" s="5" t="str">
        <f>IFERROR(__xludf.DUMMYFUNCTION("GOOGLETRANSLATE(A5206,""en"",""hy"")"),"Ո՞րն է Աֆրիկայի ամենամեծ երկիրը:")</f>
        <v>Ո՞րն է Աֆրիկայի ամենամեծ երկիրը:</v>
      </c>
      <c r="D5206" s="6" t="str">
        <f>IFERROR(__xludf.DUMMYFUNCTION("GOOGLETRANSLATE(B5206,""en"",""hy"")"),"Ալժիր.")</f>
        <v>Ալժիր.</v>
      </c>
    </row>
    <row r="5207">
      <c r="A5207" s="5" t="s">
        <v>7575</v>
      </c>
      <c r="B5207" s="5" t="s">
        <v>7576</v>
      </c>
      <c r="C5207" s="5" t="str">
        <f>IFERROR(__xludf.DUMMYFUNCTION("GOOGLETRANSLATE(A5207,""en"",""hy"")"),"Քանի՞ գույն կա ծիածանի մեջ:")</f>
        <v>Քանի՞ գույն կա ծիածանի մեջ:</v>
      </c>
      <c r="D5207" s="6" t="str">
        <f>IFERROR(__xludf.DUMMYFUNCTION("GOOGLETRANSLATE(B5207,""en"",""hy"")"),"Ծիածանի մեջ յոթ գույն կա:")</f>
        <v>Ծիածանի մեջ յոթ գույն կա:</v>
      </c>
    </row>
    <row r="5208">
      <c r="A5208" s="5" t="s">
        <v>7479</v>
      </c>
      <c r="B5208" s="5" t="s">
        <v>8589</v>
      </c>
      <c r="C5208" s="5" t="str">
        <f>IFERROR(__xludf.DUMMYFUNCTION("GOOGLETRANSLATE(A5208,""en"",""hy"")"),"Ո՞վ է Միացյալ Թագավորության ներկայիս վարչապետը:")</f>
        <v>Ո՞վ է Միացյալ Թագավորության ներկայիս վարչապետը:</v>
      </c>
      <c r="D5208" s="6" t="str">
        <f>IFERROR(__xludf.DUMMYFUNCTION("GOOGLETRANSLATE(B5208,""en"",""hy"")"),"Բորիս Ջոնսոնը Միացյալ Թագավորության ներկայիս վարչապետն է։")</f>
        <v>Բորիս Ջոնսոնը Միացյալ Թագավորության ներկայիս վարչապետն է։</v>
      </c>
    </row>
    <row r="5209">
      <c r="A5209" s="5" t="s">
        <v>7845</v>
      </c>
      <c r="B5209" s="5" t="s">
        <v>3533</v>
      </c>
      <c r="C5209" s="5" t="str">
        <f>IFERROR(__xludf.DUMMYFUNCTION("GOOGLETRANSLATE(A5209,""en"",""hy"")"),"Ո՞րն է Բրազիլիայի պաշտոնական լեզուն:")</f>
        <v>Ո՞րն է Բրազիլիայի պաշտոնական լեզուն:</v>
      </c>
      <c r="D5209" s="6" t="str">
        <f>IFERROR(__xludf.DUMMYFUNCTION("GOOGLETRANSLATE(B5209,""en"",""hy"")"),"Բրազիլիայի պաշտոնական լեզուն պորտուգալերենն է։")</f>
        <v>Բրազիլիայի պաշտոնական լեզուն պորտուգալերենն է։</v>
      </c>
    </row>
    <row r="5210">
      <c r="A5210" s="5" t="s">
        <v>7473</v>
      </c>
      <c r="B5210" s="5" t="s">
        <v>7474</v>
      </c>
      <c r="C5210" s="5" t="str">
        <f>IFERROR(__xludf.DUMMYFUNCTION("GOOGLETRANSLATE(A5210,""en"",""hy"")"),"Ո՞վ է նկարել Սիքստինյան կապելլայի առաստաղը:")</f>
        <v>Ո՞վ է նկարել Սիքստինյան կապելլայի առաստաղը:</v>
      </c>
      <c r="D5210" s="6" t="str">
        <f>IFERROR(__xludf.DUMMYFUNCTION("GOOGLETRANSLATE(B5210,""en"",""hy"")"),"Միքելանջելո.")</f>
        <v>Միքելանջելո.</v>
      </c>
    </row>
    <row r="5211">
      <c r="A5211" s="5" t="s">
        <v>7779</v>
      </c>
      <c r="B5211" s="5" t="s">
        <v>8590</v>
      </c>
      <c r="C5211" s="5" t="str">
        <f>IFERROR(__xludf.DUMMYFUNCTION("GOOGLETRANSLATE(A5211,""en"",""hy"")"),"Ո՞ր մոլորակն է հայտնի որպես «Կարմիր մոլորակ»:")</f>
        <v>Ո՞ր մոլորակն է հայտնի որպես «Կարմիր մոլորակ»:</v>
      </c>
      <c r="D5211" s="6" t="str">
        <f>IFERROR(__xludf.DUMMYFUNCTION("GOOGLETRANSLATE(B5211,""en"",""hy"")"),"Մարս")</f>
        <v>Մարս</v>
      </c>
    </row>
    <row r="5212">
      <c r="A5212" s="5" t="s">
        <v>7670</v>
      </c>
      <c r="B5212" s="5" t="s">
        <v>7671</v>
      </c>
      <c r="C5212" s="5" t="str">
        <f>IFERROR(__xludf.DUMMYFUNCTION("GOOGLETRANSLATE(A5212,""en"",""hy"")"),"Ո՞րն է աշխարհի ամենաերկար գետը:")</f>
        <v>Ո՞րն է աշխարհի ամենաերկար գետը:</v>
      </c>
      <c r="D5212" s="6" t="str">
        <f>IFERROR(__xludf.DUMMYFUNCTION("GOOGLETRANSLATE(B5212,""en"",""hy"")"),"Նեղոս գետ.")</f>
        <v>Նեղոս գետ.</v>
      </c>
    </row>
    <row r="5213">
      <c r="A5213" s="5" t="s">
        <v>7769</v>
      </c>
      <c r="B5213" s="5" t="s">
        <v>7486</v>
      </c>
      <c r="C5213" s="5" t="str">
        <f>IFERROR(__xludf.DUMMYFUNCTION("GOOGLETRANSLATE(A5213,""en"",""hy"")"),"Ո՞վ է Հարրի Փոթերի գրքերի շարքի հեղինակը:")</f>
        <v>Ո՞վ է Հարրի Փոթերի գրքերի շարքի հեղինակը:</v>
      </c>
      <c r="D5213" s="6" t="str">
        <f>IFERROR(__xludf.DUMMYFUNCTION("GOOGLETRANSLATE(B5213,""en"",""hy"")"),"Ջ.Կ. Ռոուլինգ.")</f>
        <v>Ջ.Կ. Ռոուլինգ.</v>
      </c>
    </row>
    <row r="5214">
      <c r="A5214" s="5" t="s">
        <v>7649</v>
      </c>
      <c r="B5214" s="5" t="s">
        <v>8591</v>
      </c>
      <c r="C5214" s="5" t="str">
        <f>IFERROR(__xludf.DUMMYFUNCTION("GOOGLETRANSLATE(A5214,""en"",""hy"")"),"Ո՞րն է Ավստրալիայի արժույթը:")</f>
        <v>Ո՞րն է Ավստրալիայի արժույթը:</v>
      </c>
      <c r="D5214" s="6" t="str">
        <f>IFERROR(__xludf.DUMMYFUNCTION("GOOGLETRANSLATE(B5214,""en"",""hy"")"),"Ավստրալիական դոլար")</f>
        <v>Ավստրալիական դոլար</v>
      </c>
    </row>
    <row r="5215">
      <c r="A5215" s="5" t="s">
        <v>7513</v>
      </c>
      <c r="B5215" s="5" t="s">
        <v>7783</v>
      </c>
      <c r="C5215" s="5" t="str">
        <f>IFERROR(__xludf.DUMMYFUNCTION("GOOGLETRANSLATE(A5215,""en"",""hy"")"),"Ո՞րն է աշխարհի ամենամեծ անապատը:")</f>
        <v>Ո՞րն է աշխարհի ամենամեծ անապատը:</v>
      </c>
      <c r="D5215" s="6" t="str">
        <f>IFERROR(__xludf.DUMMYFUNCTION("GOOGLETRANSLATE(B5215,""en"",""hy"")"),"Սահարա անապատ.")</f>
        <v>Սահարա անապատ.</v>
      </c>
    </row>
    <row r="5216">
      <c r="A5216" s="5" t="s">
        <v>8123</v>
      </c>
      <c r="B5216" s="5" t="s">
        <v>7448</v>
      </c>
      <c r="C5216" s="5" t="str">
        <f>IFERROR(__xludf.DUMMYFUNCTION("GOOGLETRANSLATE(A5216,""en"",""hy"")"),"Ո՞վ է նկարել հայտնի «Վերջին ընթրիքը» ստեղծագործությունը:")</f>
        <v>Ո՞վ է նկարել հայտնի «Վերջին ընթրիքը» ստեղծագործությունը:</v>
      </c>
      <c r="D5216" s="6" t="str">
        <f>IFERROR(__xludf.DUMMYFUNCTION("GOOGLETRANSLATE(B5216,""en"",""hy"")"),"Լեոնարդո դա Վինչի.")</f>
        <v>Լեոնարդո դա Վինչի.</v>
      </c>
    </row>
    <row r="5217">
      <c r="A5217" s="5" t="s">
        <v>7791</v>
      </c>
      <c r="B5217" s="5" t="s">
        <v>7792</v>
      </c>
      <c r="C5217" s="5" t="str">
        <f>IFERROR(__xludf.DUMMYFUNCTION("GOOGLETRANSLATE(A5217,""en"",""hy"")"),"Ո՞րն է Ավստրալիայի ազգային կենդանին:")</f>
        <v>Ո՞րն է Ավստրալիայի ազգային կենդանին:</v>
      </c>
      <c r="D5217" s="6" t="str">
        <f>IFERROR(__xludf.DUMMYFUNCTION("GOOGLETRANSLATE(B5217,""en"",""hy"")"),"Ավստրալիայի ազգային կենդանին կենգուրուն է։")</f>
        <v>Ավստրալիայի ազգային կենդանին կենգուրուն է։</v>
      </c>
    </row>
    <row r="5218">
      <c r="A5218" s="5" t="s">
        <v>8592</v>
      </c>
      <c r="B5218" s="5" t="s">
        <v>7556</v>
      </c>
      <c r="C5218" s="5" t="str">
        <f>IFERROR(__xludf.DUMMYFUNCTION("GOOGLETRANSLATE(A5218,""en"",""hy"")"),"Ո՞վ է համարվում ժամանակակից ֆիզիկայի հայրը:")</f>
        <v>Ո՞վ է համարվում ժամանակակից ֆիզիկայի հայրը:</v>
      </c>
      <c r="D5218" s="6" t="str">
        <f>IFERROR(__xludf.DUMMYFUNCTION("GOOGLETRANSLATE(B5218,""en"",""hy"")"),"Albert Einstein.")</f>
        <v>Albert Einstein.</v>
      </c>
    </row>
    <row r="5219">
      <c r="A5219" s="5" t="s">
        <v>7589</v>
      </c>
      <c r="B5219" s="5" t="s">
        <v>7545</v>
      </c>
      <c r="C5219" s="5" t="str">
        <f>IFERROR(__xludf.DUMMYFUNCTION("GOOGLETRANSLATE(A5219,""en"",""hy"")"),"Ո՞րն է Իտալիայի մայրաքաղաքը:")</f>
        <v>Ո՞րն է Իտալիայի մայրաքաղաքը:</v>
      </c>
      <c r="D5219" s="6" t="str">
        <f>IFERROR(__xludf.DUMMYFUNCTION("GOOGLETRANSLATE(B5219,""en"",""hy"")"),"Հռոմ.")</f>
        <v>Հռոմ.</v>
      </c>
    </row>
    <row r="5220">
      <c r="A5220" s="5" t="s">
        <v>8593</v>
      </c>
      <c r="B5220" s="5" t="s">
        <v>7675</v>
      </c>
      <c r="C5220" s="5" t="str">
        <f>IFERROR(__xludf.DUMMYFUNCTION("GOOGLETRANSLATE(A5220,""en"",""hy"")"),"Դիցաբանության մեջ ո՞վ էր ծովի աստվածը:")</f>
        <v>Դիցաբանության մեջ ո՞վ էր ծովի աստվածը:</v>
      </c>
      <c r="D5220" s="6" t="str">
        <f>IFERROR(__xludf.DUMMYFUNCTION("GOOGLETRANSLATE(B5220,""en"",""hy"")"),"Պոսեյդոն.")</f>
        <v>Պոսեյդոն.</v>
      </c>
    </row>
    <row r="5221">
      <c r="A5221" s="5" t="s">
        <v>7504</v>
      </c>
      <c r="B5221" s="5" t="s">
        <v>7505</v>
      </c>
      <c r="C5221" s="5" t="str">
        <f>IFERROR(__xludf.DUMMYFUNCTION("GOOGLETRANSLATE(A5221,""en"",""hy"")"),"Ո՞վ է Միացյալ Նահանգների ներկայիս նախագահը:")</f>
        <v>Ո՞վ է Միացյալ Նահանգների ներկայիս նախագահը:</v>
      </c>
      <c r="D5221" s="6" t="str">
        <f>IFERROR(__xludf.DUMMYFUNCTION("GOOGLETRANSLATE(B5221,""en"",""hy"")"),"Ջո Բայդեն.")</f>
        <v>Ջո Բայդեն.</v>
      </c>
    </row>
    <row r="5222">
      <c r="A5222" s="5" t="s">
        <v>7557</v>
      </c>
      <c r="B5222" s="5" t="s">
        <v>7857</v>
      </c>
      <c r="C5222" s="5" t="str">
        <f>IFERROR(__xludf.DUMMYFUNCTION("GOOGLETRANSLATE(A5222,""en"",""hy"")"),"Ո՞րն է երկաթի քիմիական նշանը:")</f>
        <v>Ո՞րն է երկաթի քիմիական նշանը:</v>
      </c>
      <c r="D5222" s="6" t="str">
        <f>IFERROR(__xludf.DUMMYFUNCTION("GOOGLETRANSLATE(B5222,""en"",""hy"")"),"Երկաթի քիմիական նշանը Fe է:")</f>
        <v>Երկաթի քիմիական նշանը Fe է:</v>
      </c>
    </row>
    <row r="5223">
      <c r="A5223" s="5" t="s">
        <v>7793</v>
      </c>
      <c r="B5223" s="5" t="s">
        <v>1958</v>
      </c>
      <c r="C5223" s="5" t="str">
        <f>IFERROR(__xludf.DUMMYFUNCTION("GOOGLETRANSLATE(A5223,""en"",""hy"")"),"Ո՞ր երկիրն է հայտնի իր կակաչներով և հողմաղացներով:")</f>
        <v>Ո՞ր երկիրն է հայտնի իր կակաչներով և հողմաղացներով:</v>
      </c>
      <c r="D5223" s="6" t="str">
        <f>IFERROR(__xludf.DUMMYFUNCTION("GOOGLETRANSLATE(B5223,""en"",""hy"")"),"Նիդեռլանդներ.")</f>
        <v>Նիդեռլանդներ.</v>
      </c>
    </row>
    <row r="5224">
      <c r="A5224" s="5" t="s">
        <v>8594</v>
      </c>
      <c r="B5224" s="5" t="s">
        <v>8463</v>
      </c>
      <c r="C5224" s="5" t="str">
        <f>IFERROR(__xludf.DUMMYFUNCTION("GOOGLETRANSLATE(A5224,""en"",""hy"")"),"Ո՞վ է գրել հայտնի «Սպանել ծաղրող թռչունին» վեպը:")</f>
        <v>Ո՞վ է գրել հայտնի «Սպանել ծաղրող թռչունին» վեպը:</v>
      </c>
      <c r="D5224" s="6" t="str">
        <f>IFERROR(__xludf.DUMMYFUNCTION("GOOGLETRANSLATE(B5224,""en"",""hy"")"),"Հարփեր Լի")</f>
        <v>Հարփեր Լի</v>
      </c>
    </row>
    <row r="5225">
      <c r="A5225" s="5" t="s">
        <v>8016</v>
      </c>
      <c r="B5225" s="5" t="s">
        <v>8017</v>
      </c>
      <c r="C5225" s="5" t="str">
        <f>IFERROR(__xludf.DUMMYFUNCTION("GOOGLETRANSLATE(A5225,""en"",""hy"")"),"Ո՞րն է Անգլիայի ազգային ծաղիկը:")</f>
        <v>Ո՞րն է Անգլիայի ազգային ծաղիկը:</v>
      </c>
      <c r="D5225" s="6" t="str">
        <f>IFERROR(__xludf.DUMMYFUNCTION("GOOGLETRANSLATE(B5225,""en"",""hy"")"),"Անգլիայի ազգային ծաղիկը վարդն է։")</f>
        <v>Անգլիայի ազգային ծաղիկը վարդն է։</v>
      </c>
    </row>
    <row r="5226">
      <c r="A5226" s="5" t="s">
        <v>8306</v>
      </c>
      <c r="B5226" s="5" t="s">
        <v>7444</v>
      </c>
      <c r="C5226" s="5" t="str">
        <f>IFERROR(__xludf.DUMMYFUNCTION("GOOGLETRANSLATE(A5226,""en"",""hy"")"),"Ո՞վ է «1984» գրքի հեղինակը.")</f>
        <v>Ո՞վ է «1984» գրքի հեղինակը.</v>
      </c>
      <c r="D5226" s="6" t="str">
        <f>IFERROR(__xludf.DUMMYFUNCTION("GOOGLETRANSLATE(B5226,""en"",""hy"")"),"Ջորջ Օրուել.")</f>
        <v>Ջորջ Օրուել.</v>
      </c>
    </row>
    <row r="5227">
      <c r="A5227" s="5" t="s">
        <v>7632</v>
      </c>
      <c r="B5227" s="5" t="s">
        <v>7633</v>
      </c>
      <c r="C5227" s="5" t="str">
        <f>IFERROR(__xludf.DUMMYFUNCTION("GOOGLETRANSLATE(A5227,""en"",""hy"")"),"Ո՞րն է մեր արեգակնային համակարգի ամենամեծ մոլորակը:")</f>
        <v>Ո՞րն է մեր արեգակնային համակարգի ամենամեծ մոլորակը:</v>
      </c>
      <c r="D5227" s="6" t="str">
        <f>IFERROR(__xludf.DUMMYFUNCTION("GOOGLETRANSLATE(B5227,""en"",""hy"")"),"Յուպիտեր.")</f>
        <v>Յուպիտեր.</v>
      </c>
    </row>
    <row r="5228">
      <c r="A5228" s="5" t="s">
        <v>8025</v>
      </c>
      <c r="B5228" s="5" t="s">
        <v>8595</v>
      </c>
      <c r="C5228" s="5" t="str">
        <f>IFERROR(__xludf.DUMMYFUNCTION("GOOGLETRANSLATE(A5228,""en"",""hy"")"),"Ո՞րն է Չինաստանի պաշտոնական լեզուն:")</f>
        <v>Ո՞րն է Չինաստանի պաշտոնական լեզուն:</v>
      </c>
      <c r="D5228" s="6" t="str">
        <f>IFERROR(__xludf.DUMMYFUNCTION("GOOGLETRANSLATE(B5228,""en"",""hy"")"),"Չինաստանի պաշտոնական լեզուն մանդարինն է։")</f>
        <v>Չինաստանի պաշտոնական լեզուն մանդարինն է։</v>
      </c>
    </row>
    <row r="5229">
      <c r="A5229" s="5" t="s">
        <v>8325</v>
      </c>
      <c r="B5229" s="5" t="s">
        <v>8326</v>
      </c>
      <c r="C5229" s="5" t="str">
        <f>IFERROR(__xludf.DUMMYFUNCTION("GOOGLETRANSLATE(A5229,""en"",""hy"")"),"Ո՞վ է հունական սիրո և գեղեցկության աստվածուհին:")</f>
        <v>Ո՞վ է հունական սիրո և գեղեցկության աստվածուհին:</v>
      </c>
      <c r="D5229" s="6" t="str">
        <f>IFERROR(__xludf.DUMMYFUNCTION("GOOGLETRANSLATE(B5229,""en"",""hy"")"),"Աֆրոդիտե.")</f>
        <v>Աֆրոդիտե.</v>
      </c>
    </row>
    <row r="5230">
      <c r="A5230" s="5" t="s">
        <v>8596</v>
      </c>
      <c r="B5230" s="5" t="s">
        <v>8597</v>
      </c>
      <c r="C5230" s="5" t="str">
        <f>IFERROR(__xludf.DUMMYFUNCTION("GOOGLETRANSLATE(A5230,""en"",""hy"")"),"Ո՞րն է Ճապոնիայի ազգային գործիքը:")</f>
        <v>Ո՞րն է Ճապոնիայի ազգային գործիքը:</v>
      </c>
      <c r="D5230" s="6" t="str">
        <f>IFERROR(__xludf.DUMMYFUNCTION("GOOGLETRANSLATE(B5230,""en"",""hy"")"),"Կոտո.")</f>
        <v>Կոտո.</v>
      </c>
    </row>
    <row r="5231">
      <c r="A5231" s="5" t="s">
        <v>8598</v>
      </c>
      <c r="B5231" s="5" t="s">
        <v>8448</v>
      </c>
      <c r="C5231" s="5" t="str">
        <f>IFERROR(__xludf.DUMMYFUNCTION("GOOGLETRANSLATE(A5231,""en"",""hy"")"),"Ո՞ր հայտնի գիտնականն է մշակել էվոլյուցիայի տեսությունը բնական ընտրության միջոցով:")</f>
        <v>Ո՞ր հայտնի գիտնականն է մշակել էվոլյուցիայի տեսությունը բնական ընտրության միջոցով:</v>
      </c>
      <c r="D5231" s="6" t="str">
        <f>IFERROR(__xludf.DUMMYFUNCTION("GOOGLETRANSLATE(B5231,""en"",""hy"")"),"Չարլզ Դարվին")</f>
        <v>Չարլզ Դարվին</v>
      </c>
    </row>
    <row r="5232">
      <c r="A5232" s="5" t="s">
        <v>7450</v>
      </c>
      <c r="B5232" s="5" t="s">
        <v>7451</v>
      </c>
      <c r="C5232" s="5" t="str">
        <f>IFERROR(__xludf.DUMMYFUNCTION("GOOGLETRANSLATE(A5232,""en"",""hy"")"),"Ո՞րն է Ավստրալիայի մայրաքաղաքը:")</f>
        <v>Ո՞րն է Ավստրալիայի մայրաքաղաքը:</v>
      </c>
      <c r="D5232" s="6" t="str">
        <f>IFERROR(__xludf.DUMMYFUNCTION("GOOGLETRANSLATE(B5232,""en"",""hy"")"),"Կանբերա.")</f>
        <v>Կանբերա.</v>
      </c>
    </row>
    <row r="5233">
      <c r="A5233" s="5" t="s">
        <v>8318</v>
      </c>
      <c r="B5233" s="5" t="s">
        <v>7549</v>
      </c>
      <c r="C5233" s="5" t="str">
        <f>IFERROR(__xludf.DUMMYFUNCTION("GOOGLETRANSLATE(A5233,""en"",""hy"")"),"Ո՞վ է նկարել հայտնի «Մարգարտյա ականջօղով աղջիկը» ստեղծագործությունը:")</f>
        <v>Ո՞վ է նկարել հայտնի «Մարգարտյա ականջօղով աղջիկը» ստեղծագործությունը:</v>
      </c>
      <c r="D5233" s="6" t="str">
        <f>IFERROR(__xludf.DUMMYFUNCTION("GOOGLETRANSLATE(B5233,""en"",""hy"")"),"Յոհաննես Վերմեեր.")</f>
        <v>Յոհաննես Վերմեեր.</v>
      </c>
    </row>
    <row r="5234">
      <c r="A5234" s="5" t="s">
        <v>8106</v>
      </c>
      <c r="B5234" s="5" t="s">
        <v>7916</v>
      </c>
      <c r="C5234" s="5" t="str">
        <f>IFERROR(__xludf.DUMMYFUNCTION("GOOGLETRANSLATE(A5234,""en"",""hy"")"),"Քանի՞ ոսկոր կա մարդու մարմնում:")</f>
        <v>Քանի՞ ոսկոր կա մարդու մարմնում:</v>
      </c>
      <c r="D5234" s="6" t="str">
        <f>IFERROR(__xludf.DUMMYFUNCTION("GOOGLETRANSLATE(B5234,""en"",""hy"")"),"Մարդու մարմնում կա 206 ոսկոր։")</f>
        <v>Մարդու մարմնում կա 206 ոսկոր։</v>
      </c>
    </row>
    <row r="5235">
      <c r="A5235" s="5" t="s">
        <v>7920</v>
      </c>
      <c r="B5235" s="5" t="s">
        <v>7921</v>
      </c>
      <c r="C5235" s="5" t="str">
        <f>IFERROR(__xludf.DUMMYFUNCTION("GOOGLETRANSLATE(A5235,""en"",""hy"")"),"Ո՞ր երկրում է գտնվում Թաջ Մահալը:")</f>
        <v>Ո՞ր երկրում է գտնվում Թաջ Մահալը:</v>
      </c>
      <c r="D5235" s="6" t="str">
        <f>IFERROR(__xludf.DUMMYFUNCTION("GOOGLETRANSLATE(B5235,""en"",""hy"")"),"Հնդկաստան.")</f>
        <v>Հնդկաստան.</v>
      </c>
    </row>
    <row r="5236">
      <c r="A5236" s="5" t="s">
        <v>8599</v>
      </c>
      <c r="B5236" s="5" t="s">
        <v>7661</v>
      </c>
      <c r="C5236" s="5" t="str">
        <f>IFERROR(__xludf.DUMMYFUNCTION("GOOGLETRANSLATE(A5236,""en"",""hy"")"),"Ո՞վ է «Մեծն Գեթսբի» վեպի հեղինակը.")</f>
        <v>Ո՞վ է «Մեծն Գեթսբի» վեպի հեղինակը.</v>
      </c>
      <c r="D5236" s="6" t="str">
        <f>IFERROR(__xludf.DUMMYFUNCTION("GOOGLETRANSLATE(B5236,""en"",""hy"")"),"F. Scott Fitzgerald.")</f>
        <v>F. Scott Fitzgerald.</v>
      </c>
    </row>
    <row r="5237">
      <c r="A5237" s="5" t="s">
        <v>7602</v>
      </c>
      <c r="B5237" s="5" t="s">
        <v>7603</v>
      </c>
      <c r="C5237" s="5" t="str">
        <f>IFERROR(__xludf.DUMMYFUNCTION("GOOGLETRANSLATE(A5237,""en"",""hy"")"),"Ո՞րն է Կանադայի ազգային թռչունը:")</f>
        <v>Ո՞րն է Կանադայի ազգային թռչունը:</v>
      </c>
      <c r="D5237" s="6" t="str">
        <f>IFERROR(__xludf.DUMMYFUNCTION("GOOGLETRANSLATE(B5237,""en"",""hy"")"),"Կանադայի ազգային թռչունը սովորական ձագն է:")</f>
        <v>Կանադայի ազգային թռչունը սովորական ձագն է:</v>
      </c>
    </row>
    <row r="5238">
      <c r="A5238" s="5" t="s">
        <v>7509</v>
      </c>
      <c r="B5238" s="5" t="s">
        <v>7510</v>
      </c>
      <c r="C5238" s="5" t="str">
        <f>IFERROR(__xludf.DUMMYFUNCTION("GOOGLETRANSLATE(A5238,""en"",""hy"")"),"Ո՞րն է արծաթի քիմիական նշանը:")</f>
        <v>Ո՞րն է արծաթի քիմիական նշանը:</v>
      </c>
      <c r="D5238" s="6" t="str">
        <f>IFERROR(__xludf.DUMMYFUNCTION("GOOGLETRANSLATE(B5238,""en"",""hy"")"),"Ագ")</f>
        <v>Ագ</v>
      </c>
    </row>
    <row r="5239">
      <c r="A5239" s="5" t="s">
        <v>7511</v>
      </c>
      <c r="B5239" s="5" t="s">
        <v>7512</v>
      </c>
      <c r="C5239" s="5" t="str">
        <f>IFERROR(__xludf.DUMMYFUNCTION("GOOGLETRANSLATE(A5239,""en"",""hy"")"),"Ո՞ր երկիրն է հայտնի իր բուրգերով:")</f>
        <v>Ո՞ր երկիրն է հայտնի իր բուրգերով:</v>
      </c>
      <c r="D5239" s="6" t="str">
        <f>IFERROR(__xludf.DUMMYFUNCTION("GOOGLETRANSLATE(B5239,""en"",""hy"")"),"Եգիպտոս.")</f>
        <v>Եգիպտոս.</v>
      </c>
    </row>
    <row r="5240">
      <c r="A5240" s="5" t="s">
        <v>7744</v>
      </c>
      <c r="B5240" s="5" t="s">
        <v>7745</v>
      </c>
      <c r="C5240" s="5" t="str">
        <f>IFERROR(__xludf.DUMMYFUNCTION("GOOGLETRANSLATE(A5240,""en"",""hy"")"),"Ո՞վ է նկարել հայտնի «Հիշողության համառությունը» ստեղծագործությունը:")</f>
        <v>Ո՞վ է նկարել հայտնի «Հիշողության համառությունը» ստեղծագործությունը:</v>
      </c>
      <c r="D5240" s="6" t="str">
        <f>IFERROR(__xludf.DUMMYFUNCTION("GOOGLETRANSLATE(B5240,""en"",""hy"")"),"Սալվադոր Դալի.")</f>
        <v>Սալվադոր Դալի.</v>
      </c>
    </row>
    <row r="5241">
      <c r="A5241" s="5" t="s">
        <v>7497</v>
      </c>
      <c r="B5241" s="5" t="s">
        <v>8600</v>
      </c>
      <c r="C5241" s="5" t="str">
        <f>IFERROR(__xludf.DUMMYFUNCTION("GOOGLETRANSLATE(A5241,""en"",""hy"")"),"Ո՞րն է աշխարհի ամենամեծ մայրցամաքը:")</f>
        <v>Ո՞րն է աշխարհի ամենամեծ մայրցամաքը:</v>
      </c>
      <c r="D5241" s="6" t="str">
        <f>IFERROR(__xludf.DUMMYFUNCTION("GOOGLETRANSLATE(B5241,""en"",""hy"")"),"Ասիա")</f>
        <v>Ասիա</v>
      </c>
    </row>
    <row r="5242">
      <c r="A5242" s="5" t="s">
        <v>7521</v>
      </c>
      <c r="B5242" s="5" t="s">
        <v>1016</v>
      </c>
      <c r="C5242" s="5" t="str">
        <f>IFERROR(__xludf.DUMMYFUNCTION("GOOGLETRANSLATE(A5242,""en"",""hy"")"),"Ո՞վ է գրել Համլետ պիեսը:")</f>
        <v>Ո՞վ է գրել Համլետ պիեսը:</v>
      </c>
      <c r="D5242" s="6" t="str">
        <f>IFERROR(__xludf.DUMMYFUNCTION("GOOGLETRANSLATE(B5242,""en"",""hy"")"),"Ուիլյամ Շեքսպիր.")</f>
        <v>Ուիլյամ Շեքսպիր.</v>
      </c>
    </row>
    <row r="5243">
      <c r="A5243" s="5" t="s">
        <v>7553</v>
      </c>
      <c r="B5243" s="5" t="s">
        <v>7554</v>
      </c>
      <c r="C5243" s="5" t="str">
        <f>IFERROR(__xludf.DUMMYFUNCTION("GOOGLETRANSLATE(A5243,""en"",""hy"")"),"Ո՞րն է Հարավային Աֆրիկայի մայրաքաղաքը:")</f>
        <v>Ո՞րն է Հարավային Աֆրիկայի մայրաքաղաքը:</v>
      </c>
      <c r="D5243" s="6" t="str">
        <f>IFERROR(__xludf.DUMMYFUNCTION("GOOGLETRANSLATE(B5243,""en"",""hy"")"),"Պրետորիա.")</f>
        <v>Պրետորիա.</v>
      </c>
    </row>
    <row r="5244">
      <c r="A5244" s="5" t="s">
        <v>7528</v>
      </c>
      <c r="B5244" s="5" t="s">
        <v>7529</v>
      </c>
      <c r="C5244" s="5" t="str">
        <f>IFERROR(__xludf.DUMMYFUNCTION("GOOGLETRANSLATE(A5244,""en"",""hy"")"),"Ո՞վ է Գերմանիայի ներկայիս կանցլերը:")</f>
        <v>Ո՞վ է Գերմանիայի ներկայիս կանցլերը:</v>
      </c>
      <c r="D5244" s="6" t="str">
        <f>IFERROR(__xludf.DUMMYFUNCTION("GOOGLETRANSLATE(B5244,""en"",""hy"")"),"Անգելա Մերկել.")</f>
        <v>Անգելա Մերկել.</v>
      </c>
    </row>
    <row r="5245">
      <c r="A5245" s="5" t="s">
        <v>8127</v>
      </c>
      <c r="B5245" s="5" t="s">
        <v>6556</v>
      </c>
      <c r="C5245" s="5" t="str">
        <f>IFERROR(__xludf.DUMMYFUNCTION("GOOGLETRANSLATE(A5245,""en"",""hy"")"),"Ո՞րն է Ռուսաստանի պաշտոնական լեզուն:")</f>
        <v>Ո՞րն է Ռուսաստանի պաշտոնական լեզուն:</v>
      </c>
      <c r="D5245" s="6" t="str">
        <f>IFERROR(__xludf.DUMMYFUNCTION("GOOGLETRANSLATE(B5245,""en"",""hy"")"),"Ռուսաստանի պաշտոնական լեզուն ռուսերենն է։")</f>
        <v>Ռուսաստանի պաշտոնական լեզուն ռուսերենն է։</v>
      </c>
    </row>
    <row r="5246">
      <c r="A5246" s="5" t="s">
        <v>8601</v>
      </c>
      <c r="B5246" s="5" t="s">
        <v>8602</v>
      </c>
      <c r="C5246" s="5" t="str">
        <f>IFERROR(__xludf.DUMMYFUNCTION("GOOGLETRANSLATE(A5246,""en"",""hy"")"),"Հունական դիցաբանության մեջ ո՞վ էր անդրաշխարհի աստվածը:")</f>
        <v>Հունական դիցաբանության մեջ ո՞վ էր անդրաշխարհի աստվածը:</v>
      </c>
      <c r="D5246" s="6" t="str">
        <f>IFERROR(__xludf.DUMMYFUNCTION("GOOGLETRANSLATE(B5246,""en"",""hy"")"),"Հադես.")</f>
        <v>Հադես.</v>
      </c>
    </row>
    <row r="5247">
      <c r="A5247" s="5" t="s">
        <v>8603</v>
      </c>
      <c r="B5247" s="5" t="s">
        <v>7956</v>
      </c>
      <c r="C5247" s="5" t="str">
        <f>IFERROR(__xludf.DUMMYFUNCTION("GOOGLETRANSLATE(A5247,""en"",""hy"")"),"Ո՞ր հայտնի գիտնականն է հայտնաբերել գրավիտացիայի տեսությունը:")</f>
        <v>Ո՞ր հայտնի գիտնականն է հայտնաբերել գրավիտացիայի տեսությունը:</v>
      </c>
      <c r="D5247" s="6" t="str">
        <f>IFERROR(__xludf.DUMMYFUNCTION("GOOGLETRANSLATE(B5247,""en"",""hy"")"),"Իսահակ Նյուտոն.")</f>
        <v>Իսահակ Նյուտոն.</v>
      </c>
    </row>
    <row r="5248">
      <c r="A5248" s="5" t="s">
        <v>8177</v>
      </c>
      <c r="B5248" s="5" t="s">
        <v>8178</v>
      </c>
      <c r="C5248" s="5" t="str">
        <f>IFERROR(__xludf.DUMMYFUNCTION("GOOGLETRANSLATE(A5248,""en"",""hy"")"),"Ո՞րն է Հնդկաստանի ազգային ծաղիկը:")</f>
        <v>Ո՞րն է Հնդկաստանի ազգային ծաղիկը:</v>
      </c>
      <c r="D5248" s="6" t="str">
        <f>IFERROR(__xludf.DUMMYFUNCTION("GOOGLETRANSLATE(B5248,""en"",""hy"")"),"Հնդկաստանի ազգային ծաղիկը լոտոսն է:")</f>
        <v>Հնդկաստանի ազգային ծաղիկը լոտոսն է:</v>
      </c>
    </row>
    <row r="5249">
      <c r="A5249" s="5" t="s">
        <v>8604</v>
      </c>
      <c r="B5249" s="5" t="s">
        <v>7573</v>
      </c>
      <c r="C5249" s="5" t="str">
        <f>IFERROR(__xludf.DUMMYFUNCTION("GOOGLETRANSLATE(A5249,""en"",""hy"")"),"Ո՞վ է համարվում բոլոր ժամանակների ամենամեծ գյուտարարներից մեկը՝ այնպիսի գյուտերով, ինչպիսիք են լամպը և ձայնագրիչը:")</f>
        <v>Ո՞վ է համարվում բոլոր ժամանակների ամենամեծ գյուտարարներից մեկը՝ այնպիսի գյուտերով, ինչպիսիք են լամպը և ձայնագրիչը:</v>
      </c>
      <c r="D5249" s="6" t="str">
        <f>IFERROR(__xludf.DUMMYFUNCTION("GOOGLETRANSLATE(B5249,""en"",""hy"")"),"Թոմաս Էդիսոն.")</f>
        <v>Թոմաս Էդիսոն.</v>
      </c>
    </row>
    <row r="5250">
      <c r="A5250" s="5" t="s">
        <v>8144</v>
      </c>
      <c r="B5250" s="5" t="s">
        <v>8145</v>
      </c>
      <c r="C5250" s="5" t="str">
        <f>IFERROR(__xludf.DUMMYFUNCTION("GOOGLETRANSLATE(A5250,""en"",""hy"")"),"Ո՞րն է Իսպանիայի պաշտոնական լեզուն:")</f>
        <v>Ո՞րն է Իսպանիայի պաշտոնական լեզուն:</v>
      </c>
      <c r="D5250" s="6" t="str">
        <f>IFERROR(__xludf.DUMMYFUNCTION("GOOGLETRANSLATE(B5250,""en"",""hy"")"),"Իսպանիայի պաշտոնական լեզուն իսպաներենն է։")</f>
        <v>Իսպանիայի պաշտոնական լեզուն իսպաներենն է։</v>
      </c>
    </row>
    <row r="5251">
      <c r="A5251" s="5" t="s">
        <v>8371</v>
      </c>
      <c r="B5251" s="5" t="s">
        <v>7878</v>
      </c>
      <c r="C5251" s="5" t="str">
        <f>IFERROR(__xludf.DUMMYFUNCTION("GOOGLETRANSLATE(A5251,""en"",""hy"")"),"Ո՞վ է նկարել հայտնի «Ադամի ստեղծումը» ստեղծագործությունը:")</f>
        <v>Ո՞վ է նկարել հայտնի «Ադամի ստեղծումը» ստեղծագործությունը:</v>
      </c>
      <c r="D5251" s="6" t="str">
        <f>IFERROR(__xludf.DUMMYFUNCTION("GOOGLETRANSLATE(B5251,""en"",""hy"")"),"Միքելանջելո")</f>
        <v>Միքելանջելո</v>
      </c>
    </row>
    <row r="5252">
      <c r="A5252" s="5" t="s">
        <v>7711</v>
      </c>
      <c r="B5252" s="5" t="s">
        <v>7712</v>
      </c>
      <c r="C5252" s="5" t="str">
        <f>IFERROR(__xludf.DUMMYFUNCTION("GOOGLETRANSLATE(A5252,""en"",""hy"")"),"Ո՞րն է Միացյալ Նահանգների ամենամեծ քաղաքը:")</f>
        <v>Ո՞րն է Միացյալ Նահանգների ամենամեծ քաղաքը:</v>
      </c>
      <c r="D5252" s="6" t="str">
        <f>IFERROR(__xludf.DUMMYFUNCTION("GOOGLETRANSLATE(B5252,""en"",""hy"")"),"Նյու Յորք քաղաք.")</f>
        <v>Նյու Յորք քաղաք.</v>
      </c>
    </row>
    <row r="5253">
      <c r="A5253" s="5" t="s">
        <v>7946</v>
      </c>
      <c r="B5253" s="5" t="s">
        <v>8111</v>
      </c>
      <c r="C5253" s="5" t="str">
        <f>IFERROR(__xludf.DUMMYFUNCTION("GOOGLETRANSLATE(A5253,""en"",""hy"")"),"Քանի՞ խաղացող կա ֆուտբոլային թիմում:")</f>
        <v>Քանի՞ խաղացող կա ֆուտբոլային թիմում:</v>
      </c>
      <c r="D5253" s="6" t="str">
        <f>IFERROR(__xludf.DUMMYFUNCTION("GOOGLETRANSLATE(B5253,""en"",""hy"")"),"Ֆուտբոլային թիմում կա 11 խաղացող։")</f>
        <v>Ֆուտբոլային թիմում կա 11 խաղացող։</v>
      </c>
    </row>
    <row r="5254">
      <c r="A5254" s="5" t="s">
        <v>7849</v>
      </c>
      <c r="B5254" s="5" t="s">
        <v>7541</v>
      </c>
      <c r="C5254" s="5" t="str">
        <f>IFERROR(__xludf.DUMMYFUNCTION("GOOGLETRANSLATE(A5254,""en"",""hy"")"),"Ո՞վ է գրել «Սպանել ծաղրող թռչունին» վեպը:")</f>
        <v>Ո՞վ է գրել «Սպանել ծաղրող թռչունին» վեպը:</v>
      </c>
      <c r="D5254" s="6" t="str">
        <f>IFERROR(__xludf.DUMMYFUNCTION("GOOGLETRANSLATE(B5254,""en"",""hy"")"),"Հարփեր Լի.")</f>
        <v>Հարփեր Լի.</v>
      </c>
    </row>
    <row r="5255">
      <c r="A5255" s="5" t="s">
        <v>8151</v>
      </c>
      <c r="B5255" s="5" t="s">
        <v>8152</v>
      </c>
      <c r="C5255" s="5" t="str">
        <f>IFERROR(__xludf.DUMMYFUNCTION("GOOGLETRANSLATE(A5255,""en"",""hy"")"),"Ո՞րն է Հնդկաստանի ազգային կենդանին:")</f>
        <v>Ո՞րն է Հնդկաստանի ազգային կենդանին:</v>
      </c>
      <c r="D5255" s="6" t="str">
        <f>IFERROR(__xludf.DUMMYFUNCTION("GOOGLETRANSLATE(B5255,""en"",""hy"")"),"Հնդկաստանի ազգային կենդանին Բենգալյան վագրն է:")</f>
        <v>Հնդկաստանի ազգային կենդանին Բենգալյան վագրն է:</v>
      </c>
    </row>
    <row r="5256">
      <c r="A5256" s="5" t="s">
        <v>8159</v>
      </c>
      <c r="B5256" s="5" t="s">
        <v>8160</v>
      </c>
      <c r="C5256" s="5" t="str">
        <f>IFERROR(__xludf.DUMMYFUNCTION("GOOGLETRANSLATE(A5256,""en"",""hy"")"),"Ո՞վ է Ռուսաստանի ներկայիս նախագահը.")</f>
        <v>Ո՞վ է Ռուսաստանի ներկայիս նախագահը.</v>
      </c>
      <c r="D5256" s="6" t="str">
        <f>IFERROR(__xludf.DUMMYFUNCTION("GOOGLETRANSLATE(B5256,""en"",""hy"")"),"Վլադիմիր Պուտին.")</f>
        <v>Վլադիմիր Պուտին.</v>
      </c>
    </row>
    <row r="5257">
      <c r="A5257" s="5" t="s">
        <v>7592</v>
      </c>
      <c r="B5257" s="5" t="s">
        <v>7593</v>
      </c>
      <c r="C5257" s="5" t="str">
        <f>IFERROR(__xludf.DUMMYFUNCTION("GOOGLETRANSLATE(A5257,""en"",""hy"")"),"Ո՞րն է թթվածնի քիմիական նշանը:")</f>
        <v>Ո՞րն է թթվածնի քիմիական նշանը:</v>
      </c>
      <c r="D5257" s="6" t="str">
        <f>IFERROR(__xludf.DUMMYFUNCTION("GOOGLETRANSLATE(B5257,""en"",""hy"")"),"Թթվածնի քիմիական նշանը O է:")</f>
        <v>Թթվածնի քիմիական նշանը O է:</v>
      </c>
    </row>
    <row r="5258">
      <c r="A5258" s="5" t="s">
        <v>7971</v>
      </c>
      <c r="B5258" s="5" t="s">
        <v>7972</v>
      </c>
      <c r="C5258" s="5" t="str">
        <f>IFERROR(__xludf.DUMMYFUNCTION("GOOGLETRANSLATE(A5258,""en"",""hy"")"),"Ո՞ր երկիրն է հայտնի Էյֆելյան աշտարակով:")</f>
        <v>Ո՞ր երկիրն է հայտնի Էյֆելյան աշտարակով:</v>
      </c>
      <c r="D5258" s="6" t="str">
        <f>IFERROR(__xludf.DUMMYFUNCTION("GOOGLETRANSLATE(B5258,""en"",""hy"")"),"Ֆրանսիա.")</f>
        <v>Ֆրանսիա.</v>
      </c>
    </row>
    <row r="5259">
      <c r="A5259" s="5" t="s">
        <v>8605</v>
      </c>
      <c r="B5259" s="5" t="s">
        <v>8038</v>
      </c>
      <c r="C5259" s="5" t="str">
        <f>IFERROR(__xludf.DUMMYFUNCTION("GOOGLETRANSLATE(A5259,""en"",""hy"")"),"Ո՞վ է հեղինակել «Սիմֆոնիա թիվ 5» երաժշտական ​​ստեղծագործությունը:")</f>
        <v>Ո՞վ է հեղինակել «Սիմֆոնիա թիվ 5» երաժշտական ​​ստեղծագործությունը:</v>
      </c>
      <c r="D5259" s="6" t="str">
        <f>IFERROR(__xludf.DUMMYFUNCTION("GOOGLETRANSLATE(B5259,""en"",""hy"")"),"Լյուդվիգ վան Բեթհովեն.")</f>
        <v>Լյուդվիգ վան Բեթհովեն.</v>
      </c>
    </row>
    <row r="5260">
      <c r="A5260" s="5" t="s">
        <v>8606</v>
      </c>
      <c r="B5260" s="5" t="s">
        <v>8359</v>
      </c>
      <c r="C5260" s="5" t="str">
        <f>IFERROR(__xludf.DUMMYFUNCTION("GOOGLETRANSLATE(A5260,""en"",""hy"")"),"Ո՞րն է Երկրի ամենաշոգ մայրցամաքը:")</f>
        <v>Ո՞րն է Երկրի ամենաշոգ մայրցամաքը:</v>
      </c>
      <c r="D5260" s="6" t="str">
        <f>IFERROR(__xludf.DUMMYFUNCTION("GOOGLETRANSLATE(B5260,""en"",""hy"")"),"Աֆրիկա.")</f>
        <v>Աֆրիկա.</v>
      </c>
    </row>
    <row r="5261">
      <c r="A5261" s="5" t="s">
        <v>8607</v>
      </c>
      <c r="B5261" s="5" t="s">
        <v>8608</v>
      </c>
      <c r="C5261" s="5" t="str">
        <f>IFERROR(__xludf.DUMMYFUNCTION("GOOGLETRANSLATE(A5261,""en"",""hy"")"),"Ո՞վ է հունական իմաստության և պատերազմի աստվածուհին:")</f>
        <v>Ո՞վ է հունական իմաստության և պատերազմի աստվածուհին:</v>
      </c>
      <c r="D5261" s="6" t="str">
        <f>IFERROR(__xludf.DUMMYFUNCTION("GOOGLETRANSLATE(B5261,""en"",""hy"")"),"Իմաստության և պատերազմի հունական աստվածուհին Աթենան է:")</f>
        <v>Իմաստության և պատերազմի հունական աստվածուհին Աթենան է:</v>
      </c>
    </row>
    <row r="5262">
      <c r="A5262" s="5" t="s">
        <v>8609</v>
      </c>
      <c r="B5262" s="5" t="s">
        <v>8610</v>
      </c>
      <c r="C5262" s="5" t="str">
        <f>IFERROR(__xludf.DUMMYFUNCTION("GOOGLETRANSLATE(A5262,""en"",""hy"")"),"Ո՞րն է Հնդկաստանի ազգային սպորտը:")</f>
        <v>Ո՞րն է Հնդկաստանի ազգային սպորտը:</v>
      </c>
      <c r="D5262" s="6" t="str">
        <f>IFERROR(__xludf.DUMMYFUNCTION("GOOGLETRANSLATE(B5262,""en"",""hy"")"),"Մահակախաղ.")</f>
        <v>Մահակախաղ.</v>
      </c>
    </row>
    <row r="5263">
      <c r="A5263" s="5" t="s">
        <v>8611</v>
      </c>
      <c r="B5263" s="5" t="s">
        <v>7578</v>
      </c>
      <c r="C5263" s="5" t="str">
        <f>IFERROR(__xludf.DUMMYFUNCTION("GOOGLETRANSLATE(A5263,""en"",""hy"")"),"Ո՞վ է գրել հայտնի «Մոբի-Դիկ» վեպը:")</f>
        <v>Ո՞վ է գրել հայտնի «Մոբի-Դիկ» վեպը:</v>
      </c>
      <c r="D5263" s="6" t="str">
        <f>IFERROR(__xludf.DUMMYFUNCTION("GOOGLETRANSLATE(B5263,""en"",""hy"")"),"Հերման Մելվիլ.")</f>
        <v>Հերման Մելվիլ.</v>
      </c>
    </row>
    <row r="5264">
      <c r="A5264" s="5" t="s">
        <v>8270</v>
      </c>
      <c r="B5264" s="5" t="s">
        <v>8271</v>
      </c>
      <c r="C5264" s="5" t="str">
        <f>IFERROR(__xludf.DUMMYFUNCTION("GOOGLETRANSLATE(A5264,""en"",""hy"")"),"Ո՞րն է Գերմանիայի պաշտոնական լեզուն:")</f>
        <v>Ո՞րն է Գերմանիայի պաշտոնական լեզուն:</v>
      </c>
      <c r="D5264" s="6" t="str">
        <f>IFERROR(__xludf.DUMMYFUNCTION("GOOGLETRANSLATE(B5264,""en"",""hy"")"),"Գերմանիայի պաշտոնական լեզուն գերմաներենն է։")</f>
        <v>Գերմանիայի պաշտոնական լեզուն գերմաներենն է։</v>
      </c>
    </row>
    <row r="5265">
      <c r="A5265" s="5" t="s">
        <v>8264</v>
      </c>
      <c r="B5265" s="5" t="s">
        <v>7621</v>
      </c>
      <c r="C5265" s="5" t="str">
        <f>IFERROR(__xludf.DUMMYFUNCTION("GOOGLETRANSLATE(A5265,""en"",""hy"")"),"Ո՞վ է նկարել հայտնի «Վեներայի ծնունդը» ստեղծագործությունը:")</f>
        <v>Ո՞վ է նկարել հայտնի «Վեներայի ծնունդը» ստեղծագործությունը:</v>
      </c>
      <c r="D5265" s="6" t="str">
        <f>IFERROR(__xludf.DUMMYFUNCTION("GOOGLETRANSLATE(B5265,""en"",""hy"")"),"Սանդրո Բոտիչելի.")</f>
        <v>Սանդրո Բոտիչելի.</v>
      </c>
    </row>
    <row r="5266">
      <c r="A5266" s="5" t="s">
        <v>8161</v>
      </c>
      <c r="B5266" s="5" t="s">
        <v>8612</v>
      </c>
      <c r="C5266" s="5" t="str">
        <f>IFERROR(__xludf.DUMMYFUNCTION("GOOGLETRANSLATE(A5266,""en"",""hy"")"),"Ո՞րն է Ճապոնիայի ազգային ծաղիկը:")</f>
        <v>Ո՞րն է Ճապոնիայի ազգային ծաղիկը:</v>
      </c>
      <c r="D5266" s="6" t="str">
        <f>IFERROR(__xludf.DUMMYFUNCTION("GOOGLETRANSLATE(B5266,""en"",""hy"")"),"Բալի ծաղիկ.")</f>
        <v>Բալի ծաղիկ.</v>
      </c>
    </row>
    <row r="5267">
      <c r="A5267" s="5" t="s">
        <v>7850</v>
      </c>
      <c r="B5267" s="5" t="s">
        <v>8301</v>
      </c>
      <c r="C5267" s="5" t="str">
        <f>IFERROR(__xludf.DUMMYFUNCTION("GOOGLETRANSLATE(A5267,""en"",""hy"")"),"Ո՞րն է մեր արեգակնային համակարգի ամենափոքր մոլորակը:")</f>
        <v>Ո՞րն է մեր արեգակնային համակարգի ամենափոքր մոլորակը:</v>
      </c>
      <c r="D5267" s="6" t="str">
        <f>IFERROR(__xludf.DUMMYFUNCTION("GOOGLETRANSLATE(B5267,""en"",""hy"")"),"Մերկուրի.")</f>
        <v>Մերկուրի.</v>
      </c>
    </row>
    <row r="5268">
      <c r="A5268" s="5" t="s">
        <v>8613</v>
      </c>
      <c r="B5268" s="5" t="s">
        <v>8614</v>
      </c>
      <c r="C5268" s="5" t="str">
        <f>IFERROR(__xludf.DUMMYFUNCTION("GOOGLETRANSLATE(A5268,""en"",""hy"")"),"Ո՞ր երկիրն է հայտնի իր ֆյորդներով և վիկինգներով:")</f>
        <v>Ո՞ր երկիրն է հայտնի իր ֆյորդներով և վիկինգներով:</v>
      </c>
      <c r="D5268" s="6" t="str">
        <f>IFERROR(__xludf.DUMMYFUNCTION("GOOGLETRANSLATE(B5268,""en"",""hy"")"),"Նորվեգիա.")</f>
        <v>Նորվեգիա.</v>
      </c>
    </row>
    <row r="5269">
      <c r="A5269" s="5" t="s">
        <v>7566</v>
      </c>
      <c r="B5269" s="5" t="s">
        <v>7567</v>
      </c>
      <c r="C5269" s="5" t="str">
        <f>IFERROR(__xludf.DUMMYFUNCTION("GOOGLETRANSLATE(A5269,""en"",""hy"")"),"Ո՞վ է Կանադայի ներկայիս վարչապետը:")</f>
        <v>Ո՞վ է Կանադայի ներկայիս վարչապետը:</v>
      </c>
      <c r="D5269" s="6" t="str">
        <f>IFERROR(__xludf.DUMMYFUNCTION("GOOGLETRANSLATE(B5269,""en"",""hy"")"),"Ջասթին Թրյուդո")</f>
        <v>Ջասթին Թրյուդո</v>
      </c>
    </row>
    <row r="5270">
      <c r="A5270" s="5" t="s">
        <v>7699</v>
      </c>
      <c r="B5270" s="5" t="s">
        <v>8615</v>
      </c>
      <c r="C5270" s="5" t="str">
        <f>IFERROR(__xludf.DUMMYFUNCTION("GOOGLETRANSLATE(A5270,""en"",""hy"")"),"Ո՞րն է ածխածնի քիմիական նշանը:")</f>
        <v>Ո՞րն է ածխածնի քիմիական նշանը:</v>
      </c>
      <c r="D5270" s="6" t="str">
        <f>IFERROR(__xludf.DUMMYFUNCTION("GOOGLETRANSLATE(B5270,""en"",""hy"")"),"Գ")</f>
        <v>Գ</v>
      </c>
    </row>
    <row r="5271">
      <c r="A5271" s="5" t="s">
        <v>8250</v>
      </c>
      <c r="B5271" s="5" t="s">
        <v>7712</v>
      </c>
      <c r="C5271" s="5" t="str">
        <f>IFERROR(__xludf.DUMMYFUNCTION("GOOGLETRANSLATE(A5271,""en"",""hy"")"),"Ո՞ր քաղաքում է գտնվում Ազատության արձանը:")</f>
        <v>Ո՞ր քաղաքում է գտնվում Ազատության արձանը:</v>
      </c>
      <c r="D5271" s="6" t="str">
        <f>IFERROR(__xludf.DUMMYFUNCTION("GOOGLETRANSLATE(B5271,""en"",""hy"")"),"Նյու Յորք քաղաք.")</f>
        <v>Նյու Յորք քաղաք.</v>
      </c>
    </row>
    <row r="5272">
      <c r="A5272" s="5" t="s">
        <v>8616</v>
      </c>
      <c r="B5272" s="5" t="s">
        <v>8038</v>
      </c>
      <c r="C5272" s="5" t="str">
        <f>IFERROR(__xludf.DUMMYFUNCTION("GOOGLETRANSLATE(A5272,""en"",""hy"")"),"Ո՞վ է հեղինակել «Լուսնի լույսի սոնատը» երաժշտական ​​ստեղծագործությունը:")</f>
        <v>Ո՞վ է հեղինակել «Լուսնի լույսի սոնատը» երաժշտական ​​ստեղծագործությունը:</v>
      </c>
      <c r="D5272" s="6" t="str">
        <f>IFERROR(__xludf.DUMMYFUNCTION("GOOGLETRANSLATE(B5272,""en"",""hy"")"),"Լյուդվիգ վան Բեթհովեն.")</f>
        <v>Լյուդվիգ վան Բեթհովեն.</v>
      </c>
    </row>
    <row r="5273">
      <c r="A5273" s="5" t="s">
        <v>7480</v>
      </c>
      <c r="B5273" s="5" t="s">
        <v>7481</v>
      </c>
      <c r="C5273" s="5" t="str">
        <f>IFERROR(__xludf.DUMMYFUNCTION("GOOGLETRANSLATE(A5273,""en"",""hy"")"),"Ո՞րն է Միացյալ Նահանգների ազգային թռչունը:")</f>
        <v>Ո՞րն է Միացյալ Նահանգների ազգային թռչունը:</v>
      </c>
      <c r="D5273" s="6" t="str">
        <f>IFERROR(__xludf.DUMMYFUNCTION("GOOGLETRANSLATE(B5273,""en"",""hy"")"),"Միացյալ Նահանգների ազգային թռչունը ճաղատ արծիվն է։")</f>
        <v>Միացյալ Նահանգների ազգային թռչունը ճաղատ արծիվն է։</v>
      </c>
    </row>
    <row r="5274">
      <c r="A5274" s="5" t="s">
        <v>8320</v>
      </c>
      <c r="B5274" s="5" t="s">
        <v>7560</v>
      </c>
      <c r="C5274" s="5" t="str">
        <f>IFERROR(__xludf.DUMMYFUNCTION("GOOGLETRANSLATE(A5274,""en"",""hy"")"),"Ո՞վ է «Աշորայի մեջ բռնողը» գրքի հեղինակը.")</f>
        <v>Ո՞վ է «Աշորայի մեջ բռնողը» գրքի հեղինակը.</v>
      </c>
      <c r="D5274" s="6" t="str">
        <f>IFERROR(__xludf.DUMMYFUNCTION("GOOGLETRANSLATE(B5274,""en"",""hy"")"),"Ջ.Դ.Սելինջեր.")</f>
        <v>Ջ.Դ.Սելինջեր.</v>
      </c>
    </row>
    <row r="5275">
      <c r="A5275" s="5" t="s">
        <v>7599</v>
      </c>
      <c r="B5275" s="5" t="s">
        <v>7600</v>
      </c>
      <c r="C5275" s="5" t="str">
        <f>IFERROR(__xludf.DUMMYFUNCTION("GOOGLETRANSLATE(A5275,""en"",""hy"")"),"Ո՞րն է աշխարհի ամենամեծ լիճը:")</f>
        <v>Ո՞րն է աշխարհի ամենամեծ լիճը:</v>
      </c>
      <c r="D5275" s="6" t="str">
        <f>IFERROR(__xludf.DUMMYFUNCTION("GOOGLETRANSLATE(B5275,""en"",""hy"")"),"Աշխարհի ամենամեծ լիճը Կասպից ծովն է։")</f>
        <v>Աշխարհի ամենամեծ լիճը Կասպից ծովն է։</v>
      </c>
    </row>
    <row r="5276">
      <c r="A5276" s="5" t="s">
        <v>8280</v>
      </c>
      <c r="B5276" s="5" t="s">
        <v>8281</v>
      </c>
      <c r="C5276" s="5" t="str">
        <f>IFERROR(__xludf.DUMMYFUNCTION("GOOGLETRANSLATE(A5276,""en"",""hy"")"),"Ո՞րն է Ֆրանսիայի պաշտոնական լեզուն:")</f>
        <v>Ո՞րն է Ֆրանսիայի պաշտոնական լեզուն:</v>
      </c>
      <c r="D5276" s="6" t="str">
        <f>IFERROR(__xludf.DUMMYFUNCTION("GOOGLETRANSLATE(B5276,""en"",""hy"")"),"Ֆրանսիայի պաշտոնական լեզուն ֆրանսերենն է։")</f>
        <v>Ֆրանսիայի պաշտոնական լեզուն ֆրանսերենն է։</v>
      </c>
    </row>
    <row r="5277">
      <c r="A5277" s="5" t="s">
        <v>8617</v>
      </c>
      <c r="B5277" s="5" t="s">
        <v>7549</v>
      </c>
      <c r="C5277" s="5" t="str">
        <f>IFERROR(__xludf.DUMMYFUNCTION("GOOGLETRANSLATE(A5277,""en"",""hy"")"),"Ո՞վ է նկարել հայտնի «Մարգարտյա ականջօղով աղջիկը» ստեղծագործությունը:")</f>
        <v>Ո՞վ է նկարել հայտնի «Մարգարտյա ականջօղով աղջիկը» ստեղծագործությունը:</v>
      </c>
      <c r="D5277" s="6" t="str">
        <f>IFERROR(__xludf.DUMMYFUNCTION("GOOGLETRANSLATE(B5277,""en"",""hy"")"),"Յոհաննես Վերմեեր.")</f>
        <v>Յոհաննես Վերմեեր.</v>
      </c>
    </row>
    <row r="5278">
      <c r="A5278" s="5" t="s">
        <v>7574</v>
      </c>
      <c r="B5278" s="5" t="s">
        <v>8618</v>
      </c>
      <c r="C5278" s="5" t="str">
        <f>IFERROR(__xludf.DUMMYFUNCTION("GOOGLETRANSLATE(A5278,""en"",""hy"")"),"Ո՞րն է Չինաստանի մայրաքաղաքը:")</f>
        <v>Ո՞րն է Չինաստանի մայրաքաղաքը:</v>
      </c>
      <c r="D5278" s="6" t="str">
        <f>IFERROR(__xludf.DUMMYFUNCTION("GOOGLETRANSLATE(B5278,""en"",""hy"")"),"Պեկին")</f>
        <v>Պեկին</v>
      </c>
    </row>
    <row r="5279">
      <c r="A5279" s="5" t="s">
        <v>8619</v>
      </c>
      <c r="B5279" s="5" t="s">
        <v>8309</v>
      </c>
      <c r="C5279" s="5" t="str">
        <f>IFERROR(__xludf.DUMMYFUNCTION("GOOGLETRANSLATE(A5279,""en"",""hy"")"),"Ո՞վ է հունական իմաստության և ռազմավարության աստվածուհին:")</f>
        <v>Ո՞վ է հունական իմաստության և ռազմավարության աստվածուհին:</v>
      </c>
      <c r="D5279" s="6" t="str">
        <f>IFERROR(__xludf.DUMMYFUNCTION("GOOGLETRANSLATE(B5279,""en"",""hy"")"),"Աթենա.")</f>
        <v>Աթենա.</v>
      </c>
    </row>
    <row r="5280">
      <c r="A5280" s="5" t="s">
        <v>7665</v>
      </c>
      <c r="B5280" s="5" t="s">
        <v>7781</v>
      </c>
      <c r="C5280" s="5" t="str">
        <f>IFERROR(__xludf.DUMMYFUNCTION("GOOGLETRANSLATE(A5280,""en"",""hy"")"),"Ո՞րն է նատրիումի քիմիական նշանը:")</f>
        <v>Ո՞րն է նատրիումի քիմիական նշանը:</v>
      </c>
      <c r="D5280" s="6" t="str">
        <f>IFERROR(__xludf.DUMMYFUNCTION("GOOGLETRANSLATE(B5280,""en"",""hy"")"),"Նատրիումի քիմիական նշանը Na է:")</f>
        <v>Նատրիումի քիմիական նշանը Na է:</v>
      </c>
    </row>
    <row r="5281">
      <c r="A5281" s="5" t="s">
        <v>8620</v>
      </c>
      <c r="B5281" s="5" t="s">
        <v>7446</v>
      </c>
      <c r="C5281" s="5" t="str">
        <f>IFERROR(__xludf.DUMMYFUNCTION("GOOGLETRANSLATE(A5281,""en"",""hy"")"),"Մեր Արեգակնային համակարգի ո՞ր մոլորակն է հայտնի որպես «Կարմիր մոլորակ»:")</f>
        <v>Մեր Արեգակնային համակարգի ո՞ր մոլորակն է հայտնի որպես «Կարմիր մոլորակ»:</v>
      </c>
      <c r="D5281" s="6" t="str">
        <f>IFERROR(__xludf.DUMMYFUNCTION("GOOGLETRANSLATE(B5281,""en"",""hy"")"),"Մարս.")</f>
        <v>Մարս.</v>
      </c>
    </row>
    <row r="5282">
      <c r="A5282" s="5" t="s">
        <v>7645</v>
      </c>
      <c r="B5282" s="5" t="s">
        <v>7646</v>
      </c>
      <c r="C5282" s="5" t="str">
        <f>IFERROR(__xludf.DUMMYFUNCTION("GOOGLETRANSLATE(A5282,""en"",""hy"")"),"Ո՞րն է Երկրի ամենամեծ օվկիանոսը:")</f>
        <v>Ո՞րն է Երկրի ամենամեծ օվկիանոսը:</v>
      </c>
      <c r="D5282" s="6" t="str">
        <f>IFERROR(__xludf.DUMMYFUNCTION("GOOGLETRANSLATE(B5282,""en"",""hy"")"),"Խաղաղ օվկիանոս.")</f>
        <v>Խաղաղ օվկիանոս.</v>
      </c>
    </row>
    <row r="5283">
      <c r="A5283" s="5" t="s">
        <v>7734</v>
      </c>
      <c r="B5283" s="5" t="s">
        <v>7448</v>
      </c>
      <c r="C5283" s="5" t="str">
        <f>IFERROR(__xludf.DUMMYFUNCTION("GOOGLETRANSLATE(A5283,""en"",""hy"")"),"Ո՞վ է նկարել հայտնի «Մոնա Լիզա» ստեղծագործությունը:")</f>
        <v>Ո՞վ է նկարել հայտնի «Մոնա Լիզա» ստեղծագործությունը:</v>
      </c>
      <c r="D5283" s="6" t="str">
        <f>IFERROR(__xludf.DUMMYFUNCTION("GOOGLETRANSLATE(B5283,""en"",""hy"")"),"Լեոնարդո դա Վինչի.")</f>
        <v>Լեոնարդո դա Վինչի.</v>
      </c>
    </row>
    <row r="5284">
      <c r="A5284" s="5" t="s">
        <v>7450</v>
      </c>
      <c r="B5284" s="5" t="s">
        <v>7451</v>
      </c>
      <c r="C5284" s="5" t="str">
        <f>IFERROR(__xludf.DUMMYFUNCTION("GOOGLETRANSLATE(A5284,""en"",""hy"")"),"Ո՞րն է Ավստրալիայի մայրաքաղաքը:")</f>
        <v>Ո՞րն է Ավստրալիայի մայրաքաղաքը:</v>
      </c>
      <c r="D5284" s="6" t="str">
        <f>IFERROR(__xludf.DUMMYFUNCTION("GOOGLETRANSLATE(B5284,""en"",""hy"")"),"Կանբերա.")</f>
        <v>Կանբերա.</v>
      </c>
    </row>
    <row r="5285">
      <c r="A5285" s="5" t="s">
        <v>7477</v>
      </c>
      <c r="B5285" s="5" t="s">
        <v>7478</v>
      </c>
      <c r="C5285" s="5" t="str">
        <f>IFERROR(__xludf.DUMMYFUNCTION("GOOGLETRANSLATE(A5285,""en"",""hy"")"),"Ո՞ր երկիրն է հայտնի որպես «Ծագող արևի երկիր»:")</f>
        <v>Ո՞ր երկիրն է հայտնի որպես «Ծագող արևի երկիր»:</v>
      </c>
      <c r="D5285" s="6" t="str">
        <f>IFERROR(__xludf.DUMMYFUNCTION("GOOGLETRANSLATE(B5285,""en"",""hy"")"),"Ճապոնիա.")</f>
        <v>Ճապոնիա.</v>
      </c>
    </row>
    <row r="5286">
      <c r="A5286" s="5" t="s">
        <v>7443</v>
      </c>
      <c r="B5286" s="5" t="s">
        <v>8355</v>
      </c>
      <c r="C5286" s="5" t="str">
        <f>IFERROR(__xludf.DUMMYFUNCTION("GOOGLETRANSLATE(A5286,""en"",""hy"")"),"Ո՞վ է գրել «1984» վեպը։")</f>
        <v>Ո՞վ է գրել «1984» վեպը։</v>
      </c>
      <c r="D5286" s="6" t="str">
        <f>IFERROR(__xludf.DUMMYFUNCTION("GOOGLETRANSLATE(B5286,""en"",""hy"")"),"Ջորջ Օրուել")</f>
        <v>Ջորջ Օրուել</v>
      </c>
    </row>
    <row r="5287">
      <c r="A5287" s="5" t="s">
        <v>7452</v>
      </c>
      <c r="B5287" s="5" t="s">
        <v>7453</v>
      </c>
      <c r="C5287" s="5" t="str">
        <f>IFERROR(__xludf.DUMMYFUNCTION("GOOGLETRANSLATE(A5287,""en"",""hy"")"),"Ո՞րն է ոսկու քիմիական նշանը:")</f>
        <v>Ո՞րն է ոսկու քիմիական նշանը:</v>
      </c>
      <c r="D5287" s="6" t="str">
        <f>IFERROR(__xludf.DUMMYFUNCTION("GOOGLETRANSLATE(B5287,""en"",""hy"")"),"Ոսկու քիմիական նշանը Au-ն է:")</f>
        <v>Ոսկու քիմիական նշանը Au-ն է:</v>
      </c>
    </row>
    <row r="5288">
      <c r="A5288" s="5" t="s">
        <v>7469</v>
      </c>
      <c r="B5288" s="7">
        <v>1945.0</v>
      </c>
      <c r="C5288" s="5" t="str">
        <f>IFERROR(__xludf.DUMMYFUNCTION("GOOGLETRANSLATE(A5288,""en"",""hy"")"),"Ո՞ր տարում ավարտվեց Երկրորդ համաշխարհային պատերազմը:")</f>
        <v>Ո՞ր տարում ավարտվեց Երկրորդ համաշխարհային պատերազմը:</v>
      </c>
      <c r="D5288" s="6" t="str">
        <f>IFERROR(__xludf.DUMMYFUNCTION("GOOGLETRANSLATE(B5288,""en"",""hy"")"),"1945 թ")</f>
        <v>1945 թ</v>
      </c>
    </row>
    <row r="5289">
      <c r="A5289" s="5" t="s">
        <v>7939</v>
      </c>
      <c r="B5289" s="5" t="s">
        <v>7940</v>
      </c>
      <c r="C5289" s="5" t="str">
        <f>IFERROR(__xludf.DUMMYFUNCTION("GOOGLETRANSLATE(A5289,""en"",""hy"")"),"Քանի՞ մայրցամաք կա աշխարհում:")</f>
        <v>Քանի՞ մայրցամաք կա աշխարհում:</v>
      </c>
      <c r="D5289" s="6" t="str">
        <f>IFERROR(__xludf.DUMMYFUNCTION("GOOGLETRANSLATE(B5289,""en"",""hy"")"),"Աշխարհում կան յոթ մայրցամաքներ։")</f>
        <v>Աշխարհում կան յոթ մայրցամաքներ։</v>
      </c>
    </row>
    <row r="5290">
      <c r="A5290" s="5" t="s">
        <v>8247</v>
      </c>
      <c r="B5290" s="5" t="s">
        <v>7181</v>
      </c>
      <c r="C5290" s="5" t="str">
        <f>IFERROR(__xludf.DUMMYFUNCTION("GOOGLETRANSLATE(A5290,""en"",""hy"")"),"Ո՞ր երկրում է գտնվում Մեծ արգելախութը:")</f>
        <v>Ո՞ր երկրում է գտնվում Մեծ արգելախութը:</v>
      </c>
      <c r="D5290" s="6" t="str">
        <f>IFERROR(__xludf.DUMMYFUNCTION("GOOGLETRANSLATE(B5290,""en"",""hy"")"),"Ավստրալիա")</f>
        <v>Ավստրալիա</v>
      </c>
    </row>
    <row r="5291">
      <c r="A5291" s="5" t="s">
        <v>8621</v>
      </c>
      <c r="B5291" s="5" t="s">
        <v>7464</v>
      </c>
      <c r="C5291" s="5" t="str">
        <f>IFERROR(__xludf.DUMMYFUNCTION("GOOGLETRANSLATE(A5291,""en"",""hy"")"),"Ո՞րն է Երկրի ամենաբարձր լեռը:")</f>
        <v>Ո՞րն է Երկրի ամենաբարձր լեռը:</v>
      </c>
      <c r="D5291" s="6" t="str">
        <f>IFERROR(__xludf.DUMMYFUNCTION("GOOGLETRANSLATE(B5291,""en"",""hy"")"),"Էվերեստ լեռ.")</f>
        <v>Էվերեստ լեռ.</v>
      </c>
    </row>
    <row r="5292">
      <c r="A5292" s="5" t="s">
        <v>7473</v>
      </c>
      <c r="B5292" s="5" t="s">
        <v>7474</v>
      </c>
      <c r="C5292" s="5" t="str">
        <f>IFERROR(__xludf.DUMMYFUNCTION("GOOGLETRANSLATE(A5292,""en"",""hy"")"),"Ո՞վ է նկարել Սիքստինյան կապելլայի առաստաղը:")</f>
        <v>Ո՞վ է նկարել Սիքստինյան կապելլայի առաստաղը:</v>
      </c>
      <c r="D5292" s="6" t="str">
        <f>IFERROR(__xludf.DUMMYFUNCTION("GOOGLETRANSLATE(B5292,""en"",""hy"")"),"Միքելանջելո.")</f>
        <v>Միքելանջելո.</v>
      </c>
    </row>
    <row r="5293">
      <c r="A5293" s="5" t="s">
        <v>8622</v>
      </c>
      <c r="B5293" s="5" t="s">
        <v>7921</v>
      </c>
      <c r="C5293" s="5" t="str">
        <f>IFERROR(__xludf.DUMMYFUNCTION("GOOGLETRANSLATE(A5293,""en"",""hy"")"),"Ո՞ր երկրում է գտնվում Թաջ Մահալը:")</f>
        <v>Ո՞ր երկրում է գտնվում Թաջ Մահալը:</v>
      </c>
      <c r="D5293" s="6" t="str">
        <f>IFERROR(__xludf.DUMMYFUNCTION("GOOGLETRANSLATE(B5293,""en"",""hy"")"),"Հնդկաստան.")</f>
        <v>Հնդկաստան.</v>
      </c>
    </row>
    <row r="5294">
      <c r="A5294" s="5" t="s">
        <v>7461</v>
      </c>
      <c r="B5294" s="5" t="s">
        <v>7462</v>
      </c>
      <c r="C5294" s="5" t="str">
        <f>IFERROR(__xludf.DUMMYFUNCTION("GOOGLETRANSLATE(A5294,""en"",""hy"")"),"Ո՞րն է մարդու մարմնի ամենամեծ օրգանը:")</f>
        <v>Ո՞րն է մարդու մարմնի ամենամեծ օրգանը:</v>
      </c>
      <c r="D5294" s="6" t="str">
        <f>IFERROR(__xludf.DUMMYFUNCTION("GOOGLETRANSLATE(B5294,""en"",""hy"")"),"Մաշկը.")</f>
        <v>Մաշկը.</v>
      </c>
    </row>
    <row r="5295">
      <c r="A5295" s="5" t="s">
        <v>8623</v>
      </c>
      <c r="B5295" s="5" t="s">
        <v>1016</v>
      </c>
      <c r="C5295" s="5" t="str">
        <f>IFERROR(__xludf.DUMMYFUNCTION("GOOGLETRANSLATE(A5295,""en"",""hy"")"),"Ո՞վ է գրել «Ռոմեո և Ջուլիետ» և «Համլետ» պիեսները։")</f>
        <v>Ո՞վ է գրել «Ռոմեո և Ջուլիետ» և «Համլետ» պիեսները։</v>
      </c>
      <c r="D5295" s="6" t="str">
        <f>IFERROR(__xludf.DUMMYFUNCTION("GOOGLETRANSLATE(B5295,""en"",""hy"")"),"Ուիլյամ Շեքսպիր.")</f>
        <v>Ուիլյամ Շեքսպիր.</v>
      </c>
    </row>
    <row r="5296">
      <c r="A5296" s="5" t="s">
        <v>8624</v>
      </c>
      <c r="B5296" s="5" t="s">
        <v>2790</v>
      </c>
      <c r="C5296" s="5" t="str">
        <f>IFERROR(__xludf.DUMMYFUNCTION("GOOGLETRANSLATE(A5296,""en"",""hy"")"),"Ո՞ր երկիրն է հայտնի Մեծ պարիսպով:")</f>
        <v>Ո՞ր երկիրն է հայտնի Մեծ պարիսպով:</v>
      </c>
      <c r="D5296" s="6" t="str">
        <f>IFERROR(__xludf.DUMMYFUNCTION("GOOGLETRANSLATE(B5296,""en"",""hy"")"),"Չինաստան.")</f>
        <v>Չինաստան.</v>
      </c>
    </row>
    <row r="5297">
      <c r="A5297" s="5" t="s">
        <v>7467</v>
      </c>
      <c r="B5297" s="5" t="s">
        <v>7766</v>
      </c>
      <c r="C5297" s="5" t="str">
        <f>IFERROR(__xludf.DUMMYFUNCTION("GOOGLETRANSLATE(A5297,""en"",""hy"")"),"Ո՞րն է Ճապոնիայի արժույթը:")</f>
        <v>Ո՞րն է Ճապոնիայի արժույթը:</v>
      </c>
      <c r="D5297" s="6" t="str">
        <f>IFERROR(__xludf.DUMMYFUNCTION("GOOGLETRANSLATE(B5297,""en"",""hy"")"),"Ճապոնիայի արժույթը ճապոնական իենն է։")</f>
        <v>Ճապոնիայի արժույթը ճապոնական իենն է։</v>
      </c>
    </row>
    <row r="5298">
      <c r="A5298" s="5" t="s">
        <v>8240</v>
      </c>
      <c r="B5298" s="5" t="s">
        <v>7635</v>
      </c>
      <c r="C5298" s="5" t="str">
        <f>IFERROR(__xludf.DUMMYFUNCTION("GOOGLETRANSLATE(A5298,""en"",""hy"")"),"Ո՞վ էր առաջին մարդը, ով ոտք դրեց լուսնի վրա:")</f>
        <v>Ո՞վ էր առաջին մարդը, ով ոտք դրեց լուսնի վրա:</v>
      </c>
      <c r="D5298" s="6" t="str">
        <f>IFERROR(__xludf.DUMMYFUNCTION("GOOGLETRANSLATE(B5298,""en"",""hy"")"),"Նիլ Արմսթրոնգ.")</f>
        <v>Նիլ Արմսթրոնգ.</v>
      </c>
    </row>
    <row r="5299">
      <c r="A5299" s="5" t="s">
        <v>8625</v>
      </c>
      <c r="B5299" s="5" t="s">
        <v>8626</v>
      </c>
      <c r="C5299" s="5" t="str">
        <f>IFERROR(__xludf.DUMMYFUNCTION("GOOGLETRANSLATE(A5299,""en"",""hy"")"),"Ո՞ր տարրն է ներկայացվում պարբերական աղյուսակում Fe նշանով:")</f>
        <v>Ո՞ր տարրն է ներկայացվում պարբերական աղյուսակում Fe նշանով:</v>
      </c>
      <c r="D5299" s="6" t="str">
        <f>IFERROR(__xludf.DUMMYFUNCTION("GOOGLETRANSLATE(B5299,""en"",""hy"")"),"Երկաթ")</f>
        <v>Երկաթ</v>
      </c>
    </row>
    <row r="5300">
      <c r="A5300" s="5" t="s">
        <v>8627</v>
      </c>
      <c r="B5300" s="5" t="s">
        <v>7492</v>
      </c>
      <c r="C5300" s="5" t="str">
        <f>IFERROR(__xludf.DUMMYFUNCTION("GOOGLETRANSLATE(A5300,""en"",""hy"")"),"Ո՞վ է նկարել «Աստղային գիշեր» նկարը:")</f>
        <v>Ո՞վ է նկարել «Աստղային գիշեր» նկարը:</v>
      </c>
      <c r="D5300" s="6" t="str">
        <f>IFERROR(__xludf.DUMMYFUNCTION("GOOGLETRANSLATE(B5300,""en"",""hy"")"),"Վինսենթ վան Գոգ")</f>
        <v>Վինսենթ վան Գոգ</v>
      </c>
    </row>
    <row r="5301">
      <c r="A5301" s="5" t="s">
        <v>8014</v>
      </c>
      <c r="B5301" s="5" t="s">
        <v>8174</v>
      </c>
      <c r="C5301" s="5" t="str">
        <f>IFERROR(__xludf.DUMMYFUNCTION("GOOGLETRANSLATE(A5301,""en"",""hy"")"),"Քանի՞ խաղացող կա բասկետբոլի թիմում:")</f>
        <v>Քանի՞ խաղացող կա բասկետբոլի թիմում:</v>
      </c>
      <c r="D5301" s="6" t="str">
        <f>IFERROR(__xludf.DUMMYFUNCTION("GOOGLETRANSLATE(B5301,""en"",""hy"")"),"Բասկետբոլի թիմում հինգ խաղացող կա:")</f>
        <v>Բասկետբոլի թիմում հինգ խաղացող կա:</v>
      </c>
    </row>
    <row r="5302">
      <c r="A5302" s="5" t="s">
        <v>8628</v>
      </c>
      <c r="B5302" s="5" t="s">
        <v>8629</v>
      </c>
      <c r="C5302" s="5" t="str">
        <f>IFERROR(__xludf.DUMMYFUNCTION("GOOGLETRANSLATE(A5302,""en"",""hy"")"),"Ո՞րն է Երկրի ամենամեծ անապատը:")</f>
        <v>Ո՞րն է Երկրի ամենամեծ անապատը:</v>
      </c>
      <c r="D5302" s="6" t="str">
        <f>IFERROR(__xludf.DUMMYFUNCTION("GOOGLETRANSLATE(B5302,""en"",""hy"")"),"Երկրի ամենամեծ անապատը Անտարկտիդայի անապատն է:")</f>
        <v>Երկրի ամենամեծ անապատը Անտարկտիդայի անապատն է:</v>
      </c>
    </row>
    <row r="5303">
      <c r="A5303" s="5" t="s">
        <v>8514</v>
      </c>
      <c r="B5303" s="5" t="s">
        <v>7501</v>
      </c>
      <c r="C5303" s="5" t="str">
        <f>IFERROR(__xludf.DUMMYFUNCTION("GOOGLETRANSLATE(A5303,""en"",""hy"")"),"Ո՞ր քաղաքն է հայտնի որպես «սիրո քաղաք»:")</f>
        <v>Ո՞ր քաղաքն է հայտնի որպես «սիրո քաղաք»:</v>
      </c>
      <c r="D5303" s="6" t="str">
        <f>IFERROR(__xludf.DUMMYFUNCTION("GOOGLETRANSLATE(B5303,""en"",""hy"")"),"Փարիզ.")</f>
        <v>Փարիզ.</v>
      </c>
    </row>
    <row r="5304">
      <c r="A5304" s="5" t="s">
        <v>7769</v>
      </c>
      <c r="B5304" s="5" t="s">
        <v>7486</v>
      </c>
      <c r="C5304" s="5" t="str">
        <f>IFERROR(__xludf.DUMMYFUNCTION("GOOGLETRANSLATE(A5304,""en"",""hy"")"),"Ո՞վ է Հարրի Փոթերի գրքերի շարքի հեղինակը:")</f>
        <v>Ո՞վ է Հարրի Փոթերի գրքերի շարքի հեղինակը:</v>
      </c>
      <c r="D5304" s="6" t="str">
        <f>IFERROR(__xludf.DUMMYFUNCTION("GOOGLETRANSLATE(B5304,""en"",""hy"")"),"Ջ.Կ. Ռոուլինգ.")</f>
        <v>Ջ.Կ. Ռոուլինգ.</v>
      </c>
    </row>
    <row r="5305">
      <c r="A5305" s="5" t="s">
        <v>7515</v>
      </c>
      <c r="B5305" s="5" t="s">
        <v>7516</v>
      </c>
      <c r="C5305" s="5" t="str">
        <f>IFERROR(__xludf.DUMMYFUNCTION("GOOGLETRANSLATE(A5305,""en"",""hy"")"),"Ո՞րն է Բրազիլիայի մայրաքաղաքը:")</f>
        <v>Ո՞րն է Բրազիլիայի մայրաքաղաքը:</v>
      </c>
      <c r="D5305" s="6" t="str">
        <f>IFERROR(__xludf.DUMMYFUNCTION("GOOGLETRANSLATE(B5305,""en"",""hy"")"),"Բրազիլիա.")</f>
        <v>Բրազիլիա.</v>
      </c>
    </row>
    <row r="5306">
      <c r="A5306" s="5" t="s">
        <v>8473</v>
      </c>
      <c r="B5306" s="5" t="s">
        <v>8474</v>
      </c>
      <c r="C5306" s="5" t="str">
        <f>IFERROR(__xludf.DUMMYFUNCTION("GOOGLETRANSLATE(A5306,""en"",""hy"")"),"Քանի՞ օղակ կա օլիմպիական դրոշի վրա:")</f>
        <v>Քանի՞ օղակ կա օլիմպիական դրոշի վրա:</v>
      </c>
      <c r="D5306" s="6" t="str">
        <f>IFERROR(__xludf.DUMMYFUNCTION("GOOGLETRANSLATE(B5306,""en"",""hy"")"),"Օլիմպիական դրոշի վրա հինգ օղակ կա։")</f>
        <v>Օլիմպիական դրոշի վրա հինգ օղակ կա։</v>
      </c>
    </row>
    <row r="5307">
      <c r="A5307" s="5" t="s">
        <v>8630</v>
      </c>
      <c r="B5307" s="5" t="s">
        <v>7499</v>
      </c>
      <c r="C5307" s="5" t="str">
        <f>IFERROR(__xludf.DUMMYFUNCTION("GOOGLETRANSLATE(A5307,""en"",""hy"")"),"Ո՞վ է հայտնի հարաբերականության տեսությամբ:")</f>
        <v>Ո՞վ է հայտնի հարաբերականության տեսությամբ:</v>
      </c>
      <c r="D5307" s="6" t="str">
        <f>IFERROR(__xludf.DUMMYFUNCTION("GOOGLETRANSLATE(B5307,""en"",""hy"")"),"Albert Einstein")</f>
        <v>Albert Einstein</v>
      </c>
    </row>
    <row r="5308">
      <c r="A5308" s="5" t="s">
        <v>7665</v>
      </c>
      <c r="B5308" s="5" t="s">
        <v>7781</v>
      </c>
      <c r="C5308" s="5" t="str">
        <f>IFERROR(__xludf.DUMMYFUNCTION("GOOGLETRANSLATE(A5308,""en"",""hy"")"),"Ո՞րն է նատրիումի քիմիական նշանը:")</f>
        <v>Ո՞րն է նատրիումի քիմիական նշանը:</v>
      </c>
      <c r="D5308" s="6" t="str">
        <f>IFERROR(__xludf.DUMMYFUNCTION("GOOGLETRANSLATE(B5308,""en"",""hy"")"),"Նատրիումի քիմիական նշանը Na է:")</f>
        <v>Նատրիումի քիմիական նշանը Na է:</v>
      </c>
    </row>
    <row r="5309">
      <c r="A5309" s="5" t="s">
        <v>8631</v>
      </c>
      <c r="B5309" s="7">
        <v>1776.0</v>
      </c>
      <c r="C5309" s="5" t="str">
        <f>IFERROR(__xludf.DUMMYFUNCTION("GOOGLETRANSLATE(A5309,""en"",""hy"")"),"Ո՞ր թվականին է ստորագրվել ԱՄՆ-ում Անկախության հռչակագիրը:")</f>
        <v>Ո՞ր թվականին է ստորագրվել ԱՄՆ-ում Անկախության հռչակագիրը:</v>
      </c>
      <c r="D5309" s="6" t="str">
        <f>IFERROR(__xludf.DUMMYFUNCTION("GOOGLETRANSLATE(B5309,""en"",""hy"")"),"1776 թ")</f>
        <v>1776 թ</v>
      </c>
    </row>
    <row r="5310">
      <c r="A5310" s="5" t="s">
        <v>8023</v>
      </c>
      <c r="B5310" s="5" t="s">
        <v>8632</v>
      </c>
      <c r="C5310" s="5" t="str">
        <f>IFERROR(__xludf.DUMMYFUNCTION("GOOGLETRANSLATE(A5310,""en"",""hy"")"),"Ո՞րն է աշխարհի ամենաբարձր կենդանին:")</f>
        <v>Ո՞րն է աշխարհի ամենաբարձր կենդանին:</v>
      </c>
      <c r="D5310" s="6" t="str">
        <f>IFERROR(__xludf.DUMMYFUNCTION("GOOGLETRANSLATE(B5310,""en"",""hy"")"),"Ընձուղտն աշխարհի ամենաբարձր կենդանին է։")</f>
        <v>Ընձուղտն աշխարհի ամենաբարձր կենդանին է։</v>
      </c>
    </row>
    <row r="5311">
      <c r="A5311" s="5" t="s">
        <v>8633</v>
      </c>
      <c r="B5311" s="5" t="s">
        <v>6334</v>
      </c>
      <c r="C5311" s="5" t="str">
        <f>IFERROR(__xludf.DUMMYFUNCTION("GOOGLETRANSLATE(A5311,""en"",""hy"")"),"Ո՞ր երկիրն է հայտնի Պիզայի աշտարակով:")</f>
        <v>Ո՞ր երկիրն է հայտնի Պիզայի աշտարակով:</v>
      </c>
      <c r="D5311" s="6" t="str">
        <f>IFERROR(__xludf.DUMMYFUNCTION("GOOGLETRANSLATE(B5311,""en"",""hy"")"),"Իտալիա.")</f>
        <v>Իտալիա.</v>
      </c>
    </row>
    <row r="5312">
      <c r="A5312" s="5" t="s">
        <v>7674</v>
      </c>
      <c r="B5312" s="5" t="s">
        <v>7675</v>
      </c>
      <c r="C5312" s="5" t="str">
        <f>IFERROR(__xludf.DUMMYFUNCTION("GOOGLETRANSLATE(A5312,""en"",""hy"")"),"Ո՞վ է հունական ծովի աստվածը:")</f>
        <v>Ո՞վ է հունական ծովի աստվածը:</v>
      </c>
      <c r="D5312" s="6" t="str">
        <f>IFERROR(__xludf.DUMMYFUNCTION("GOOGLETRANSLATE(B5312,""en"",""hy"")"),"Պոսեյդոն.")</f>
        <v>Պոսեյդոն.</v>
      </c>
    </row>
    <row r="5313">
      <c r="A5313" s="5" t="s">
        <v>8558</v>
      </c>
      <c r="B5313" s="5" t="s">
        <v>8141</v>
      </c>
      <c r="C5313" s="5" t="str">
        <f>IFERROR(__xludf.DUMMYFUNCTION("GOOGLETRANSLATE(A5313,""en"",""hy"")"),"Ո՞րն է ամենամեծ երկիրը ըստ ցամաքային տարածքի:")</f>
        <v>Ո՞րն է ամենամեծ երկիրը ըստ ցամաքային տարածքի:</v>
      </c>
      <c r="D5313" s="6" t="str">
        <f>IFERROR(__xludf.DUMMYFUNCTION("GOOGLETRANSLATE(B5313,""en"",""hy"")"),"Ռուսաստան")</f>
        <v>Ռուսաստան</v>
      </c>
    </row>
    <row r="5314">
      <c r="A5314" s="5" t="s">
        <v>8634</v>
      </c>
      <c r="B5314" s="5" t="s">
        <v>7828</v>
      </c>
      <c r="C5314" s="5" t="str">
        <f>IFERROR(__xludf.DUMMYFUNCTION("GOOGLETRANSLATE(A5314,""en"",""hy"")"),"Ո՞վ է նկարել «Վերջին ընթրիքը» նկարը:")</f>
        <v>Ո՞վ է նկարել «Վերջին ընթրիքը» նկարը:</v>
      </c>
      <c r="D5314" s="6" t="str">
        <f>IFERROR(__xludf.DUMMYFUNCTION("GOOGLETRANSLATE(B5314,""en"",""hy"")"),"Լեոնարդո դա Վինչի")</f>
        <v>Լեոնարդո դա Վինչի</v>
      </c>
    </row>
    <row r="5315">
      <c r="A5315" s="5" t="s">
        <v>7872</v>
      </c>
      <c r="B5315" s="5" t="s">
        <v>1307</v>
      </c>
      <c r="C5315" s="5" t="str">
        <f>IFERROR(__xludf.DUMMYFUNCTION("GOOGLETRANSLATE(A5315,""en"",""hy"")"),"Ո՞րն է Իսպանիայի մայրաքաղաքը:")</f>
        <v>Ո՞րն է Իսպանիայի մայրաքաղաքը:</v>
      </c>
      <c r="D5315" s="6" t="str">
        <f>IFERROR(__xludf.DUMMYFUNCTION("GOOGLETRANSLATE(B5315,""en"",""hy"")"),"Մադրիդ.")</f>
        <v>Մադրիդ.</v>
      </c>
    </row>
    <row r="5316">
      <c r="A5316" s="5" t="s">
        <v>7915</v>
      </c>
      <c r="B5316" s="5" t="s">
        <v>7916</v>
      </c>
      <c r="C5316" s="5" t="str">
        <f>IFERROR(__xludf.DUMMYFUNCTION("GOOGLETRANSLATE(A5316,""en"",""hy"")"),"Քանի՞ ոսկոր կա մարդու մարմնում:")</f>
        <v>Քանի՞ ոսկոր կա մարդու մարմնում:</v>
      </c>
      <c r="D5316" s="6" t="str">
        <f>IFERROR(__xludf.DUMMYFUNCTION("GOOGLETRANSLATE(B5316,""en"",""hy"")"),"Մարդու մարմնում կա 206 ոսկոր։")</f>
        <v>Մարդու մարմնում կա 206 ոսկոր։</v>
      </c>
    </row>
    <row r="5317">
      <c r="A5317" s="5" t="s">
        <v>7698</v>
      </c>
      <c r="B5317" s="5" t="s">
        <v>7630</v>
      </c>
      <c r="C5317" s="5" t="str">
        <f>IFERROR(__xludf.DUMMYFUNCTION("GOOGLETRANSLATE(A5317,""en"",""hy"")"),"Ո՞վ է գրել «Հպարտություն և նախապաշարմունք» վեպը:")</f>
        <v>Ո՞վ է գրել «Հպարտություն և նախապաշարմունք» վեպը:</v>
      </c>
      <c r="D5317" s="6" t="str">
        <f>IFERROR(__xludf.DUMMYFUNCTION("GOOGLETRANSLATE(B5317,""en"",""hy"")"),"Ջեյն Օսթին.")</f>
        <v>Ջեյն Օսթին.</v>
      </c>
    </row>
    <row r="5318">
      <c r="A5318" s="5" t="s">
        <v>8198</v>
      </c>
      <c r="B5318" s="5" t="s">
        <v>8199</v>
      </c>
      <c r="C5318" s="5" t="str">
        <f>IFERROR(__xludf.DUMMYFUNCTION("GOOGLETRANSLATE(A5318,""en"",""hy"")"),"Ո՞րն է Չինաստանի ազգային կենդանին:")</f>
        <v>Ո՞րն է Չինաստանի ազգային կենդանին:</v>
      </c>
      <c r="D5318" s="6" t="str">
        <f>IFERROR(__xludf.DUMMYFUNCTION("GOOGLETRANSLATE(B5318,""en"",""hy"")"),"Չինաստանի ազգային կենդանին հսկա պանդան է։")</f>
        <v>Չինաստանի ազգային կենդանին հսկա պանդան է։</v>
      </c>
    </row>
    <row r="5319">
      <c r="A5319" s="5" t="s">
        <v>7971</v>
      </c>
      <c r="B5319" s="5" t="s">
        <v>8635</v>
      </c>
      <c r="C5319" s="5" t="str">
        <f>IFERROR(__xludf.DUMMYFUNCTION("GOOGLETRANSLATE(A5319,""en"",""hy"")"),"Ո՞ր երկիրն է հայտնի Էյֆելյան աշտարակով:")</f>
        <v>Ո՞ր երկիրն է հայտնի Էյֆելյան աշտարակով:</v>
      </c>
      <c r="D5319" s="6" t="str">
        <f>IFERROR(__xludf.DUMMYFUNCTION("GOOGLETRANSLATE(B5319,""en"",""hy"")"),"Ֆրանսիա")</f>
        <v>Ֆրանսիա</v>
      </c>
    </row>
    <row r="5320">
      <c r="A5320" s="5" t="s">
        <v>7592</v>
      </c>
      <c r="B5320" s="5" t="s">
        <v>7593</v>
      </c>
      <c r="C5320" s="5" t="str">
        <f>IFERROR(__xludf.DUMMYFUNCTION("GOOGLETRANSLATE(A5320,""en"",""hy"")"),"Ո՞րն է թթվածնի քիմիական նշանը:")</f>
        <v>Ո՞րն է թթվածնի քիմիական նշանը:</v>
      </c>
      <c r="D5320" s="6" t="str">
        <f>IFERROR(__xludf.DUMMYFUNCTION("GOOGLETRANSLATE(B5320,""en"",""hy"")"),"Թթվածնի քիմիական նշանը O է:")</f>
        <v>Թթվածնի քիմիական նշանը O է:</v>
      </c>
    </row>
    <row r="5321">
      <c r="A5321" s="5" t="s">
        <v>8636</v>
      </c>
      <c r="B5321" s="5" t="s">
        <v>7512</v>
      </c>
      <c r="C5321" s="5" t="str">
        <f>IFERROR(__xludf.DUMMYFUNCTION("GOOGLETRANSLATE(A5321,""en"",""hy"")"),"Ո՞ր երկրում կարող եք գտնել Մեծ Սֆինքսը:")</f>
        <v>Ո՞ր երկրում կարող եք գտնել Մեծ Սֆինքսը:</v>
      </c>
      <c r="D5321" s="6" t="str">
        <f>IFERROR(__xludf.DUMMYFUNCTION("GOOGLETRANSLATE(B5321,""en"",""hy"")"),"Եգիպտոս.")</f>
        <v>Եգիպտոս.</v>
      </c>
    </row>
    <row r="5322">
      <c r="A5322" s="5" t="s">
        <v>8637</v>
      </c>
      <c r="B5322" s="5" t="s">
        <v>7607</v>
      </c>
      <c r="C5322" s="5" t="str">
        <f>IFERROR(__xludf.DUMMYFUNCTION("GOOGLETRANSLATE(A5322,""en"",""hy"")"),"Ո՞վ է հայտնի որպես «Էվոլյուցիայի հայր»:")</f>
        <v>Ո՞վ է հայտնի որպես «Էվոլյուցիայի հայր»:</v>
      </c>
      <c r="D5322" s="6" t="str">
        <f>IFERROR(__xludf.DUMMYFUNCTION("GOOGLETRANSLATE(B5322,""en"",""hy"")"),"Չարլզ Դարվին.")</f>
        <v>Չարլզ Դարվին.</v>
      </c>
    </row>
    <row r="5323">
      <c r="A5323" s="5" t="s">
        <v>8075</v>
      </c>
      <c r="B5323" s="5" t="s">
        <v>8076</v>
      </c>
      <c r="C5323" s="5" t="str">
        <f>IFERROR(__xludf.DUMMYFUNCTION("GOOGLETRANSLATE(A5323,""en"",""hy"")"),"Ո՞րն է աշխարհի ամենամեծ հրաբուխը:")</f>
        <v>Ո՞րն է աշխարհի ամենամեծ հրաբուխը:</v>
      </c>
      <c r="D5323" s="6" t="str">
        <f>IFERROR(__xludf.DUMMYFUNCTION("GOOGLETRANSLATE(B5323,""en"",""hy"")"),"Մաունա Լոա.")</f>
        <v>Մաունա Լոա.</v>
      </c>
    </row>
    <row r="5324">
      <c r="A5324" s="5" t="s">
        <v>8638</v>
      </c>
      <c r="B5324" s="5" t="s">
        <v>7549</v>
      </c>
      <c r="C5324" s="5" t="str">
        <f>IFERROR(__xludf.DUMMYFUNCTION("GOOGLETRANSLATE(A5324,""en"",""hy"")"),"Ո՞վ է նկարել «Մարգարտյա ականջօղով աղջիկը» նկարը:")</f>
        <v>Ո՞վ է նկարել «Մարգարտյա ականջօղով աղջիկը» նկարը:</v>
      </c>
      <c r="D5324" s="6" t="str">
        <f>IFERROR(__xludf.DUMMYFUNCTION("GOOGLETRANSLATE(B5324,""en"",""hy"")"),"Յոհաննես Վերմեեր.")</f>
        <v>Յոհաննես Վերմեեր.</v>
      </c>
    </row>
    <row r="5325">
      <c r="A5325" s="5" t="s">
        <v>7780</v>
      </c>
      <c r="B5325" s="5" t="s">
        <v>2951</v>
      </c>
      <c r="C5325" s="5" t="str">
        <f>IFERROR(__xludf.DUMMYFUNCTION("GOOGLETRANSLATE(A5325,""en"",""hy"")"),"Ո՞րն է Կանադայի մայրաքաղաքը:")</f>
        <v>Ո՞րն է Կանադայի մայրաքաղաքը:</v>
      </c>
      <c r="D5325" s="6" t="str">
        <f>IFERROR(__xludf.DUMMYFUNCTION("GOOGLETRANSLATE(B5325,""en"",""hy"")"),"Օտտավա.")</f>
        <v>Օտտավա.</v>
      </c>
    </row>
    <row r="5326">
      <c r="A5326" s="5" t="s">
        <v>8181</v>
      </c>
      <c r="B5326" s="5" t="s">
        <v>8100</v>
      </c>
      <c r="C5326" s="5" t="str">
        <f>IFERROR(__xludf.DUMMYFUNCTION("GOOGLETRANSLATE(A5326,""en"",""hy"")"),"Քանի՞ մոլորակ կա մեր արեգակնային համակարգում:")</f>
        <v>Քանի՞ մոլորակ կա մեր արեգակնային համակարգում:</v>
      </c>
      <c r="D5326" s="6" t="str">
        <f>IFERROR(__xludf.DUMMYFUNCTION("GOOGLETRANSLATE(B5326,""en"",""hy"")"),"Մեր Արեգակնային համակարգում կա ութ մոլորակ:")</f>
        <v>Մեր Արեգակնային համակարգում կա ութ մոլորակ:</v>
      </c>
    </row>
    <row r="5327">
      <c r="A5327" s="5" t="s">
        <v>7849</v>
      </c>
      <c r="B5327" s="5" t="s">
        <v>7541</v>
      </c>
      <c r="C5327" s="5" t="str">
        <f>IFERROR(__xludf.DUMMYFUNCTION("GOOGLETRANSLATE(A5327,""en"",""hy"")"),"Ո՞վ է գրել «Սպանել ծաղրող թռչունին» վեպը:")</f>
        <v>Ո՞վ է գրել «Սպանել ծաղրող թռչունին» վեպը:</v>
      </c>
      <c r="D5327" s="6" t="str">
        <f>IFERROR(__xludf.DUMMYFUNCTION("GOOGLETRANSLATE(B5327,""en"",""hy"")"),"Հարփեր Լի.")</f>
        <v>Հարփեր Լի.</v>
      </c>
    </row>
    <row r="5328">
      <c r="A5328" s="5" t="s">
        <v>7480</v>
      </c>
      <c r="B5328" s="5" t="s">
        <v>7481</v>
      </c>
      <c r="C5328" s="5" t="str">
        <f>IFERROR(__xludf.DUMMYFUNCTION("GOOGLETRANSLATE(A5328,""en"",""hy"")"),"Ո՞րն է Միացյալ Նահանգների ազգային թռչունը:")</f>
        <v>Ո՞րն է Միացյալ Նահանգների ազգային թռչունը:</v>
      </c>
      <c r="D5328" s="6" t="str">
        <f>IFERROR(__xludf.DUMMYFUNCTION("GOOGLETRANSLATE(B5328,""en"",""hy"")"),"Միացյալ Նահանգների ազգային թռչունը ճաղատ արծիվն է։")</f>
        <v>Միացյալ Նահանգների ազգային թռչունը ճաղատ արծիվն է։</v>
      </c>
    </row>
    <row r="5329">
      <c r="A5329" s="5" t="s">
        <v>8639</v>
      </c>
      <c r="B5329" s="5" t="s">
        <v>6334</v>
      </c>
      <c r="C5329" s="5" t="str">
        <f>IFERROR(__xludf.DUMMYFUNCTION("GOOGLETRANSLATE(A5329,""en"",""hy"")"),"Ո՞ր երկիրն է հայտնի Կոլիզեյով:")</f>
        <v>Ո՞ր երկիրն է հայտնի Կոլիզեյով:</v>
      </c>
      <c r="D5329" s="6" t="str">
        <f>IFERROR(__xludf.DUMMYFUNCTION("GOOGLETRANSLATE(B5329,""en"",""hy"")"),"Իտալիա.")</f>
        <v>Իտալիա.</v>
      </c>
    </row>
    <row r="5330">
      <c r="A5330" s="5" t="s">
        <v>7809</v>
      </c>
      <c r="B5330" s="5" t="s">
        <v>7810</v>
      </c>
      <c r="C5330" s="5" t="str">
        <f>IFERROR(__xludf.DUMMYFUNCTION("GOOGLETRANSLATE(A5330,""en"",""hy"")"),"Ո՞րն է հելիումի քիմիական նշանը:")</f>
        <v>Ո՞րն է հելիումի քիմիական նշանը:</v>
      </c>
      <c r="D5330" s="6" t="str">
        <f>IFERROR(__xludf.DUMMYFUNCTION("GOOGLETRANSLATE(B5330,""en"",""hy"")"),"Նա")</f>
        <v>Նա</v>
      </c>
    </row>
    <row r="5331">
      <c r="A5331" s="5" t="s">
        <v>7854</v>
      </c>
      <c r="B5331" s="5" t="s">
        <v>8412</v>
      </c>
      <c r="C5331" s="5" t="str">
        <f>IFERROR(__xludf.DUMMYFUNCTION("GOOGLETRANSLATE(A5331,""en"",""hy"")"),"Ո՞վ էր Միացյալ Նահանգների առաջին նախագահը:")</f>
        <v>Ո՞վ էր Միացյալ Նահանգների առաջին նախագահը:</v>
      </c>
      <c r="D5331" s="6" t="str">
        <f>IFERROR(__xludf.DUMMYFUNCTION("GOOGLETRANSLATE(B5331,""en"",""hy"")"),"Ջորջ Վաշինգտոն")</f>
        <v>Ջորջ Վաշինգտոն</v>
      </c>
    </row>
    <row r="5332">
      <c r="A5332" s="5" t="s">
        <v>8640</v>
      </c>
      <c r="B5332" s="5" t="s">
        <v>7181</v>
      </c>
      <c r="C5332" s="5" t="str">
        <f>IFERROR(__xludf.DUMMYFUNCTION("GOOGLETRANSLATE(A5332,""en"",""hy"")"),"Ո՞րն է Երկրի ամենափոքր մայրցամաքը:")</f>
        <v>Ո՞րն է Երկրի ամենափոքր մայրցամաքը:</v>
      </c>
      <c r="D5332" s="6" t="str">
        <f>IFERROR(__xludf.DUMMYFUNCTION("GOOGLETRANSLATE(B5332,""en"",""hy"")"),"Ավստրալիա")</f>
        <v>Ավստրալիա</v>
      </c>
    </row>
    <row r="5333">
      <c r="A5333" s="5" t="s">
        <v>8641</v>
      </c>
      <c r="B5333" s="5" t="s">
        <v>8642</v>
      </c>
      <c r="C5333" s="5" t="str">
        <f>IFERROR(__xludf.DUMMYFUNCTION("GOOGLETRANSLATE(A5333,""en"",""hy"")"),"Ո՞վ է նկարել «Հիշողության համառությունը» ստեղծագործությունը:")</f>
        <v>Ո՞վ է նկարել «Հիշողության համառությունը» ստեղծագործությունը:</v>
      </c>
      <c r="D5333" s="6" t="str">
        <f>IFERROR(__xludf.DUMMYFUNCTION("GOOGLETRANSLATE(B5333,""en"",""hy"")"),"Սալվադոր Դալի")</f>
        <v>Սալվադոր Դալի</v>
      </c>
    </row>
    <row r="5334">
      <c r="A5334" s="5" t="s">
        <v>8643</v>
      </c>
      <c r="B5334" s="5" t="s">
        <v>7712</v>
      </c>
      <c r="C5334" s="5" t="str">
        <f>IFERROR(__xludf.DUMMYFUNCTION("GOOGLETRANSLATE(A5334,""en"",""hy"")"),"Ո՞ր քաղաքն է հայտնի որպես «Մեծ խնձոր»:")</f>
        <v>Ո՞ր քաղաքն է հայտնի որպես «Մեծ խնձոր»:</v>
      </c>
      <c r="D5334" s="6" t="str">
        <f>IFERROR(__xludf.DUMMYFUNCTION("GOOGLETRANSLATE(B5334,""en"",""hy"")"),"Նյու Յորք քաղաք.")</f>
        <v>Նյու Յորք քաղաք.</v>
      </c>
    </row>
    <row r="5335">
      <c r="A5335" s="5" t="s">
        <v>7574</v>
      </c>
      <c r="B5335" s="5" t="s">
        <v>7525</v>
      </c>
      <c r="C5335" s="5" t="str">
        <f>IFERROR(__xludf.DUMMYFUNCTION("GOOGLETRANSLATE(A5335,""en"",""hy"")"),"Ո՞րն է Չինաստանի մայրաքաղաքը:")</f>
        <v>Ո՞րն է Չինաստանի մայրաքաղաքը:</v>
      </c>
      <c r="D5335" s="6" t="str">
        <f>IFERROR(__xludf.DUMMYFUNCTION("GOOGLETRANSLATE(B5335,""en"",""hy"")"),"Պեկին.")</f>
        <v>Պեկին.</v>
      </c>
    </row>
    <row r="5336">
      <c r="A5336" s="5" t="s">
        <v>8644</v>
      </c>
      <c r="B5336" s="5" t="s">
        <v>8645</v>
      </c>
      <c r="C5336" s="5" t="str">
        <f>IFERROR(__xludf.DUMMYFUNCTION("GOOGLETRANSLATE(A5336,""en"",""hy"")"),"Քանի՞ խաղացող կա վոլեյբոլի թիմում:")</f>
        <v>Քանի՞ խաղացող կա վոլեյբոլի թիմում:</v>
      </c>
      <c r="D5336" s="6" t="str">
        <f>IFERROR(__xludf.DUMMYFUNCTION("GOOGLETRANSLATE(B5336,""en"",""hy"")"),"Վոլեյբոլի թիմում վեց խաղացող կա։")</f>
        <v>Վոլեյբոլի թիմում վեց խաղացող կա։</v>
      </c>
    </row>
    <row r="5337">
      <c r="A5337" s="5" t="s">
        <v>8646</v>
      </c>
      <c r="B5337" s="5" t="s">
        <v>8192</v>
      </c>
      <c r="C5337" s="5" t="str">
        <f>IFERROR(__xludf.DUMMYFUNCTION("GOOGLETRANSLATE(A5337,""en"",""hy"")"),"Ո՞վ է հայտնի գրավիտացիայի տեսությամբ:")</f>
        <v>Ո՞վ է հայտնի գրավիտացիայի տեսությամբ:</v>
      </c>
      <c r="D5337" s="6" t="str">
        <f>IFERROR(__xludf.DUMMYFUNCTION("GOOGLETRANSLATE(B5337,""en"",""hy"")"),"Իսահակ Նյուտոն")</f>
        <v>Իսահակ Նյուտոն</v>
      </c>
    </row>
    <row r="5338">
      <c r="A5338" s="5" t="s">
        <v>7699</v>
      </c>
      <c r="B5338" s="5" t="s">
        <v>8615</v>
      </c>
      <c r="C5338" s="5" t="str">
        <f>IFERROR(__xludf.DUMMYFUNCTION("GOOGLETRANSLATE(A5338,""en"",""hy"")"),"Ո՞րն է ածխածնի քիմիական նշանը:")</f>
        <v>Ո՞րն է ածխածնի քիմիական նշանը:</v>
      </c>
      <c r="D5338" s="6" t="str">
        <f>IFERROR(__xludf.DUMMYFUNCTION("GOOGLETRANSLATE(B5338,""en"",""hy"")"),"Գ")</f>
        <v>Գ</v>
      </c>
    </row>
    <row r="5339">
      <c r="A5339" s="5" t="s">
        <v>7975</v>
      </c>
      <c r="B5339" s="5" t="s">
        <v>7976</v>
      </c>
      <c r="C5339" s="5" t="str">
        <f>IFERROR(__xludf.DUMMYFUNCTION("GOOGLETRANSLATE(A5339,""en"",""hy"")"),"Ո՞ր թվականին է սկսվել Առաջին համաշխարհային պատերազմը:")</f>
        <v>Ո՞ր թվականին է սկսվել Առաջին համաշխարհային պատերազմը:</v>
      </c>
      <c r="D5339" s="6" t="str">
        <f>IFERROR(__xludf.DUMMYFUNCTION("GOOGLETRANSLATE(B5339,""en"",""hy"")"),"Առաջին համաշխարհային պատերազմը սկսվել է 1914 թ.")</f>
        <v>Առաջին համաշխարհային պատերազմը սկսվել է 1914 թ.</v>
      </c>
    </row>
    <row r="5340">
      <c r="A5340" s="5" t="s">
        <v>7856</v>
      </c>
      <c r="B5340" s="5" t="s">
        <v>8647</v>
      </c>
      <c r="C5340" s="5" t="str">
        <f>IFERROR(__xludf.DUMMYFUNCTION("GOOGLETRANSLATE(A5340,""en"",""hy"")"),"Ո՞րն է աշխարհի ամենամեծ կենդանին:")</f>
        <v>Ո՞րն է աշխարհի ամենամեծ կենդանին:</v>
      </c>
      <c r="D5340" s="6" t="str">
        <f>IFERROR(__xludf.DUMMYFUNCTION("GOOGLETRANSLATE(B5340,""en"",""hy"")"),"Կապույտ կետ.")</f>
        <v>Կապույտ կետ.</v>
      </c>
    </row>
    <row r="5341">
      <c r="A5341" s="5" t="s">
        <v>8648</v>
      </c>
      <c r="B5341" s="5" t="s">
        <v>7512</v>
      </c>
      <c r="C5341" s="5" t="str">
        <f>IFERROR(__xludf.DUMMYFUNCTION("GOOGLETRANSLATE(A5341,""en"",""hy"")"),"Ո՞ր երկիրն է հայտնի Գիզայի բուրգերով:")</f>
        <v>Ո՞ր երկիրն է հայտնի Գիզայի բուրգերով:</v>
      </c>
      <c r="D5341" s="6" t="str">
        <f>IFERROR(__xludf.DUMMYFUNCTION("GOOGLETRANSLATE(B5341,""en"",""hy"")"),"Եգիպտոս.")</f>
        <v>Եգիպտոս.</v>
      </c>
    </row>
    <row r="5342">
      <c r="A5342" s="5" t="s">
        <v>8649</v>
      </c>
      <c r="B5342" s="5" t="s">
        <v>8590</v>
      </c>
      <c r="C5342" s="5" t="str">
        <f>IFERROR(__xludf.DUMMYFUNCTION("GOOGLETRANSLATE(A5342,""en"",""hy"")"),"Ո՞վ է հռոմեական պատերազմի աստվածը:")</f>
        <v>Ո՞վ է հռոմեական պատերազմի աստվածը:</v>
      </c>
      <c r="D5342" s="6" t="str">
        <f>IFERROR(__xludf.DUMMYFUNCTION("GOOGLETRANSLATE(B5342,""en"",""hy"")"),"Մարս")</f>
        <v>Մարս</v>
      </c>
    </row>
    <row r="5343">
      <c r="A5343" s="5" t="s">
        <v>8650</v>
      </c>
      <c r="B5343" s="5" t="s">
        <v>8133</v>
      </c>
      <c r="C5343" s="5" t="str">
        <f>IFERROR(__xludf.DUMMYFUNCTION("GOOGLETRANSLATE(A5343,""en"",""hy"")"),"Ո՞րն է աշխարհի ամենամեծ քաղաքն ըստ բնակչության:")</f>
        <v>Ո՞րն է աշխարհի ամենամեծ քաղաքն ըստ բնակչության:</v>
      </c>
      <c r="D5343" s="6" t="str">
        <f>IFERROR(__xludf.DUMMYFUNCTION("GOOGLETRANSLATE(B5343,""en"",""hy"")"),"Տոկիո, Ճապոնիա")</f>
        <v>Տոկիո, Ճապոնիա</v>
      </c>
    </row>
    <row r="5344">
      <c r="A5344" s="5" t="s">
        <v>7737</v>
      </c>
      <c r="B5344" s="5" t="s">
        <v>8273</v>
      </c>
      <c r="C5344" s="5" t="str">
        <f>IFERROR(__xludf.DUMMYFUNCTION("GOOGLETRANSLATE(A5344,""en"",""hy"")"),"Ո՞վ է գրել «Շորայի մեջ բռնողը» վեպը:")</f>
        <v>Ո՞վ է գրել «Շորայի մեջ բռնողը» վեպը:</v>
      </c>
      <c r="D5344" s="6" t="str">
        <f>IFERROR(__xludf.DUMMYFUNCTION("GOOGLETRANSLATE(B5344,""en"",""hy"")"),"Ջ.Դ.Սելինջեր")</f>
        <v>Ջ.Դ.Սելինջեր</v>
      </c>
    </row>
    <row r="5345">
      <c r="A5345" s="5" t="s">
        <v>7589</v>
      </c>
      <c r="B5345" s="5" t="s">
        <v>7545</v>
      </c>
      <c r="C5345" s="5" t="str">
        <f>IFERROR(__xludf.DUMMYFUNCTION("GOOGLETRANSLATE(A5345,""en"",""hy"")"),"Ո՞րն է Իտալիայի մայրաքաղաքը:")</f>
        <v>Ո՞րն է Իտալիայի մայրաքաղաքը:</v>
      </c>
      <c r="D5345" s="6" t="str">
        <f>IFERROR(__xludf.DUMMYFUNCTION("GOOGLETRANSLATE(B5345,""en"",""hy"")"),"Հռոմ.")</f>
        <v>Հռոմ.</v>
      </c>
    </row>
    <row r="5346">
      <c r="A5346" s="5" t="s">
        <v>8651</v>
      </c>
      <c r="B5346" s="5" t="s">
        <v>8652</v>
      </c>
      <c r="C5346" s="5" t="str">
        <f>IFERROR(__xludf.DUMMYFUNCTION("GOOGLETRANSLATE(A5346,""en"",""hy"")"),"Քանի՞ կողմ ունի եռանկյունը:")</f>
        <v>Քանի՞ կողմ ունի եռանկյունը:</v>
      </c>
      <c r="D5346" s="6" t="str">
        <f>IFERROR(__xludf.DUMMYFUNCTION("GOOGLETRANSLATE(B5346,""en"",""hy"")"),"Եռանկյունն ունի երեք կողմ.")</f>
        <v>Եռանկյունն ունի երեք կողմ.</v>
      </c>
    </row>
    <row r="5347">
      <c r="A5347" s="5" t="s">
        <v>8653</v>
      </c>
      <c r="B5347" s="5" t="s">
        <v>7867</v>
      </c>
      <c r="C5347" s="5" t="str">
        <f>IFERROR(__xludf.DUMMYFUNCTION("GOOGLETRANSLATE(A5347,""en"",""hy"")"),"Ո՞վ է Մատանիների տիրակալը գրքերի շարքի հեղինակը:")</f>
        <v>Ո՞վ է Մատանիների տիրակալը գրքերի շարքի հեղինակը:</v>
      </c>
      <c r="D5347" s="6" t="str">
        <f>IFERROR(__xludf.DUMMYFUNCTION("GOOGLETRANSLATE(B5347,""en"",""hy"")"),"Ջ.Ռ.Ռ. Թոլքինը։")</f>
        <v>Ջ.Ռ.Ռ. Թոլքինը։</v>
      </c>
    </row>
    <row r="5348">
      <c r="A5348" s="5" t="s">
        <v>7791</v>
      </c>
      <c r="B5348" s="5" t="s">
        <v>7792</v>
      </c>
      <c r="C5348" s="5" t="str">
        <f>IFERROR(__xludf.DUMMYFUNCTION("GOOGLETRANSLATE(A5348,""en"",""hy"")"),"Ո՞րն է Ավստրալիայի ազգային կենդանին:")</f>
        <v>Ո՞րն է Ավստրալիայի ազգային կենդանին:</v>
      </c>
      <c r="D5348" s="6" t="str">
        <f>IFERROR(__xludf.DUMMYFUNCTION("GOOGLETRANSLATE(B5348,""en"",""hy"")"),"Ավստրալիայի ազգային կենդանին կենգուրուն է։")</f>
        <v>Ավստրալիայի ազգային կենդանին կենգուրուն է։</v>
      </c>
    </row>
    <row r="5349">
      <c r="A5349" s="5" t="s">
        <v>8654</v>
      </c>
      <c r="B5349" s="5" t="s">
        <v>8141</v>
      </c>
      <c r="C5349" s="5" t="str">
        <f>IFERROR(__xludf.DUMMYFUNCTION("GOOGLETRANSLATE(A5349,""en"",""hy"")"),"Ո՞ր երկիրն է հայտնի Կրեմլով:")</f>
        <v>Ո՞ր երկիրն է հայտնի Կրեմլով:</v>
      </c>
      <c r="D5349" s="6" t="str">
        <f>IFERROR(__xludf.DUMMYFUNCTION("GOOGLETRANSLATE(B5349,""en"",""hy"")"),"Ռուսաստան")</f>
        <v>Ռուսաստան</v>
      </c>
    </row>
    <row r="5350">
      <c r="A5350" s="5" t="s">
        <v>7509</v>
      </c>
      <c r="B5350" s="5" t="s">
        <v>7510</v>
      </c>
      <c r="C5350" s="5" t="str">
        <f>IFERROR(__xludf.DUMMYFUNCTION("GOOGLETRANSLATE(A5350,""en"",""hy"")"),"Ո՞րն է արծաթի քիմիական նշանը:")</f>
        <v>Ո՞րն է արծաթի քիմիական նշանը:</v>
      </c>
      <c r="D5350" s="6" t="str">
        <f>IFERROR(__xludf.DUMMYFUNCTION("GOOGLETRANSLATE(B5350,""en"",""hy"")"),"Ագ")</f>
        <v>Ագ</v>
      </c>
    </row>
    <row r="5351">
      <c r="A5351" s="5" t="s">
        <v>7960</v>
      </c>
      <c r="B5351" s="5" t="s">
        <v>7961</v>
      </c>
      <c r="C5351" s="5" t="str">
        <f>IFERROR(__xludf.DUMMYFUNCTION("GOOGLETRANSLATE(A5351,""en"",""hy"")"),"Ո՞ր տարում է խորտակվել Տիտանիկը:")</f>
        <v>Ո՞ր տարում է խորտակվել Տիտանիկը:</v>
      </c>
      <c r="D5351" s="6" t="str">
        <f>IFERROR(__xludf.DUMMYFUNCTION("GOOGLETRANSLATE(B5351,""en"",""hy"")"),"Տիտանիկը խորտակվել է 1912 թվականին։")</f>
        <v>Տիտանիկը խորտակվել է 1912 թվականին։</v>
      </c>
    </row>
    <row r="5352">
      <c r="A5352" s="5" t="s">
        <v>8388</v>
      </c>
      <c r="B5352" s="5" t="s">
        <v>8655</v>
      </c>
      <c r="C5352" s="5" t="str">
        <f>IFERROR(__xludf.DUMMYFUNCTION("GOOGLETRANSLATE(A5352,""en"",""hy"")"),"Ո՞րն է աշխարհի ամենաբարձր ծառատեսակը:")</f>
        <v>Ո՞րն է աշխարհի ամենաբարձր ծառատեսակը:</v>
      </c>
      <c r="D5352" s="6" t="str">
        <f>IFERROR(__xludf.DUMMYFUNCTION("GOOGLETRANSLATE(B5352,""en"",""hy"")"),"Ափամերձ կարմրածայտը աշխարհի ամենաբարձր ծառատեսակն է:")</f>
        <v>Ափամերձ կարմրածայտը աշխարհի ամենաբարձր ծառատեսակն է:</v>
      </c>
    </row>
    <row r="5353">
      <c r="A5353" s="5" t="s">
        <v>8439</v>
      </c>
      <c r="B5353" s="5" t="s">
        <v>7621</v>
      </c>
      <c r="C5353" s="5" t="str">
        <f>IFERROR(__xludf.DUMMYFUNCTION("GOOGLETRANSLATE(A5353,""en"",""hy"")"),"Ո՞վ է նկարել «Վեներայի ծնունդը» նկարը:")</f>
        <v>Ո՞վ է նկարել «Վեներայի ծնունդը» նկարը:</v>
      </c>
      <c r="D5353" s="6" t="str">
        <f>IFERROR(__xludf.DUMMYFUNCTION("GOOGLETRANSLATE(B5353,""en"",""hy"")"),"Սանդրո Բոտիչելի.")</f>
        <v>Սանդրո Բոտիչելի.</v>
      </c>
    </row>
    <row r="5354">
      <c r="A5354" s="5" t="s">
        <v>7500</v>
      </c>
      <c r="B5354" s="5" t="s">
        <v>7501</v>
      </c>
      <c r="C5354" s="5" t="str">
        <f>IFERROR(__xludf.DUMMYFUNCTION("GOOGLETRANSLATE(A5354,""en"",""hy"")"),"Ո՞րն է Ֆրանսիայի մայրաքաղաքը:")</f>
        <v>Ո՞րն է Ֆրանսիայի մայրաքաղաքը:</v>
      </c>
      <c r="D5354" s="6" t="str">
        <f>IFERROR(__xludf.DUMMYFUNCTION("GOOGLETRANSLATE(B5354,""en"",""hy"")"),"Փարիզ.")</f>
        <v>Փարիզ.</v>
      </c>
    </row>
    <row r="5355">
      <c r="A5355" s="5" t="s">
        <v>8129</v>
      </c>
      <c r="B5355" s="5" t="s">
        <v>8130</v>
      </c>
      <c r="C5355" s="5" t="str">
        <f>IFERROR(__xludf.DUMMYFUNCTION("GOOGLETRANSLATE(A5355,""en"",""hy"")"),"Քանի՞ ժամային գոտի կա աշխարհում:")</f>
        <v>Քանի՞ ժամային գոտի կա աշխարհում:</v>
      </c>
      <c r="D5355" s="6" t="str">
        <f>IFERROR(__xludf.DUMMYFUNCTION("GOOGLETRANSLATE(B5355,""en"",""hy"")"),"Աշխարհում կա 24 ժամային գոտի:")</f>
        <v>Աշխարհում կա 24 ժամային գոտի:</v>
      </c>
    </row>
    <row r="5356">
      <c r="A5356" s="5" t="s">
        <v>8656</v>
      </c>
      <c r="B5356" s="5" t="s">
        <v>7607</v>
      </c>
      <c r="C5356" s="5" t="str">
        <f>IFERROR(__xludf.DUMMYFUNCTION("GOOGLETRANSLATE(A5356,""en"",""hy"")"),"Ո՞վ է հայտնի էվոլյուցիայի տեսությամբ:")</f>
        <v>Ո՞վ է հայտնի էվոլյուցիայի տեսությամբ:</v>
      </c>
      <c r="D5356" s="6" t="str">
        <f>IFERROR(__xludf.DUMMYFUNCTION("GOOGLETRANSLATE(B5356,""en"",""hy"")"),"Չարլզ Դարվին.")</f>
        <v>Չարլզ Դարվին.</v>
      </c>
    </row>
    <row r="5357">
      <c r="A5357" s="5" t="s">
        <v>7893</v>
      </c>
      <c r="B5357" s="5" t="s">
        <v>8657</v>
      </c>
      <c r="C5357" s="5" t="str">
        <f>IFERROR(__xludf.DUMMYFUNCTION("GOOGLETRANSLATE(A5357,""en"",""hy"")"),"Ո՞րն է կալիումի քիմիական նշանը:")</f>
        <v>Ո՞րն է կալիումի քիմիական նշանը:</v>
      </c>
      <c r="D5357" s="6" t="str">
        <f>IFERROR(__xludf.DUMMYFUNCTION("GOOGLETRANSLATE(B5357,""en"",""hy"")"),"Կալիումի քիմիական նշանն է «K»:")</f>
        <v>Կալիումի քիմիական նշանն է «K»:</v>
      </c>
    </row>
    <row r="5358">
      <c r="A5358" s="5" t="s">
        <v>8658</v>
      </c>
      <c r="B5358" s="5" t="s">
        <v>8315</v>
      </c>
      <c r="C5358" s="5" t="str">
        <f>IFERROR(__xludf.DUMMYFUNCTION("GOOGLETRANSLATE(A5358,""en"",""hy"")"),"Ո՞ր տարում ավարտվեց Սառը պատերազմը:")</f>
        <v>Ո՞ր տարում ավարտվեց Սառը պատերազմը:</v>
      </c>
      <c r="D5358" s="6" t="str">
        <f>IFERROR(__xludf.DUMMYFUNCTION("GOOGLETRANSLATE(B5358,""en"",""hy"")"),"Սառը պատերազմն ավարտվեց 1991թ.")</f>
        <v>Սառը պատերազմն ավարտվեց 1991թ.</v>
      </c>
    </row>
    <row r="5359">
      <c r="A5359" s="5" t="s">
        <v>7850</v>
      </c>
      <c r="B5359" s="5" t="s">
        <v>8301</v>
      </c>
      <c r="C5359" s="5" t="str">
        <f>IFERROR(__xludf.DUMMYFUNCTION("GOOGLETRANSLATE(A5359,""en"",""hy"")"),"Ո՞րն է մեր արեգակնային համակարգի ամենափոքր մոլորակը:")</f>
        <v>Ո՞րն է մեր արեգակնային համակարգի ամենափոքր մոլորակը:</v>
      </c>
      <c r="D5359" s="6" t="str">
        <f>IFERROR(__xludf.DUMMYFUNCTION("GOOGLETRANSLATE(B5359,""en"",""hy"")"),"Մերկուրի.")</f>
        <v>Մերկուրի.</v>
      </c>
    </row>
    <row r="5360">
      <c r="A5360" s="5" t="s">
        <v>7726</v>
      </c>
      <c r="B5360" s="5" t="s">
        <v>1016</v>
      </c>
      <c r="C5360" s="5" t="str">
        <f>IFERROR(__xludf.DUMMYFUNCTION("GOOGLETRANSLATE(A5360,""en"",""hy"")"),"Ո՞վ է գրել «Մակբեթ» պիեսը։")</f>
        <v>Ո՞վ է գրել «Մակբեթ» պիեսը։</v>
      </c>
      <c r="D5360" s="6" t="str">
        <f>IFERROR(__xludf.DUMMYFUNCTION("GOOGLETRANSLATE(B5360,""en"",""hy"")"),"Ուիլյամ Շեքսպիր.")</f>
        <v>Ուիլյամ Շեքսպիր.</v>
      </c>
    </row>
    <row r="5361">
      <c r="A5361" s="5" t="s">
        <v>8659</v>
      </c>
      <c r="B5361" s="5" t="s">
        <v>8660</v>
      </c>
      <c r="C5361" s="5" t="str">
        <f>IFERROR(__xludf.DUMMYFUNCTION("GOOGLETRANSLATE(A5361,""en"",""hy"")"),"Ո՞ր երկիրն է հայտնի Սերենգետի ազգային պարկով:")</f>
        <v>Ո՞ր երկիրն է հայտնի Սերենգետի ազգային պարկով:</v>
      </c>
      <c r="D5361" s="6" t="str">
        <f>IFERROR(__xludf.DUMMYFUNCTION("GOOGLETRANSLATE(B5361,""en"",""hy"")"),"Տանզանիա.")</f>
        <v>Տանզանիա.</v>
      </c>
    </row>
    <row r="5362">
      <c r="A5362" s="5" t="s">
        <v>8308</v>
      </c>
      <c r="B5362" s="5" t="s">
        <v>8661</v>
      </c>
      <c r="C5362" s="5" t="str">
        <f>IFERROR(__xludf.DUMMYFUNCTION("GOOGLETRANSLATE(A5362,""en"",""hy"")"),"Ո՞վ է հունական իմաստության աստվածուհին:")</f>
        <v>Ո՞վ է հունական իմաստության աստվածուհին:</v>
      </c>
      <c r="D5362" s="6" t="str">
        <f>IFERROR(__xludf.DUMMYFUNCTION("GOOGLETRANSLATE(B5362,""en"",""hy"")"),"Հունական իմաստության աստվածուհին Աթենան է:")</f>
        <v>Հունական իմաստության աստվածուհին Աթենան է:</v>
      </c>
    </row>
    <row r="5363">
      <c r="A5363" s="5" t="s">
        <v>8662</v>
      </c>
      <c r="B5363" s="5" t="s">
        <v>8663</v>
      </c>
      <c r="C5363" s="5" t="str">
        <f>IFERROR(__xludf.DUMMYFUNCTION("GOOGLETRANSLATE(A5363,""en"",""hy"")"),"Ո՞րն է աշխարհի ամենամեծ քաղաքն ըստ տարածքի:")</f>
        <v>Ո՞րն է աշխարհի ամենամեծ քաղաքն ըստ տարածքի:</v>
      </c>
      <c r="D5363" s="6" t="str">
        <f>IFERROR(__xludf.DUMMYFUNCTION("GOOGLETRANSLATE(B5363,""en"",""hy"")"),"Տարածքով աշխարհի ամենամեծ քաղաքը Չինաստանի Հուլունբուիրն է։")</f>
        <v>Տարածքով աշխարհի ամենամեծ քաղաքը Չինաստանի Հուլունբուիրն է։</v>
      </c>
    </row>
    <row r="5364">
      <c r="A5364" s="5" t="s">
        <v>7890</v>
      </c>
      <c r="B5364" s="5" t="s">
        <v>7661</v>
      </c>
      <c r="C5364" s="5" t="str">
        <f>IFERROR(__xludf.DUMMYFUNCTION("GOOGLETRANSLATE(A5364,""en"",""hy"")"),"Ո՞վ է գրել «Մեծն Գեթսբի» վեպը:")</f>
        <v>Ո՞վ է գրել «Մեծն Գեթսբի» վեպը:</v>
      </c>
      <c r="D5364" s="6" t="str">
        <f>IFERROR(__xludf.DUMMYFUNCTION("GOOGLETRANSLATE(B5364,""en"",""hy"")"),"F. Scott Fitzgerald.")</f>
        <v>F. Scott Fitzgerald.</v>
      </c>
    </row>
    <row r="5365">
      <c r="A5365" s="5" t="s">
        <v>7626</v>
      </c>
      <c r="B5365" s="5" t="s">
        <v>8066</v>
      </c>
      <c r="C5365" s="5" t="str">
        <f>IFERROR(__xludf.DUMMYFUNCTION("GOOGLETRANSLATE(A5365,""en"",""hy"")"),"Ո՞րն է Գերմանիայի մայրաքաղաքը:")</f>
        <v>Ո՞րն է Գերմանիայի մայրաքաղաքը:</v>
      </c>
      <c r="D5365" s="6" t="str">
        <f>IFERROR(__xludf.DUMMYFUNCTION("GOOGLETRANSLATE(B5365,""en"",""hy"")"),"Բեռլին.")</f>
        <v>Բեռլին.</v>
      </c>
    </row>
    <row r="5366">
      <c r="A5366" s="5" t="s">
        <v>7502</v>
      </c>
      <c r="B5366" s="5" t="s">
        <v>7503</v>
      </c>
      <c r="C5366" s="5" t="str">
        <f>IFERROR(__xludf.DUMMYFUNCTION("GOOGLETRANSLATE(A5366,""en"",""hy"")"),"Քանի՞ կողմ ունի վեցանկյունը:")</f>
        <v>Քանի՞ կողմ ունի վեցանկյունը:</v>
      </c>
      <c r="D5366" s="6" t="str">
        <f>IFERROR(__xludf.DUMMYFUNCTION("GOOGLETRANSLATE(B5366,""en"",""hy"")"),"Վեցանկյունն ունի վեց կողմ:")</f>
        <v>Վեցանկյունն ունի վեց կողմ:</v>
      </c>
    </row>
    <row r="5367">
      <c r="A5367" s="5" t="s">
        <v>8664</v>
      </c>
      <c r="B5367" s="5" t="s">
        <v>7731</v>
      </c>
      <c r="C5367" s="5" t="str">
        <f>IFERROR(__xludf.DUMMYFUNCTION("GOOGLETRANSLATE(A5367,""en"",""hy"")"),"Ո՞վ է Նարնիայի քրոնիկները գրքերի շարքի հեղինակը:")</f>
        <v>Ո՞վ է Նարնիայի քրոնիկները գրքերի շարքի հեղինակը:</v>
      </c>
      <c r="D5367" s="6" t="str">
        <f>IFERROR(__xludf.DUMMYFUNCTION("GOOGLETRANSLATE(B5367,""en"",""hy"")"),"C.S. Լյուիս")</f>
        <v>C.S. Լյուիս</v>
      </c>
    </row>
    <row r="5368">
      <c r="A5368" s="5" t="s">
        <v>7817</v>
      </c>
      <c r="B5368" s="5" t="s">
        <v>7818</v>
      </c>
      <c r="C5368" s="5" t="str">
        <f>IFERROR(__xludf.DUMMYFUNCTION("GOOGLETRANSLATE(A5368,""en"",""hy"")"),"Ո՞րն է Կանադայի ազգային կենդանին:")</f>
        <v>Ո՞րն է Կանադայի ազգային կենդանին:</v>
      </c>
      <c r="D5368" s="6" t="str">
        <f>IFERROR(__xludf.DUMMYFUNCTION("GOOGLETRANSLATE(B5368,""en"",""hy"")"),"Կանադայի ազգային կենդանին կեղևն է:")</f>
        <v>Կանադայի ազգային կենդանին կեղևն է:</v>
      </c>
    </row>
    <row r="5369">
      <c r="A5369" s="5" t="s">
        <v>8665</v>
      </c>
      <c r="B5369" s="5" t="s">
        <v>8201</v>
      </c>
      <c r="C5369" s="5" t="str">
        <f>IFERROR(__xludf.DUMMYFUNCTION("GOOGLETRANSLATE(A5369,""en"",""hy"")"),"Ո՞ր երկիրն է հայտնի Ակրոպոլիսով:")</f>
        <v>Ո՞ր երկիրն է հայտնի Ակրոպոլիսով:</v>
      </c>
      <c r="D5369" s="6" t="str">
        <f>IFERROR(__xludf.DUMMYFUNCTION("GOOGLETRANSLATE(B5369,""en"",""hy"")"),"Հունաստան.")</f>
        <v>Հունաստան.</v>
      </c>
    </row>
    <row r="5370">
      <c r="A5370" s="5" t="s">
        <v>7875</v>
      </c>
      <c r="B5370" s="5" t="s">
        <v>7876</v>
      </c>
      <c r="C5370" s="5" t="str">
        <f>IFERROR(__xludf.DUMMYFUNCTION("GOOGLETRANSLATE(A5370,""en"",""hy"")"),"Ո՞րն է ազոտի քիմիական նշանը:")</f>
        <v>Ո՞րն է ազոտի քիմիական նշանը:</v>
      </c>
      <c r="D5370" s="6" t="str">
        <f>IFERROR(__xludf.DUMMYFUNCTION("GOOGLETRANSLATE(B5370,""en"",""hy"")"),"Ազոտի քիմիական նշանն է N.")</f>
        <v>Ազոտի քիմիական նշանն է N.</v>
      </c>
    </row>
    <row r="5371">
      <c r="A5371" s="5" t="s">
        <v>8666</v>
      </c>
      <c r="B5371" s="5" t="s">
        <v>7673</v>
      </c>
      <c r="C5371" s="5" t="str">
        <f>IFERROR(__xludf.DUMMYFUNCTION("GOOGLETRANSLATE(A5371,""en"",""hy"")"),"Ո՞ր երկրում կարող եք գտնել Ամազոնի անձրևային անտառը:")</f>
        <v>Ո՞ր երկրում կարող եք գտնել Ամազոնի անձրևային անտառը:</v>
      </c>
      <c r="D5371" s="6" t="str">
        <f>IFERROR(__xludf.DUMMYFUNCTION("GOOGLETRANSLATE(B5371,""en"",""hy"")"),"Բրազիլիա.")</f>
        <v>Բրազիլիա.</v>
      </c>
    </row>
    <row r="5372">
      <c r="A5372" s="5" t="s">
        <v>7654</v>
      </c>
      <c r="B5372" s="5" t="s">
        <v>7556</v>
      </c>
      <c r="C5372" s="5" t="str">
        <f>IFERROR(__xludf.DUMMYFUNCTION("GOOGLETRANSLATE(A5372,""en"",""hy"")"),"Ո՞վ է հայտնի որպես «Ժամանակակից ֆիզիկայի հայր»:")</f>
        <v>Ո՞վ է հայտնի որպես «Ժամանակակից ֆիզիկայի հայր»:</v>
      </c>
      <c r="D5372" s="6" t="str">
        <f>IFERROR(__xludf.DUMMYFUNCTION("GOOGLETRANSLATE(B5372,""en"",""hy"")"),"Albert Einstein.")</f>
        <v>Albert Einstein.</v>
      </c>
    </row>
    <row r="5373">
      <c r="A5373" s="5" t="s">
        <v>7489</v>
      </c>
      <c r="B5373" s="5" t="s">
        <v>7490</v>
      </c>
      <c r="C5373" s="5" t="str">
        <f>IFERROR(__xludf.DUMMYFUNCTION("GOOGLETRANSLATE(A5373,""en"",""hy"")"),"Ո՞րն է աշխարհի ամենաբարձր շենքը:")</f>
        <v>Ո՞րն է աշխարհի ամենաբարձր շենքը:</v>
      </c>
      <c r="D5373" s="6" t="str">
        <f>IFERROR(__xludf.DUMMYFUNCTION("GOOGLETRANSLATE(B5373,""en"",""hy"")"),"Աշխարհի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5374">
      <c r="A5374" s="5" t="s">
        <v>8667</v>
      </c>
      <c r="B5374" s="5" t="s">
        <v>7710</v>
      </c>
      <c r="C5374" s="5" t="str">
        <f>IFERROR(__xludf.DUMMYFUNCTION("GOOGLETRANSLATE(A5374,""en"",""hy"")"),"Ո՞վ է նկարել «Գերնիկա» ստեղծագործությունը:")</f>
        <v>Ո՞վ է նկարել «Գերնիկա» ստեղծագործությունը:</v>
      </c>
      <c r="D5374" s="6" t="str">
        <f>IFERROR(__xludf.DUMMYFUNCTION("GOOGLETRANSLATE(B5374,""en"",""hy"")"),"Պաբլո Պիկասո.")</f>
        <v>Պաբլո Պիկասո.</v>
      </c>
    </row>
    <row r="5375">
      <c r="A5375" s="5" t="s">
        <v>7536</v>
      </c>
      <c r="B5375" s="5" t="s">
        <v>7870</v>
      </c>
      <c r="C5375" s="5" t="str">
        <f>IFERROR(__xludf.DUMMYFUNCTION("GOOGLETRANSLATE(A5375,""en"",""hy"")"),"Ո՞րն է Ռուսաստանի մայրաքաղաքը:")</f>
        <v>Ո՞րն է Ռուսաստանի մայրաքաղաքը:</v>
      </c>
      <c r="D5375" s="6" t="str">
        <f>IFERROR(__xludf.DUMMYFUNCTION("GOOGLETRANSLATE(B5375,""en"",""hy"")"),"Մոսկվա.")</f>
        <v>Մոսկվա.</v>
      </c>
    </row>
    <row r="5376">
      <c r="A5376" s="5" t="s">
        <v>8062</v>
      </c>
      <c r="B5376" s="5" t="s">
        <v>8063</v>
      </c>
      <c r="C5376" s="5" t="str">
        <f>IFERROR(__xludf.DUMMYFUNCTION("GOOGLETRANSLATE(A5376,""en"",""hy"")"),"Քանի՞ խաղացող կա ֆուտբոլային թիմում:")</f>
        <v>Քանի՞ խաղացող կա ֆուտբոլային թիմում:</v>
      </c>
      <c r="D5376" s="6" t="str">
        <f>IFERROR(__xludf.DUMMYFUNCTION("GOOGLETRANSLATE(B5376,""en"",""hy"")"),"Ֆուտբոլային թիմում կա 11 խաղացող։")</f>
        <v>Ֆուտբոլային թիմում կա 11 խաղացող։</v>
      </c>
    </row>
    <row r="5377">
      <c r="A5377" s="5" t="s">
        <v>8630</v>
      </c>
      <c r="B5377" s="5" t="s">
        <v>7556</v>
      </c>
      <c r="C5377" s="5" t="str">
        <f>IFERROR(__xludf.DUMMYFUNCTION("GOOGLETRANSLATE(A5377,""en"",""hy"")"),"Ո՞վ է հայտնի հարաբերականության տեսությամբ:")</f>
        <v>Ո՞վ է հայտնի հարաբերականության տեսությամբ:</v>
      </c>
      <c r="D5377" s="6" t="str">
        <f>IFERROR(__xludf.DUMMYFUNCTION("GOOGLETRANSLATE(B5377,""en"",""hy"")"),"Albert Einstein.")</f>
        <v>Albert Einstein.</v>
      </c>
    </row>
    <row r="5378">
      <c r="A5378" s="5" t="s">
        <v>7557</v>
      </c>
      <c r="B5378" s="5" t="s">
        <v>7558</v>
      </c>
      <c r="C5378" s="5" t="str">
        <f>IFERROR(__xludf.DUMMYFUNCTION("GOOGLETRANSLATE(A5378,""en"",""hy"")"),"Ո՞րն է երկաթի քիմիական նշանը:")</f>
        <v>Ո՞րն է երկաթի քիմիական նշանը:</v>
      </c>
      <c r="D5378" s="6" t="str">
        <f>IFERROR(__xludf.DUMMYFUNCTION("GOOGLETRANSLATE(B5378,""en"",""hy"")"),"Ֆե")</f>
        <v>Ֆե</v>
      </c>
    </row>
    <row r="5379">
      <c r="A5379" s="5" t="s">
        <v>8668</v>
      </c>
      <c r="B5379" s="5" t="s">
        <v>8669</v>
      </c>
      <c r="C5379" s="5" t="str">
        <f>IFERROR(__xludf.DUMMYFUNCTION("GOOGLETRANSLATE(A5379,""en"",""hy"")"),"Ո՞ր թվականին է ստորագրվել Magna Carta-ն Անգլիայում:")</f>
        <v>Ո՞ր թվականին է ստորագրվել Magna Carta-ն Անգլիայում:</v>
      </c>
      <c r="D5379" s="6" t="str">
        <f>IFERROR(__xludf.DUMMYFUNCTION("GOOGLETRANSLATE(B5379,""en"",""hy"")"),"Magna Carta-ն ստորագրվել է Անգլիայում 1215 թվականին։")</f>
        <v>Magna Carta-ն ստորագրվել է Անգլիայում 1215 թվականին։</v>
      </c>
    </row>
    <row r="5380">
      <c r="A5380" s="5" t="s">
        <v>8670</v>
      </c>
      <c r="B5380" s="5" t="s">
        <v>8671</v>
      </c>
      <c r="C5380" s="5" t="str">
        <f>IFERROR(__xludf.DUMMYFUNCTION("GOOGLETRANSLATE(A5380,""en"",""hy"")"),"Ո՞վ է գրել «Հեքլբերի Ֆիննի արկածները» վեպը:")</f>
        <v>Ո՞վ է գրել «Հեքլբերի Ֆիննի արկածները» վեպը:</v>
      </c>
      <c r="D5380" s="6" t="str">
        <f>IFERROR(__xludf.DUMMYFUNCTION("GOOGLETRANSLATE(B5380,""en"",""hy"")"),"Մարկ Տվեն.")</f>
        <v>Մարկ Տվեն.</v>
      </c>
    </row>
    <row r="5381">
      <c r="A5381" s="5" t="s">
        <v>7500</v>
      </c>
      <c r="B5381" s="5" t="s">
        <v>7501</v>
      </c>
      <c r="C5381" s="5" t="str">
        <f>IFERROR(__xludf.DUMMYFUNCTION("GOOGLETRANSLATE(A5381,""en"",""hy"")"),"Ո՞րն է Ֆրանսիայի մայրաքաղաքը:")</f>
        <v>Ո՞րն է Ֆրանսիայի մայրաքաղաքը:</v>
      </c>
      <c r="D5381" s="6" t="str">
        <f>IFERROR(__xludf.DUMMYFUNCTION("GOOGLETRANSLATE(B5381,""en"",""hy"")"),"Փարիզ.")</f>
        <v>Փարիզ.</v>
      </c>
    </row>
    <row r="5382">
      <c r="A5382" s="5" t="s">
        <v>7769</v>
      </c>
      <c r="B5382" s="5" t="s">
        <v>7486</v>
      </c>
      <c r="C5382" s="5" t="str">
        <f>IFERROR(__xludf.DUMMYFUNCTION("GOOGLETRANSLATE(A5382,""en"",""hy"")"),"Ո՞վ է Հարրի Փոթերի գրքերի շարքի հեղինակը:")</f>
        <v>Ո՞վ է Հարրի Փոթերի գրքերի շարքի հեղինակը:</v>
      </c>
      <c r="D5382" s="6" t="str">
        <f>IFERROR(__xludf.DUMMYFUNCTION("GOOGLETRANSLATE(B5382,""en"",""hy"")"),"Ջ.Կ. Ռոուլինգ.")</f>
        <v>Ջ.Կ. Ռոուլինգ.</v>
      </c>
    </row>
    <row r="5383">
      <c r="A5383" s="5" t="s">
        <v>7779</v>
      </c>
      <c r="B5383" s="5" t="s">
        <v>7446</v>
      </c>
      <c r="C5383" s="5" t="str">
        <f>IFERROR(__xludf.DUMMYFUNCTION("GOOGLETRANSLATE(A5383,""en"",""hy"")"),"Ո՞ր մոլորակն է հայտնի որպես «Կարմիր մոլորակ»:")</f>
        <v>Ո՞ր մոլորակն է հայտնի որպես «Կարմիր մոլորակ»:</v>
      </c>
      <c r="D5383" s="6" t="str">
        <f>IFERROR(__xludf.DUMMYFUNCTION("GOOGLETRANSLATE(B5383,""en"",""hy"")"),"Մարս.")</f>
        <v>Մարս.</v>
      </c>
    </row>
    <row r="5384">
      <c r="A5384" s="5" t="s">
        <v>8672</v>
      </c>
      <c r="B5384" s="5" t="s">
        <v>7921</v>
      </c>
      <c r="C5384" s="5" t="str">
        <f>IFERROR(__xludf.DUMMYFUNCTION("GOOGLETRANSLATE(A5384,""en"",""hy"")"),"Ո՞ր երկրում կգտնեք Թաջ Մահալը:")</f>
        <v>Ո՞ր երկրում կգտնեք Թաջ Մահալը:</v>
      </c>
      <c r="D5384" s="6" t="str">
        <f>IFERROR(__xludf.DUMMYFUNCTION("GOOGLETRANSLATE(B5384,""en"",""hy"")"),"Հնդկաստան.")</f>
        <v>Հնդկաստան.</v>
      </c>
    </row>
    <row r="5385">
      <c r="A5385" s="5" t="s">
        <v>7447</v>
      </c>
      <c r="B5385" s="5" t="s">
        <v>7448</v>
      </c>
      <c r="C5385" s="5" t="str">
        <f>IFERROR(__xludf.DUMMYFUNCTION("GOOGLETRANSLATE(A5385,""en"",""hy"")"),"Ո՞վ է նկարել Մոնա Լիզան:")</f>
        <v>Ո՞վ է նկարել Մոնա Լիզան:</v>
      </c>
      <c r="D5385" s="6" t="str">
        <f>IFERROR(__xludf.DUMMYFUNCTION("GOOGLETRANSLATE(B5385,""en"",""hy"")"),"Լեոնարդո դա Վինչի.")</f>
        <v>Լեոնարդո դա Վինչի.</v>
      </c>
    </row>
    <row r="5386">
      <c r="A5386" s="5" t="s">
        <v>7455</v>
      </c>
      <c r="B5386" s="5" t="s">
        <v>7646</v>
      </c>
      <c r="C5386" s="5" t="str">
        <f>IFERROR(__xludf.DUMMYFUNCTION("GOOGLETRANSLATE(A5386,""en"",""hy"")"),"Ո՞րն է աշխարհի ամենամեծ օվկիանոսը:")</f>
        <v>Ո՞րն է աշխարհի ամենամեծ օվկիանոսը:</v>
      </c>
      <c r="D5386" s="6" t="str">
        <f>IFERROR(__xludf.DUMMYFUNCTION("GOOGLETRANSLATE(B5386,""en"",""hy"")"),"Խաղաղ օվկիանոս.")</f>
        <v>Խաղաղ օվկիանոս.</v>
      </c>
    </row>
    <row r="5387">
      <c r="A5387" s="5" t="s">
        <v>8020</v>
      </c>
      <c r="B5387" s="5" t="s">
        <v>7961</v>
      </c>
      <c r="C5387" s="5" t="str">
        <f>IFERROR(__xludf.DUMMYFUNCTION("GOOGLETRANSLATE(A5387,""en"",""hy"")"),"Ո՞ր թվականին է խորտակվել Տիտանիկը:")</f>
        <v>Ո՞ր թվականին է խորտակվել Տիտանիկը:</v>
      </c>
      <c r="D5387" s="6" t="str">
        <f>IFERROR(__xludf.DUMMYFUNCTION("GOOGLETRANSLATE(B5387,""en"",""hy"")"),"Տիտանիկը խորտակվել է 1912 թվականին։")</f>
        <v>Տիտանիկը խորտակվել է 1912 թվականին։</v>
      </c>
    </row>
    <row r="5388">
      <c r="A5388" s="5" t="s">
        <v>8240</v>
      </c>
      <c r="B5388" s="5" t="s">
        <v>7635</v>
      </c>
      <c r="C5388" s="5" t="str">
        <f>IFERROR(__xludf.DUMMYFUNCTION("GOOGLETRANSLATE(A5388,""en"",""hy"")"),"Ո՞վ էր առաջին մարդը, ով ոտք դրեց լուսնի վրա:")</f>
        <v>Ո՞վ էր առաջին մարդը, ով ոտք դրեց լուսնի վրա:</v>
      </c>
      <c r="D5388" s="6" t="str">
        <f>IFERROR(__xludf.DUMMYFUNCTION("GOOGLETRANSLATE(B5388,""en"",""hy"")"),"Նիլ Արմսթրոնգ.")</f>
        <v>Նիլ Արմսթրոնգ.</v>
      </c>
    </row>
    <row r="5389">
      <c r="A5389" s="5" t="s">
        <v>7452</v>
      </c>
      <c r="B5389" s="5" t="s">
        <v>7453</v>
      </c>
      <c r="C5389" s="5" t="str">
        <f>IFERROR(__xludf.DUMMYFUNCTION("GOOGLETRANSLATE(A5389,""en"",""hy"")"),"Ո՞րն է ոսկու քիմիական նշանը:")</f>
        <v>Ո՞րն է ոսկու քիմիական նշանը:</v>
      </c>
      <c r="D5389" s="6" t="str">
        <f>IFERROR(__xludf.DUMMYFUNCTION("GOOGLETRANSLATE(B5389,""en"",""hy"")"),"Ոսկու քիմիական նշանը Au-ն է:")</f>
        <v>Ոսկու քիմիական նշանը Au-ն է:</v>
      </c>
    </row>
    <row r="5390">
      <c r="A5390" s="5" t="s">
        <v>7463</v>
      </c>
      <c r="B5390" s="5" t="s">
        <v>7464</v>
      </c>
      <c r="C5390" s="5" t="str">
        <f>IFERROR(__xludf.DUMMYFUNCTION("GOOGLETRANSLATE(A5390,""en"",""hy"")"),"Ո՞րն է աշխարհի ամենաբարձր լեռը:")</f>
        <v>Ո՞րն է աշխարհի ամենաբարձր լեռը:</v>
      </c>
      <c r="D5390" s="6" t="str">
        <f>IFERROR(__xludf.DUMMYFUNCTION("GOOGLETRANSLATE(B5390,""en"",""hy"")"),"Էվերեստ լեռ.")</f>
        <v>Էվերեստ լեռ.</v>
      </c>
    </row>
    <row r="5391">
      <c r="A5391" s="5" t="s">
        <v>8673</v>
      </c>
      <c r="B5391" s="5" t="s">
        <v>8674</v>
      </c>
      <c r="C5391" s="5" t="str">
        <f>IFERROR(__xludf.DUMMYFUNCTION("GOOGLETRANSLATE(A5391,""en"",""hy"")"),"Քանի՞ դյույմ կա ոտքի վրա:")</f>
        <v>Քանի՞ դյույմ կա ոտքի վրա:</v>
      </c>
      <c r="D5391" s="6" t="str">
        <f>IFERROR(__xludf.DUMMYFUNCTION("GOOGLETRANSLATE(B5391,""en"",""hy"")"),"Ոտքի մեջ կա 12 դյույմ:")</f>
        <v>Ոտքի մեջ կա 12 դյույմ:</v>
      </c>
    </row>
    <row r="5392">
      <c r="A5392" s="5" t="s">
        <v>8028</v>
      </c>
      <c r="B5392" s="5" t="s">
        <v>79</v>
      </c>
      <c r="C5392" s="5" t="str">
        <f>IFERROR(__xludf.DUMMYFUNCTION("GOOGLETRANSLATE(A5392,""en"",""hy"")"),"Ո՞րն է Կանադայի ազգային սպորտը:")</f>
        <v>Ո՞րն է Կանադայի ազգային սպորտը:</v>
      </c>
      <c r="D5392" s="6" t="str">
        <f>IFERROR(__xludf.DUMMYFUNCTION("GOOGLETRANSLATE(B5392,""en"",""hy"")"),"Հոկեյ.")</f>
        <v>Հոկեյ.</v>
      </c>
    </row>
    <row r="5393">
      <c r="A5393" s="5" t="s">
        <v>8103</v>
      </c>
      <c r="B5393" s="5" t="s">
        <v>7767</v>
      </c>
      <c r="C5393" s="5" t="str">
        <f>IFERROR(__xludf.DUMMYFUNCTION("GOOGLETRANSLATE(A5393,""en"",""hy"")"),"Ո՞րն է Աֆրիկայի ամենաերկար գետը:")</f>
        <v>Ո՞րն է Աֆրիկայի ամենաերկար գետը:</v>
      </c>
      <c r="D5393" s="6" t="str">
        <f>IFERROR(__xludf.DUMMYFUNCTION("GOOGLETRANSLATE(B5393,""en"",""hy"")"),"Նեղոս.")</f>
        <v>Նեղոս.</v>
      </c>
    </row>
    <row r="5394">
      <c r="A5394" s="5" t="s">
        <v>8108</v>
      </c>
      <c r="B5394" s="5" t="s">
        <v>7556</v>
      </c>
      <c r="C5394" s="5" t="str">
        <f>IFERROR(__xludf.DUMMYFUNCTION("GOOGLETRANSLATE(A5394,""en"",""hy"")"),"Ո՞ր հայտնի գիտնականն է մշակել հարաբերականության տեսությունը:")</f>
        <v>Ո՞ր հայտնի գիտնականն է մշակել հարաբերականության տեսությունը:</v>
      </c>
      <c r="D5394" s="6" t="str">
        <f>IFERROR(__xludf.DUMMYFUNCTION("GOOGLETRANSLATE(B5394,""en"",""hy"")"),"Albert Einstein.")</f>
        <v>Albert Einstein.</v>
      </c>
    </row>
    <row r="5395">
      <c r="A5395" s="5" t="s">
        <v>7454</v>
      </c>
      <c r="B5395" s="5" t="s">
        <v>1016</v>
      </c>
      <c r="C5395" s="5" t="str">
        <f>IFERROR(__xludf.DUMMYFUNCTION("GOOGLETRANSLATE(A5395,""en"",""hy"")"),"Ո՞վ է գրել Ռոմեո և Ջուլիետ պիեսը:")</f>
        <v>Ո՞վ է գրել Ռոմեո և Ջուլիետ պիեսը:</v>
      </c>
      <c r="D5395" s="6" t="str">
        <f>IFERROR(__xludf.DUMMYFUNCTION("GOOGLETRANSLATE(B5395,""en"",""hy"")"),"Ուիլյամ Շեքսպիր.")</f>
        <v>Ուիլյամ Շեքսպիր.</v>
      </c>
    </row>
    <row r="5396">
      <c r="A5396" s="5" t="s">
        <v>7589</v>
      </c>
      <c r="B5396" s="5" t="s">
        <v>7545</v>
      </c>
      <c r="C5396" s="5" t="str">
        <f>IFERROR(__xludf.DUMMYFUNCTION("GOOGLETRANSLATE(A5396,""en"",""hy"")"),"Ո՞րն է Իտալիայի մայրաքաղաքը:")</f>
        <v>Ո՞րն է Իտալիայի մայրաքաղաքը:</v>
      </c>
      <c r="D5396" s="6" t="str">
        <f>IFERROR(__xludf.DUMMYFUNCTION("GOOGLETRANSLATE(B5396,""en"",""hy"")"),"Հռոմ.")</f>
        <v>Հռոմ.</v>
      </c>
    </row>
    <row r="5397">
      <c r="A5397" s="5" t="s">
        <v>7461</v>
      </c>
      <c r="B5397" s="5" t="s">
        <v>7639</v>
      </c>
      <c r="C5397" s="5" t="str">
        <f>IFERROR(__xludf.DUMMYFUNCTION("GOOGLETRANSLATE(A5397,""en"",""hy"")"),"Ո՞րն է մարդու մարմնի ամենամեծ օրգանը:")</f>
        <v>Ո՞րն է մարդու մարմնի ամենամեծ օրգանը:</v>
      </c>
      <c r="D5397" s="6" t="str">
        <f>IFERROR(__xludf.DUMMYFUNCTION("GOOGLETRANSLATE(B5397,""en"",""hy"")"),"Մարդու մարմնի ամենամեծ օրգանը մաշկն է։")</f>
        <v>Մարդու մարմնի ամենամեծ օրգանը մաշկն է։</v>
      </c>
    </row>
    <row r="5398">
      <c r="A5398" s="5" t="s">
        <v>8138</v>
      </c>
      <c r="B5398" s="5" t="s">
        <v>1319</v>
      </c>
      <c r="C5398" s="5" t="str">
        <f>IFERROR(__xludf.DUMMYFUNCTION("GOOGLETRANSLATE(A5398,""en"",""hy"")"),"Ո՞րն է Բրազիլիայում խոսվող հիմնական լեզուն:")</f>
        <v>Ո՞րն է Բրազիլիայում խոսվող հիմնական լեզուն:</v>
      </c>
      <c r="D5398" s="6" t="str">
        <f>IFERROR(__xludf.DUMMYFUNCTION("GOOGLETRANSLATE(B5398,""en"",""hy"")"),"Բրազիլիայում խոսվող հիմնական լեզուն պորտուգալերենն է։")</f>
        <v>Բրազիլիայում խոսվող հիմնական լեզուն պորտուգալերենն է։</v>
      </c>
    </row>
    <row r="5399">
      <c r="A5399" s="5" t="s">
        <v>8246</v>
      </c>
      <c r="B5399" s="5" t="s">
        <v>7648</v>
      </c>
      <c r="C5399" s="5" t="str">
        <f>IFERROR(__xludf.DUMMYFUNCTION("GOOGLETRANSLATE(A5399,""en"",""hy"")"),"Ո՞վ է նկարել հայտնի «Աստղային գիշերը» արվեստի գործը:")</f>
        <v>Ո՞վ է նկարել հայտնի «Աստղային գիշերը» արվեստի գործը:</v>
      </c>
      <c r="D5399" s="6" t="str">
        <f>IFERROR(__xludf.DUMMYFUNCTION("GOOGLETRANSLATE(B5399,""en"",""hy"")"),"Վինսենթ վան Գոգ.")</f>
        <v>Վինսենթ վան Գոգ.</v>
      </c>
    </row>
    <row r="5400">
      <c r="A5400" s="5" t="s">
        <v>8011</v>
      </c>
      <c r="B5400" s="7">
        <v>1945.0</v>
      </c>
      <c r="C5400" s="5" t="str">
        <f>IFERROR(__xludf.DUMMYFUNCTION("GOOGLETRANSLATE(A5400,""en"",""hy"")"),"Ո՞ր թվականին ավարտվեց Երկրորդ համաշխարհային պատերազմը:")</f>
        <v>Ո՞ր թվականին ավարտվեց Երկրորդ համաշխարհային պատերազմը:</v>
      </c>
      <c r="D5400" s="6" t="str">
        <f>IFERROR(__xludf.DUMMYFUNCTION("GOOGLETRANSLATE(B5400,""en"",""hy"")"),"1945 թ")</f>
        <v>1945 թ</v>
      </c>
    </row>
    <row r="5401">
      <c r="A5401" s="5" t="s">
        <v>8106</v>
      </c>
      <c r="B5401" s="5" t="s">
        <v>7916</v>
      </c>
      <c r="C5401" s="5" t="str">
        <f>IFERROR(__xludf.DUMMYFUNCTION("GOOGLETRANSLATE(A5401,""en"",""hy"")"),"Քանի՞ ոսկոր կա մարդու մարմնում:")</f>
        <v>Քանի՞ ոսկոր կա մարդու մարմնում:</v>
      </c>
      <c r="D5401" s="6" t="str">
        <f>IFERROR(__xludf.DUMMYFUNCTION("GOOGLETRANSLATE(B5401,""en"",""hy"")"),"Մարդու մարմնում կա 206 ոսկոր։")</f>
        <v>Մարդու մարմնում կա 206 ոսկոր։</v>
      </c>
    </row>
    <row r="5402">
      <c r="A5402" s="5" t="s">
        <v>7467</v>
      </c>
      <c r="B5402" s="5" t="s">
        <v>7468</v>
      </c>
      <c r="C5402" s="5" t="str">
        <f>IFERROR(__xludf.DUMMYFUNCTION("GOOGLETRANSLATE(A5402,""en"",""hy"")"),"Ո՞րն է Ճապոնիայի արժույթը:")</f>
        <v>Ո՞րն է Ճապոնիայի արժույթը:</v>
      </c>
      <c r="D5402" s="6" t="str">
        <f>IFERROR(__xludf.DUMMYFUNCTION("GOOGLETRANSLATE(B5402,""en"",""hy"")"),"Ճապոնիայի արժույթը ճապոնական իենն է։")</f>
        <v>Ճապոնիայի արժույթը ճապոնական իենն է։</v>
      </c>
    </row>
    <row r="5403">
      <c r="A5403" s="5" t="s">
        <v>7461</v>
      </c>
      <c r="B5403" s="5" t="s">
        <v>8675</v>
      </c>
      <c r="C5403" s="5" t="str">
        <f>IFERROR(__xludf.DUMMYFUNCTION("GOOGLETRANSLATE(A5403,""en"",""hy"")"),"Ո՞րն է մարդու մարմնի ամենամեծ օրգանը:")</f>
        <v>Ո՞րն է մարդու մարմնի ամենամեծ օրգանը:</v>
      </c>
      <c r="D5403" s="6" t="str">
        <f>IFERROR(__xludf.DUMMYFUNCTION("GOOGLETRANSLATE(B5403,""en"",""hy"")"),"Մաշկը մարդու մարմնի ամենամեծ օրգանն է։")</f>
        <v>Մաշկը մարդու մարմնի ամենամեծ օրգանն է։</v>
      </c>
    </row>
    <row r="5404">
      <c r="A5404" s="5" t="s">
        <v>7479</v>
      </c>
      <c r="B5404" s="5" t="s">
        <v>1996</v>
      </c>
      <c r="C5404" s="5" t="str">
        <f>IFERROR(__xludf.DUMMYFUNCTION("GOOGLETRANSLATE(A5404,""en"",""hy"")"),"Ո՞վ է Միացյալ Թագավորության ներկայիս վարչապետը:")</f>
        <v>Ո՞վ է Միացյալ Թագավորության ներկայիս վարչապետը:</v>
      </c>
      <c r="D5404" s="6" t="str">
        <f>IFERROR(__xludf.DUMMYFUNCTION("GOOGLETRANSLATE(B5404,""en"",""hy"")"),"Բորիս Ջոնսոն.")</f>
        <v>Բորիս Ջոնսոն.</v>
      </c>
    </row>
    <row r="5405">
      <c r="A5405" s="5" t="s">
        <v>7450</v>
      </c>
      <c r="B5405" s="5" t="s">
        <v>7451</v>
      </c>
      <c r="C5405" s="5" t="str">
        <f>IFERROR(__xludf.DUMMYFUNCTION("GOOGLETRANSLATE(A5405,""en"",""hy"")"),"Ո՞րն է Ավստրալիայի մայրաքաղաքը:")</f>
        <v>Ո՞րն է Ավստրալիայի մայրաքաղաքը:</v>
      </c>
      <c r="D5405" s="6" t="str">
        <f>IFERROR(__xludf.DUMMYFUNCTION("GOOGLETRANSLATE(B5405,""en"",""hy"")"),"Կանբերա.")</f>
        <v>Կանբերա.</v>
      </c>
    </row>
    <row r="5406">
      <c r="A5406" s="5" t="s">
        <v>8676</v>
      </c>
      <c r="B5406" s="5" t="s">
        <v>8677</v>
      </c>
      <c r="C5406" s="5" t="str">
        <f>IFERROR(__xludf.DUMMYFUNCTION("GOOGLETRANSLATE(A5406,""en"",""hy"")"),"Ո՞րն է շոկոլադի հիմնական բաղադրիչը:")</f>
        <v>Ո՞րն է շոկոլադի հիմնական բաղադրիչը:</v>
      </c>
      <c r="D5406" s="6" t="str">
        <f>IFERROR(__xludf.DUMMYFUNCTION("GOOGLETRANSLATE(B5406,""en"",""hy"")"),"Շոկոլադի հիմնական բաղադրիչը կակաոյի հատիկներն են։")</f>
        <v>Շոկոլադի հիմնական բաղադրիչը կակաոյի հատիկներն են։</v>
      </c>
    </row>
    <row r="5407">
      <c r="A5407" s="5" t="s">
        <v>8051</v>
      </c>
      <c r="B5407" s="5" t="s">
        <v>8052</v>
      </c>
      <c r="C5407" s="5" t="str">
        <f>IFERROR(__xludf.DUMMYFUNCTION("GOOGLETRANSLATE(A5407,""en"",""hy"")"),"Ո՞վ է Microsoft-ի հիմնադիրը:")</f>
        <v>Ո՞վ է Microsoft-ի հիմնադիրը:</v>
      </c>
      <c r="D5407" s="6" t="str">
        <f>IFERROR(__xludf.DUMMYFUNCTION("GOOGLETRANSLATE(B5407,""en"",""hy"")"),"Բիլ Գեյթս.")</f>
        <v>Բիլ Գեյթս.</v>
      </c>
    </row>
    <row r="5408">
      <c r="A5408" s="5" t="s">
        <v>8678</v>
      </c>
      <c r="B5408" s="5" t="s">
        <v>3700</v>
      </c>
      <c r="C5408" s="5" t="str">
        <f>IFERROR(__xludf.DUMMYFUNCTION("GOOGLETRANSLATE(A5408,""en"",""hy"")"),"Ո՞ր երկրում է գտնվում Չինական մեծ պարիսպը:")</f>
        <v>Ո՞ր երկրում է գտնվում Չինական մեծ պարիսպը:</v>
      </c>
      <c r="D5408" s="6" t="str">
        <f>IFERROR(__xludf.DUMMYFUNCTION("GOOGLETRANSLATE(B5408,""en"",""hy"")"),"Չինաստան")</f>
        <v>Չինաստան</v>
      </c>
    </row>
    <row r="5409">
      <c r="A5409" s="5" t="s">
        <v>8679</v>
      </c>
      <c r="B5409" s="5" t="s">
        <v>8463</v>
      </c>
      <c r="C5409" s="5" t="str">
        <f>IFERROR(__xludf.DUMMYFUNCTION("GOOGLETRANSLATE(A5409,""en"",""hy"")"),"Ո՞վ է «Սպանել ծաղրող թռչունին» գրքի հեղինակը.")</f>
        <v>Ո՞վ է «Սպանել ծաղրող թռչունին» գրքի հեղինակը.</v>
      </c>
      <c r="D5409" s="6" t="str">
        <f>IFERROR(__xludf.DUMMYFUNCTION("GOOGLETRANSLATE(B5409,""en"",""hy"")"),"Հարփեր Լի")</f>
        <v>Հարփեր Լի</v>
      </c>
    </row>
    <row r="5410">
      <c r="A5410" s="5" t="s">
        <v>8254</v>
      </c>
      <c r="B5410" s="5" t="s">
        <v>3535</v>
      </c>
      <c r="C5410" s="5" t="str">
        <f>IFERROR(__xludf.DUMMYFUNCTION("GOOGLETRANSLATE(A5410,""en"",""hy"")"),"Ո՞րն է աշխարհի ամենափոքր մայրցամաքը:")</f>
        <v>Ո՞րն է աշխարհի ամենափոքր մայրցամաքը:</v>
      </c>
      <c r="D5410" s="6" t="str">
        <f>IFERROR(__xludf.DUMMYFUNCTION("GOOGLETRANSLATE(B5410,""en"",""hy"")"),"Ավստրալիա.")</f>
        <v>Ավստրալիա.</v>
      </c>
    </row>
    <row r="5411">
      <c r="A5411" s="5" t="s">
        <v>8395</v>
      </c>
      <c r="B5411" s="5" t="s">
        <v>8295</v>
      </c>
      <c r="C5411" s="5" t="str">
        <f>IFERROR(__xludf.DUMMYFUNCTION("GOOGLETRANSLATE(A5411,""en"",""hy"")"),"Ո՞րն է ջրի քիմիական նշանը:")</f>
        <v>Ո՞րն է ջրի քիմիական նշանը:</v>
      </c>
      <c r="D5411" s="6" t="str">
        <f>IFERROR(__xludf.DUMMYFUNCTION("GOOGLETRANSLATE(B5411,""en"",""hy"")"),"H2O")</f>
        <v>H2O</v>
      </c>
    </row>
    <row r="5412">
      <c r="A5412" s="5" t="s">
        <v>7457</v>
      </c>
      <c r="B5412" s="5" t="s">
        <v>7458</v>
      </c>
      <c r="C5412" s="5" t="str">
        <f>IFERROR(__xludf.DUMMYFUNCTION("GOOGLETRANSLATE(A5412,""en"",""hy"")"),"Ո՞վ է եղել Միացյալ Նահանգների առաջին նախագահը:")</f>
        <v>Ո՞վ է եղել Միացյալ Նահանգների առաջին նախագահը:</v>
      </c>
      <c r="D5412" s="6" t="str">
        <f>IFERROR(__xludf.DUMMYFUNCTION("GOOGLETRANSLATE(B5412,""en"",""hy"")"),"Ջորջ Վաշինգտոն.")</f>
        <v>Ջորջ Վաշինգտոն.</v>
      </c>
    </row>
    <row r="5413">
      <c r="A5413" s="5" t="s">
        <v>7817</v>
      </c>
      <c r="B5413" s="5" t="s">
        <v>8680</v>
      </c>
      <c r="C5413" s="5" t="str">
        <f>IFERROR(__xludf.DUMMYFUNCTION("GOOGLETRANSLATE(A5413,""en"",""hy"")"),"Ո՞րն է Կանադայի ազգային կենդանին:")</f>
        <v>Ո՞րն է Կանադայի ազգային կենդանին:</v>
      </c>
      <c r="D5413" s="6" t="str">
        <f>IFERROR(__xludf.DUMMYFUNCTION("GOOGLETRANSLATE(B5413,""en"",""hy"")"),"Բիվերը.")</f>
        <v>Բիվերը.</v>
      </c>
    </row>
    <row r="5414">
      <c r="A5414" s="5" t="s">
        <v>8681</v>
      </c>
      <c r="B5414" s="8" t="s">
        <v>8682</v>
      </c>
      <c r="C5414" s="5" t="str">
        <f>IFERROR(__xludf.DUMMYFUNCTION("GOOGLETRANSLATE(A5414,""en"",""hy"")"),"Ե՞րբ է ստորագրվել Անկախության հռչակագիրը։")</f>
        <v>Ե՞րբ է ստորագրվել Անկախության հռչակագիրը։</v>
      </c>
      <c r="D5414" s="6" t="str">
        <f>IFERROR(__xludf.DUMMYFUNCTION("GOOGLETRANSLATE(B5414,""en"",""hy"")"),"4 հուլիսի 1776 թ")</f>
        <v>4 հուլիսի 1776 թ</v>
      </c>
    </row>
    <row r="5415">
      <c r="A5415" s="5" t="s">
        <v>8310</v>
      </c>
      <c r="B5415" s="5" t="s">
        <v>7585</v>
      </c>
      <c r="C5415" s="5" t="str">
        <f>IFERROR(__xludf.DUMMYFUNCTION("GOOGLETRANSLATE(A5415,""en"",""hy"")"),"Ո՞վ է նկարել հայտնի «Ճիչ»-ը:")</f>
        <v>Ո՞վ է նկարել հայտնի «Ճիչ»-ը:</v>
      </c>
      <c r="D5415" s="6" t="str">
        <f>IFERROR(__xludf.DUMMYFUNCTION("GOOGLETRANSLATE(B5415,""en"",""hy"")"),"Էդվարդ Մունկ.")</f>
        <v>Էդվարդ Մունկ.</v>
      </c>
    </row>
    <row r="5416">
      <c r="A5416" s="5" t="s">
        <v>8683</v>
      </c>
      <c r="B5416" s="5" t="s">
        <v>7512</v>
      </c>
      <c r="C5416" s="5" t="str">
        <f>IFERROR(__xludf.DUMMYFUNCTION("GOOGLETRANSLATE(A5416,""en"",""hy"")"),"Ո՞ր երկրում կգտնեք Գիզայի բուրգերը:")</f>
        <v>Ո՞ր երկրում կգտնեք Գիզայի բուրգերը:</v>
      </c>
      <c r="D5416" s="6" t="str">
        <f>IFERROR(__xludf.DUMMYFUNCTION("GOOGLETRANSLATE(B5416,""en"",""hy"")"),"Եգիպտոս.")</f>
        <v>Եգիպտոս.</v>
      </c>
    </row>
    <row r="5417">
      <c r="A5417" s="5" t="s">
        <v>7502</v>
      </c>
      <c r="B5417" s="5" t="s">
        <v>7503</v>
      </c>
      <c r="C5417" s="5" t="str">
        <f>IFERROR(__xludf.DUMMYFUNCTION("GOOGLETRANSLATE(A5417,""en"",""hy"")"),"Քանի՞ կողմ ունի վեցանկյունը:")</f>
        <v>Քանի՞ կողմ ունի վեցանկյունը:</v>
      </c>
      <c r="D5417" s="6" t="str">
        <f>IFERROR(__xludf.DUMMYFUNCTION("GOOGLETRANSLATE(B5417,""en"",""hy"")"),"Վեցանկյունն ունի վեց կողմ:")</f>
        <v>Վեցանկյունն ունի վեց կողմ:</v>
      </c>
    </row>
    <row r="5418">
      <c r="A5418" s="5" t="s">
        <v>8161</v>
      </c>
      <c r="B5418" s="5" t="s">
        <v>8162</v>
      </c>
      <c r="C5418" s="5" t="str">
        <f>IFERROR(__xludf.DUMMYFUNCTION("GOOGLETRANSLATE(A5418,""en"",""hy"")"),"Ո՞րն է Ճապոնիայի ազգային ծաղիկը:")</f>
        <v>Ո՞րն է Ճապոնիայի ազգային ծաղիկը:</v>
      </c>
      <c r="D5418" s="6" t="str">
        <f>IFERROR(__xludf.DUMMYFUNCTION("GOOGLETRANSLATE(B5418,""en"",""hy"")"),"Ճապոնիայի ազգային ծաղիկը բալի ծաղիկն է:")</f>
        <v>Ճապոնիայի ազգային ծաղիկը բալի ծաղիկն է:</v>
      </c>
    </row>
    <row r="5419">
      <c r="A5419" s="5" t="s">
        <v>7504</v>
      </c>
      <c r="B5419" s="5" t="s">
        <v>7505</v>
      </c>
      <c r="C5419" s="5" t="str">
        <f>IFERROR(__xludf.DUMMYFUNCTION("GOOGLETRANSLATE(A5419,""en"",""hy"")"),"Ո՞վ է Միացյալ Նահանգների ներկայիս նախագահը:")</f>
        <v>Ո՞վ է Միացյալ Նահանգների ներկայիս նախագահը:</v>
      </c>
      <c r="D5419" s="6" t="str">
        <f>IFERROR(__xludf.DUMMYFUNCTION("GOOGLETRANSLATE(B5419,""en"",""hy"")"),"Ջո Բայդեն.")</f>
        <v>Ջո Բայդեն.</v>
      </c>
    </row>
    <row r="5420">
      <c r="A5420" s="5" t="s">
        <v>7608</v>
      </c>
      <c r="B5420" s="5" t="s">
        <v>7609</v>
      </c>
      <c r="C5420" s="5" t="str">
        <f>IFERROR(__xludf.DUMMYFUNCTION("GOOGLETRANSLATE(A5420,""en"",""hy"")"),"Ո՞րն է Հնդկաստանի մայրաքաղաքը:")</f>
        <v>Ո՞րն է Հնդկաստանի մայրաքաղաքը:</v>
      </c>
      <c r="D5420" s="6" t="str">
        <f>IFERROR(__xludf.DUMMYFUNCTION("GOOGLETRANSLATE(B5420,""en"",""hy"")"),"Նյու Դելի.")</f>
        <v>Նյու Դելի.</v>
      </c>
    </row>
    <row r="5421">
      <c r="A5421" s="5" t="s">
        <v>7449</v>
      </c>
      <c r="B5421" s="5" t="s">
        <v>8141</v>
      </c>
      <c r="C5421" s="5" t="str">
        <f>IFERROR(__xludf.DUMMYFUNCTION("GOOGLETRANSLATE(A5421,""en"",""hy"")"),"Ո՞րն է աշխարհի ամենամեծ երկիրը ցամաքային տարածքով:")</f>
        <v>Ո՞րն է աշխարհի ամենամեծ երկիրը ցամաքային տարածքով:</v>
      </c>
      <c r="D5421" s="6" t="str">
        <f>IFERROR(__xludf.DUMMYFUNCTION("GOOGLETRANSLATE(B5421,""en"",""hy"")"),"Ռուսաստան")</f>
        <v>Ռուսաստան</v>
      </c>
    </row>
    <row r="5422">
      <c r="A5422" s="5" t="s">
        <v>8684</v>
      </c>
      <c r="B5422" s="5" t="s">
        <v>8685</v>
      </c>
      <c r="C5422" s="5" t="str">
        <f>IFERROR(__xludf.DUMMYFUNCTION("GOOGLETRANSLATE(A5422,""en"",""hy"")"),"Ո՞րն է Ռուսաստանում խոսվող հիմնական լեզուն:")</f>
        <v>Ո՞րն է Ռուսաստանում խոսվող հիմնական լեզուն:</v>
      </c>
      <c r="D5422" s="6" t="str">
        <f>IFERROR(__xludf.DUMMYFUNCTION("GOOGLETRANSLATE(B5422,""en"",""hy"")"),"Ռուսաստանում խոսվող հիմնական լեզուն ռուսերենն է։")</f>
        <v>Ռուսաստանում խոսվող հիմնական լեզուն ռուսերենն է։</v>
      </c>
    </row>
    <row r="5423">
      <c r="A5423" s="5" t="s">
        <v>8686</v>
      </c>
      <c r="B5423" s="5" t="s">
        <v>7444</v>
      </c>
      <c r="C5423" s="5" t="str">
        <f>IFERROR(__xludf.DUMMYFUNCTION("GOOGLETRANSLATE(A5423,""en"",""hy"")"),"Ո՞վ է գրել «1984» գիրքը։")</f>
        <v>Ո՞վ է գրել «1984» գիրքը։</v>
      </c>
      <c r="D5423" s="6" t="str">
        <f>IFERROR(__xludf.DUMMYFUNCTION("GOOGLETRANSLATE(B5423,""en"",""hy"")"),"Ջորջ Օրուել.")</f>
        <v>Ջորջ Օրուել.</v>
      </c>
    </row>
    <row r="5424">
      <c r="A5424" s="5" t="s">
        <v>8298</v>
      </c>
      <c r="B5424" s="7">
        <v>1989.0</v>
      </c>
      <c r="C5424" s="5" t="str">
        <f>IFERROR(__xludf.DUMMYFUNCTION("GOOGLETRANSLATE(A5424,""en"",""hy"")"),"Ո՞ր թվականին է փլվել Բեռլինի պատը:")</f>
        <v>Ո՞ր թվականին է փլվել Բեռլինի պատը:</v>
      </c>
      <c r="D5424" s="6" t="str">
        <f>IFERROR(__xludf.DUMMYFUNCTION("GOOGLETRANSLATE(B5424,""en"",""hy"")"),"1989 թ")</f>
        <v>1989 թ</v>
      </c>
    </row>
    <row r="5425">
      <c r="A5425" s="5" t="s">
        <v>8099</v>
      </c>
      <c r="B5425" s="5" t="s">
        <v>8579</v>
      </c>
      <c r="C5425" s="5" t="str">
        <f>IFERROR(__xludf.DUMMYFUNCTION("GOOGLETRANSLATE(A5425,""en"",""hy"")"),"Քանի՞ մոլորակ կա մեր արեգակնային համակարգում:")</f>
        <v>Քանի՞ մոլորակ կա մեր արեգակնային համակարգում:</v>
      </c>
      <c r="D5425" s="6" t="str">
        <f>IFERROR(__xludf.DUMMYFUNCTION("GOOGLETRANSLATE(B5425,""en"",""hy"")"),"Մեր Արեգակնային համակարգում կա 8 մոլորակ։")</f>
        <v>Մեր Արեգակնային համակարգում կա 8 մոլորակ։</v>
      </c>
    </row>
    <row r="5426">
      <c r="A5426" s="5" t="s">
        <v>7557</v>
      </c>
      <c r="B5426" s="5" t="s">
        <v>7857</v>
      </c>
      <c r="C5426" s="5" t="str">
        <f>IFERROR(__xludf.DUMMYFUNCTION("GOOGLETRANSLATE(A5426,""en"",""hy"")"),"Ո՞րն է երկաթի քիմիական նշանը:")</f>
        <v>Ո՞րն է երկաթի քիմիական նշանը:</v>
      </c>
      <c r="D5426" s="6" t="str">
        <f>IFERROR(__xludf.DUMMYFUNCTION("GOOGLETRANSLATE(B5426,""en"",""hy"")"),"Երկաթի քիմիական նշանը Fe է:")</f>
        <v>Երկաթի քիմիական նշանը Fe է:</v>
      </c>
    </row>
    <row r="5427">
      <c r="A5427" s="5" t="s">
        <v>8123</v>
      </c>
      <c r="B5427" s="5" t="s">
        <v>7448</v>
      </c>
      <c r="C5427" s="5" t="str">
        <f>IFERROR(__xludf.DUMMYFUNCTION("GOOGLETRANSLATE(A5427,""en"",""hy"")"),"Ո՞վ է նկարել հայտնի «Վերջին ընթրիքը» ստեղծագործությունը:")</f>
        <v>Ո՞վ է նկարել հայտնի «Վերջին ընթրիքը» ստեղծագործությունը:</v>
      </c>
      <c r="D5427" s="6" t="str">
        <f>IFERROR(__xludf.DUMMYFUNCTION("GOOGLETRANSLATE(B5427,""en"",""hy"")"),"Լեոնարդո դա Վինչի.")</f>
        <v>Լեոնարդո դա Վինչի.</v>
      </c>
    </row>
    <row r="5428">
      <c r="A5428" s="5" t="s">
        <v>8687</v>
      </c>
      <c r="B5428" s="5" t="s">
        <v>8471</v>
      </c>
      <c r="C5428" s="5" t="str">
        <f>IFERROR(__xludf.DUMMYFUNCTION("GOOGLETRANSLATE(A5428,""en"",""hy"")"),"Ո՞ր երկրում կգտնեք հնագույն Մաչու Պիկչու քաղաքը:")</f>
        <v>Ո՞ր երկրում կգտնեք հնագույն Մաչու Պիկչու քաղաքը:</v>
      </c>
      <c r="D5428" s="6" t="str">
        <f>IFERROR(__xludf.DUMMYFUNCTION("GOOGLETRANSLATE(B5428,""en"",""hy"")"),"Պերու.")</f>
        <v>Պերու.</v>
      </c>
    </row>
    <row r="5429">
      <c r="A5429" s="5" t="s">
        <v>7480</v>
      </c>
      <c r="B5429" s="5" t="s">
        <v>8688</v>
      </c>
      <c r="C5429" s="5" t="str">
        <f>IFERROR(__xludf.DUMMYFUNCTION("GOOGLETRANSLATE(A5429,""en"",""hy"")"),"Ո՞րն է Միացյալ Նահանգների ազգային թռչունը:")</f>
        <v>Ո՞րն է Միացյալ Նահանգների ազգային թռչունը:</v>
      </c>
      <c r="D5429" s="6" t="str">
        <f>IFERROR(__xludf.DUMMYFUNCTION("GOOGLETRANSLATE(B5429,""en"",""hy"")"),"Միացյալ Նահանգների ազգային թռչունը ճաղատ արծիվն է:")</f>
        <v>Միացյալ Նահանգների ազգային թռչունը ճաղատ արծիվն է:</v>
      </c>
    </row>
    <row r="5430">
      <c r="A5430" s="5" t="s">
        <v>7513</v>
      </c>
      <c r="B5430" s="5" t="s">
        <v>7514</v>
      </c>
      <c r="C5430" s="5" t="str">
        <f>IFERROR(__xludf.DUMMYFUNCTION("GOOGLETRANSLATE(A5430,""en"",""hy"")"),"Ո՞րն է աշխարհի ամենամեծ անապատը:")</f>
        <v>Ո՞րն է աշխարհի ամենամեծ անապատը:</v>
      </c>
      <c r="D5430" s="6" t="str">
        <f>IFERROR(__xludf.DUMMYFUNCTION("GOOGLETRANSLATE(B5430,""en"",""hy"")"),"Աշխարհի ամենամեծ անապատը Սահարա անապատն է։")</f>
        <v>Աշխարհի ամենամեծ անապատը Սահարա անապատն է։</v>
      </c>
    </row>
    <row r="5431">
      <c r="A5431" s="5" t="s">
        <v>8689</v>
      </c>
      <c r="B5431" s="5" t="s">
        <v>8690</v>
      </c>
      <c r="C5431" s="5" t="str">
        <f>IFERROR(__xludf.DUMMYFUNCTION("GOOGLETRANSLATE(A5431,""en"",""hy"")"),"Ո՞րն է բենզինի հիմնական բաղադրիչը:")</f>
        <v>Ո՞րն է բենզինի հիմնական բաղադրիչը:</v>
      </c>
      <c r="D5431" s="6" t="str">
        <f>IFERROR(__xludf.DUMMYFUNCTION("GOOGLETRANSLATE(B5431,""en"",""hy"")"),"Բենզինի հիմնական բաղադրիչը ածխաջրածիններն են։")</f>
        <v>Բենզինի հիմնական բաղադրիչը ածխաջրածիններն են։</v>
      </c>
    </row>
    <row r="5432">
      <c r="A5432" s="5" t="s">
        <v>8691</v>
      </c>
      <c r="B5432" s="5" t="s">
        <v>7466</v>
      </c>
      <c r="C5432" s="5" t="str">
        <f>IFERROR(__xludf.DUMMYFUNCTION("GOOGLETRANSLATE(A5432,""en"",""hy"")"),"Ո՞վ է «Հպարտություն և նախապաշարմունք» գրքի հեղինակը.")</f>
        <v>Ո՞վ է «Հպարտություն և նախապաշարմունք» գրքի հեղինակը.</v>
      </c>
      <c r="D5432" s="6" t="str">
        <f>IFERROR(__xludf.DUMMYFUNCTION("GOOGLETRANSLATE(B5432,""en"",""hy"")"),"Ջեյն Օսթին")</f>
        <v>Ջեյն Օսթին</v>
      </c>
    </row>
    <row r="5433">
      <c r="A5433" s="5" t="s">
        <v>7903</v>
      </c>
      <c r="B5433" s="5" t="s">
        <v>8261</v>
      </c>
      <c r="C5433" s="5" t="str">
        <f>IFERROR(__xludf.DUMMYFUNCTION("GOOGLETRANSLATE(A5433,""en"",""hy"")"),"Ո՞րն է Մեքսիկայի մայրաքաղաքը:")</f>
        <v>Ո՞րն է Մեքսիկայի մայրաքաղաքը:</v>
      </c>
      <c r="D5433" s="6" t="str">
        <f>IFERROR(__xludf.DUMMYFUNCTION("GOOGLETRANSLATE(B5433,""en"",""hy"")"),"Մեխիկո Սիթի.")</f>
        <v>Մեխիկո Սիթի.</v>
      </c>
    </row>
    <row r="5434">
      <c r="A5434" s="5" t="s">
        <v>7791</v>
      </c>
      <c r="B5434" s="5" t="s">
        <v>8128</v>
      </c>
      <c r="C5434" s="5" t="str">
        <f>IFERROR(__xludf.DUMMYFUNCTION("GOOGLETRANSLATE(A5434,""en"",""hy"")"),"Ո՞րն է Ավստրալիայի ազգային կենդանին:")</f>
        <v>Ո՞րն է Ավստրալիայի ազգային կենդանին:</v>
      </c>
      <c r="D5434" s="6" t="str">
        <f>IFERROR(__xludf.DUMMYFUNCTION("GOOGLETRANSLATE(B5434,""en"",""hy"")"),"Կենգուրու.")</f>
        <v>Կենգուրու.</v>
      </c>
    </row>
    <row r="5435">
      <c r="A5435" s="5" t="s">
        <v>8692</v>
      </c>
      <c r="B5435" s="5" t="s">
        <v>8693</v>
      </c>
      <c r="C5435" s="5" t="str">
        <f>IFERROR(__xludf.DUMMYFUNCTION("GOOGLETRANSLATE(A5435,""en"",""hy"")"),"Ո՞վ է եղել առաջինը, ով Նոբելյան մրցանակ է ստացել:")</f>
        <v>Ո՞վ է եղել առաջինը, ով Նոբելյան մրցանակ է ստացել:</v>
      </c>
      <c r="D5435" s="6" t="str">
        <f>IFERROR(__xludf.DUMMYFUNCTION("GOOGLETRANSLATE(B5435,""en"",""hy"")"),"Առաջինը, ով Նոբելյան մրցանակ է ստացել, եղել է Վիլհելմ Կոնրադ Ռենտգենը։")</f>
        <v>Առաջինը, ով Նոբելյան մրցանակ է ստացել, եղել է Վիլհելմ Կոնրադ Ռենտգենը։</v>
      </c>
    </row>
    <row r="5436">
      <c r="A5436" s="5" t="s">
        <v>8694</v>
      </c>
      <c r="B5436" s="7">
        <v>1776.0</v>
      </c>
      <c r="C5436" s="5" t="str">
        <f>IFERROR(__xludf.DUMMYFUNCTION("GOOGLETRANSLATE(A5436,""en"",""hy"")"),"Ո՞ր թվականին է Միացյալ Նահանգները հռչակել իր անկախությունը Մեծ Բրիտանիայից.")</f>
        <v>Ո՞ր թվականին է Միացյալ Նահանգները հռչակել իր անկախությունը Մեծ Բրիտանիայից.</v>
      </c>
      <c r="D5436" s="6" t="str">
        <f>IFERROR(__xludf.DUMMYFUNCTION("GOOGLETRANSLATE(B5436,""en"",""hy"")"),"1776 թ")</f>
        <v>1776 թ</v>
      </c>
    </row>
    <row r="5437">
      <c r="A5437" s="5" t="s">
        <v>7946</v>
      </c>
      <c r="B5437" s="5" t="s">
        <v>8111</v>
      </c>
      <c r="C5437" s="5" t="str">
        <f>IFERROR(__xludf.DUMMYFUNCTION("GOOGLETRANSLATE(A5437,""en"",""hy"")"),"Քանի՞ խաղացող կա ֆուտբոլային թիմում:")</f>
        <v>Քանի՞ խաղացող կա ֆուտբոլային թիմում:</v>
      </c>
      <c r="D5437" s="6" t="str">
        <f>IFERROR(__xludf.DUMMYFUNCTION("GOOGLETRANSLATE(B5437,""en"",""hy"")"),"Ֆուտբոլային թիմում կա 11 խաղացող։")</f>
        <v>Ֆուտբոլային թիմում կա 11 խաղացող։</v>
      </c>
    </row>
    <row r="5438">
      <c r="A5438" s="5" t="s">
        <v>7592</v>
      </c>
      <c r="B5438" s="5" t="s">
        <v>8257</v>
      </c>
      <c r="C5438" s="5" t="str">
        <f>IFERROR(__xludf.DUMMYFUNCTION("GOOGLETRANSLATE(A5438,""en"",""hy"")"),"Ո՞րն է թթվածնի քիմիական նշանը:")</f>
        <v>Ո՞րն է թթվածնի քիմիական նշանը:</v>
      </c>
      <c r="D5438" s="6" t="str">
        <f>IFERROR(__xludf.DUMMYFUNCTION("GOOGLETRANSLATE(B5438,""en"",""hy"")"),"Օ")</f>
        <v>Օ</v>
      </c>
    </row>
    <row r="5439">
      <c r="A5439" s="5" t="s">
        <v>8318</v>
      </c>
      <c r="B5439" s="5" t="s">
        <v>7549</v>
      </c>
      <c r="C5439" s="5" t="str">
        <f>IFERROR(__xludf.DUMMYFUNCTION("GOOGLETRANSLATE(A5439,""en"",""hy"")"),"Ո՞վ է նկարել հայտնի «Մարգարտյա ականջօղով աղջիկը» ստեղծագործությունը:")</f>
        <v>Ո՞վ է նկարել հայտնի «Մարգարտյա ականջօղով աղջիկը» ստեղծագործությունը:</v>
      </c>
      <c r="D5439" s="6" t="str">
        <f>IFERROR(__xludf.DUMMYFUNCTION("GOOGLETRANSLATE(B5439,""en"",""hy"")"),"Յոհաննես Վերմեեր.")</f>
        <v>Յոհաննես Վերմեեր.</v>
      </c>
    </row>
    <row r="5440">
      <c r="A5440" s="5" t="s">
        <v>8695</v>
      </c>
      <c r="B5440" s="5" t="s">
        <v>6334</v>
      </c>
      <c r="C5440" s="5" t="str">
        <f>IFERROR(__xludf.DUMMYFUNCTION("GOOGLETRANSLATE(A5440,""en"",""hy"")"),"Ո՞ր երկրում կգտնեք Պիզայի թեք աշտարակը:")</f>
        <v>Ո՞ր երկրում կգտնեք Պիզայի թեք աշտարակը:</v>
      </c>
      <c r="D5440" s="6" t="str">
        <f>IFERROR(__xludf.DUMMYFUNCTION("GOOGLETRANSLATE(B5440,""en"",""hy"")"),"Իտալիա.")</f>
        <v>Իտալիա.</v>
      </c>
    </row>
    <row r="5441">
      <c r="A5441" s="5" t="s">
        <v>8696</v>
      </c>
      <c r="B5441" s="5" t="s">
        <v>8697</v>
      </c>
      <c r="C5441" s="5" t="str">
        <f>IFERROR(__xludf.DUMMYFUNCTION("GOOGLETRANSLATE(A5441,""en"",""hy"")"),"Ո՞րն է Միացյալ Նահանգների ազգային սպորտը:")</f>
        <v>Ո՞րն է Միացյալ Նահանգների ազգային սպորտը:</v>
      </c>
      <c r="D5441" s="6" t="str">
        <f>IFERROR(__xludf.DUMMYFUNCTION("GOOGLETRANSLATE(B5441,""en"",""hy"")"),"Միացյալ Նահանգների ազգային սպորտը բեյսբոլն է։")</f>
        <v>Միացյալ Նահանգների ազգային սպորտը բեյսբոլն է։</v>
      </c>
    </row>
    <row r="5442">
      <c r="A5442" s="5" t="s">
        <v>7691</v>
      </c>
      <c r="B5442" s="5" t="s">
        <v>7692</v>
      </c>
      <c r="C5442" s="5" t="str">
        <f>IFERROR(__xludf.DUMMYFUNCTION("GOOGLETRANSLATE(A5442,""en"",""hy"")"),"Ո՞րն է Աֆրիկայի ամենամեծ լիճը:")</f>
        <v>Ո՞րն է Աֆրիկայի ամենամեծ լիճը:</v>
      </c>
      <c r="D5442" s="6" t="str">
        <f>IFERROR(__xludf.DUMMYFUNCTION("GOOGLETRANSLATE(B5442,""en"",""hy"")"),"Վիկտորիա լիճ.")</f>
        <v>Վիկտորիա լիճ.</v>
      </c>
    </row>
    <row r="5443">
      <c r="A5443" s="5" t="s">
        <v>8698</v>
      </c>
      <c r="B5443" s="5" t="s">
        <v>7956</v>
      </c>
      <c r="C5443" s="5" t="str">
        <f>IFERROR(__xludf.DUMMYFUNCTION("GOOGLETRANSLATE(A5443,""en"",""hy"")"),"Ո՞վ է հայտնաբերել գրավիտացիայի տեսությունը:")</f>
        <v>Ո՞վ է հայտնաբերել գրավիտացիայի տեսությունը:</v>
      </c>
      <c r="D5443" s="6" t="str">
        <f>IFERROR(__xludf.DUMMYFUNCTION("GOOGLETRANSLATE(B5443,""en"",""hy"")"),"Իսահակ Նյուտոն.")</f>
        <v>Իսահակ Նյուտոն.</v>
      </c>
    </row>
    <row r="5444">
      <c r="A5444" s="5" t="s">
        <v>8263</v>
      </c>
      <c r="B5444" s="5" t="s">
        <v>7661</v>
      </c>
      <c r="C5444" s="5" t="str">
        <f>IFERROR(__xludf.DUMMYFUNCTION("GOOGLETRANSLATE(A5444,""en"",""hy"")"),"Ո՞վ է «Մեծն Գեթսբի» գրքի հեղինակը.")</f>
        <v>Ո՞վ է «Մեծն Գեթսբի» գրքի հեղինակը.</v>
      </c>
      <c r="D5444" s="6" t="str">
        <f>IFERROR(__xludf.DUMMYFUNCTION("GOOGLETRANSLATE(B5444,""en"",""hy"")"),"F. Scott Fitzgerald.")</f>
        <v>F. Scott Fitzgerald.</v>
      </c>
    </row>
    <row r="5445">
      <c r="A5445" s="5" t="s">
        <v>7872</v>
      </c>
      <c r="B5445" s="5" t="s">
        <v>1307</v>
      </c>
      <c r="C5445" s="5" t="str">
        <f>IFERROR(__xludf.DUMMYFUNCTION("GOOGLETRANSLATE(A5445,""en"",""hy"")"),"Ո՞րն է Իսպանիայի մայրաքաղաքը:")</f>
        <v>Ո՞րն է Իսպանիայի մայրաքաղաքը:</v>
      </c>
      <c r="D5445" s="6" t="str">
        <f>IFERROR(__xludf.DUMMYFUNCTION("GOOGLETRANSLATE(B5445,""en"",""hy"")"),"Մադրիդ.")</f>
        <v>Մադրիդ.</v>
      </c>
    </row>
    <row r="5446">
      <c r="A5446" s="5" t="s">
        <v>8198</v>
      </c>
      <c r="B5446" s="5" t="s">
        <v>8699</v>
      </c>
      <c r="C5446" s="5" t="str">
        <f>IFERROR(__xludf.DUMMYFUNCTION("GOOGLETRANSLATE(A5446,""en"",""hy"")"),"Ո՞րն է Չինաստանի ազգային կենդանին:")</f>
        <v>Ո՞րն է Չինաստանի ազգային կենդանին:</v>
      </c>
      <c r="D5446" s="6" t="str">
        <f>IFERROR(__xludf.DUMMYFUNCTION("GOOGLETRANSLATE(B5446,""en"",""hy"")"),"Չինաստանի ազգային կենդանին հսկա պանդան է։")</f>
        <v>Չինաստանի ազգային կենդանին հսկա պանդան է։</v>
      </c>
    </row>
    <row r="5447">
      <c r="A5447" s="5" t="s">
        <v>7966</v>
      </c>
      <c r="B5447" s="5" t="s">
        <v>7967</v>
      </c>
      <c r="C5447" s="5" t="str">
        <f>IFERROR(__xludf.DUMMYFUNCTION("GOOGLETRANSLATE(A5447,""en"",""hy"")"),"Ո՞վ է եղել առաջին կինը, ով Նոբելյան մրցանակ է ստացել:")</f>
        <v>Ո՞վ է եղել առաջին կինը, ով Նոբելյան մրցանակ է ստացել:</v>
      </c>
      <c r="D5447" s="6" t="str">
        <f>IFERROR(__xludf.DUMMYFUNCTION("GOOGLETRANSLATE(B5447,""en"",""hy"")"),"Մարի Կյուրի.")</f>
        <v>Մարի Կյուրի.</v>
      </c>
    </row>
    <row r="5448">
      <c r="A5448" s="5" t="s">
        <v>8327</v>
      </c>
      <c r="B5448" s="7">
        <v>1914.0</v>
      </c>
      <c r="C5448" s="5" t="str">
        <f>IFERROR(__xludf.DUMMYFUNCTION("GOOGLETRANSLATE(A5448,""en"",""hy"")"),"Ո՞ր թվականին սկսվեց Առաջին համաշխարհային պատերազմը:")</f>
        <v>Ո՞ր թվականին սկսվեց Առաջին համաշխարհային պատերազմը:</v>
      </c>
      <c r="D5448" s="6" t="str">
        <f>IFERROR(__xludf.DUMMYFUNCTION("GOOGLETRANSLATE(B5448,""en"",""hy"")"),"1914 թ")</f>
        <v>1914 թ</v>
      </c>
    </row>
    <row r="5449">
      <c r="A5449" s="5" t="s">
        <v>7969</v>
      </c>
      <c r="B5449" s="5" t="s">
        <v>7970</v>
      </c>
      <c r="C5449" s="5" t="str">
        <f>IFERROR(__xludf.DUMMYFUNCTION("GOOGLETRANSLATE(A5449,""en"",""hy"")"),"Քանի՞ ոսկոր կա մարդու գանգում:")</f>
        <v>Քանի՞ ոսկոր կա մարդու գանգում:</v>
      </c>
      <c r="D5449" s="6" t="str">
        <f>IFERROR(__xludf.DUMMYFUNCTION("GOOGLETRANSLATE(B5449,""en"",""hy"")"),"Մարդու գանգում կա 22 ոսկոր։")</f>
        <v>Մարդու գանգում կա 22 ոսկոր։</v>
      </c>
    </row>
    <row r="5450">
      <c r="A5450" s="5" t="s">
        <v>8700</v>
      </c>
      <c r="B5450" s="5" t="s">
        <v>8701</v>
      </c>
      <c r="C5450" s="5" t="str">
        <f>IFERROR(__xludf.DUMMYFUNCTION("GOOGLETRANSLATE(A5450,""en"",""hy"")"),"Ո՞րն է Գերմանիայում խոսվող հիմնական լեզուն:")</f>
        <v>Ո՞րն է Գերմանիայում խոսվող հիմնական լեզուն:</v>
      </c>
      <c r="D5450" s="6" t="str">
        <f>IFERROR(__xludf.DUMMYFUNCTION("GOOGLETRANSLATE(B5450,""en"",""hy"")"),"Գերմանիայում խոսվող հիմնական լեզուն գերմաներենն է։")</f>
        <v>Գերմանիայում խոսվող հիմնական լեզուն գերմաներենն է։</v>
      </c>
    </row>
    <row r="5451">
      <c r="A5451" s="5" t="s">
        <v>7744</v>
      </c>
      <c r="B5451" s="5" t="s">
        <v>8218</v>
      </c>
      <c r="C5451" s="5" t="str">
        <f>IFERROR(__xludf.DUMMYFUNCTION("GOOGLETRANSLATE(A5451,""en"",""hy"")"),"Ո՞վ է նկարել հայտնի «Հիշողության համառությունը» ստեղծագործությունը:")</f>
        <v>Ո՞վ է նկարել հայտնի «Հիշողության համառությունը» ստեղծագործությունը:</v>
      </c>
      <c r="D5451" s="6" t="str">
        <f>IFERROR(__xludf.DUMMYFUNCTION("GOOGLETRANSLATE(B5451,""en"",""hy"")"),"Սալվադոր Դալի")</f>
        <v>Սալվադոր Դալի</v>
      </c>
    </row>
    <row r="5452">
      <c r="A5452" s="5" t="s">
        <v>8702</v>
      </c>
      <c r="B5452" s="5" t="s">
        <v>8703</v>
      </c>
      <c r="C5452" s="5" t="str">
        <f>IFERROR(__xludf.DUMMYFUNCTION("GOOGLETRANSLATE(A5452,""en"",""hy"")"),"Ո՞ր երկրում կգտնեք Ստամբուլ քաղաքը:")</f>
        <v>Ո՞ր երկրում կգտնեք Ստամբուլ քաղաքը:</v>
      </c>
      <c r="D5452" s="6" t="str">
        <f>IFERROR(__xludf.DUMMYFUNCTION("GOOGLETRANSLATE(B5452,""en"",""hy"")"),"Հնդկահավ.")</f>
        <v>Հնդկահավ.</v>
      </c>
    </row>
    <row r="5453">
      <c r="A5453" s="5" t="s">
        <v>7530</v>
      </c>
      <c r="B5453" s="5" t="s">
        <v>8568</v>
      </c>
      <c r="C5453" s="5" t="str">
        <f>IFERROR(__xludf.DUMMYFUNCTION("GOOGLETRANSLATE(A5453,""en"",""hy"")"),"Ո՞րն է Հնդկաստանի ազգային թռչունը:")</f>
        <v>Ո՞րն է Հնդկաստանի ազգային թռչունը:</v>
      </c>
      <c r="D5453" s="6" t="str">
        <f>IFERROR(__xludf.DUMMYFUNCTION("GOOGLETRANSLATE(B5453,""en"",""hy"")"),"Հնդկաստանի ազգային թռչունը հնդկական սիրամարգն է:")</f>
        <v>Հնդկաստանի ազգային թռչունը հնդկական սիրամարգն է:</v>
      </c>
    </row>
    <row r="5454">
      <c r="A5454" s="5" t="s">
        <v>8704</v>
      </c>
      <c r="B5454" s="5" t="s">
        <v>8705</v>
      </c>
      <c r="C5454" s="5" t="str">
        <f>IFERROR(__xludf.DUMMYFUNCTION("GOOGLETRANSLATE(A5454,""en"",""hy"")"),"Ո՞վ է Apple Inc.-ի հիմնադիրը:")</f>
        <v>Ո՞վ է Apple Inc.-ի հիմնադիրը:</v>
      </c>
      <c r="D5454" s="6" t="str">
        <f>IFERROR(__xludf.DUMMYFUNCTION("GOOGLETRANSLATE(B5454,""en"",""hy"")"),"Apple Inc.-ի հիմնադիրը Սթիվ Ջոբսն է։")</f>
        <v>Apple Inc.-ի հիմնադիրը Սթիվ Ջոբսն է։</v>
      </c>
    </row>
    <row r="5455">
      <c r="A5455" s="5" t="s">
        <v>7553</v>
      </c>
      <c r="B5455" s="5" t="s">
        <v>7249</v>
      </c>
      <c r="C5455" s="5" t="str">
        <f>IFERROR(__xludf.DUMMYFUNCTION("GOOGLETRANSLATE(A5455,""en"",""hy"")"),"Ո՞րն է Հարավային Աֆրիկայի մայրաքաղաքը:")</f>
        <v>Ո՞րն է Հարավային Աֆրիկայի մայրաքաղաքը:</v>
      </c>
      <c r="D5455" s="6" t="str">
        <f>IFERROR(__xludf.DUMMYFUNCTION("GOOGLETRANSLATE(B5455,""en"",""hy"")"),"Հարավային Աֆրիկայի մայրաքաղաքը Պրետորիան է։")</f>
        <v>Հարավային Աֆրիկայի մայրաքաղաքը Պրետորիան է։</v>
      </c>
    </row>
    <row r="5456">
      <c r="A5456" s="5" t="s">
        <v>8400</v>
      </c>
      <c r="B5456" s="5" t="s">
        <v>8706</v>
      </c>
      <c r="C5456" s="5" t="str">
        <f>IFERROR(__xludf.DUMMYFUNCTION("GOOGLETRANSLATE(A5456,""en"",""hy"")"),"Ո՞րն է օվկիանոսի ամենամեծ գիշատիչը:")</f>
        <v>Ո՞րն է օվկիանոսի ամենամեծ գիշատիչը:</v>
      </c>
      <c r="D5456" s="6" t="str">
        <f>IFERROR(__xludf.DUMMYFUNCTION("GOOGLETRANSLATE(B5456,""en"",""hy"")"),"Մեծ սպիտակ շնաձուկ.")</f>
        <v>Մեծ սպիտակ շնաձուկ.</v>
      </c>
    </row>
    <row r="5457">
      <c r="A5457" s="5" t="s">
        <v>7699</v>
      </c>
      <c r="B5457" s="5" t="s">
        <v>7700</v>
      </c>
      <c r="C5457" s="5" t="str">
        <f>IFERROR(__xludf.DUMMYFUNCTION("GOOGLETRANSLATE(A5457,""en"",""hy"")"),"Ո՞րն է ածխածնի քիմիական նշանը:")</f>
        <v>Ո՞րն է ածխածնի քիմիական նշանը:</v>
      </c>
      <c r="D5457" s="6" t="str">
        <f>IFERROR(__xludf.DUMMYFUNCTION("GOOGLETRANSLATE(B5457,""en"",""hy"")"),"Ածխածնի քիմիական նշանը C է:")</f>
        <v>Ածխածնի քիմիական նշանը C է:</v>
      </c>
    </row>
    <row r="5458">
      <c r="A5458" s="5" t="s">
        <v>7709</v>
      </c>
      <c r="B5458" s="5" t="s">
        <v>7710</v>
      </c>
      <c r="C5458" s="5" t="str">
        <f>IFERROR(__xludf.DUMMYFUNCTION("GOOGLETRANSLATE(A5458,""en"",""hy"")"),"Ո՞վ է նկարել հայտնի «Գերնիկա» արվեստի գործը:")</f>
        <v>Ո՞վ է նկարել հայտնի «Գերնիկա» արվեստի գործը:</v>
      </c>
      <c r="D5458" s="6" t="str">
        <f>IFERROR(__xludf.DUMMYFUNCTION("GOOGLETRANSLATE(B5458,""en"",""hy"")"),"Պաբլո Պիկասո.")</f>
        <v>Պաբլո Պիկասո.</v>
      </c>
    </row>
    <row r="5459">
      <c r="A5459" s="5" t="s">
        <v>8707</v>
      </c>
      <c r="B5459" s="5" t="s">
        <v>7994</v>
      </c>
      <c r="C5459" s="5" t="str">
        <f>IFERROR(__xludf.DUMMYFUNCTION("GOOGLETRANSLATE(A5459,""en"",""hy"")"),"Ո՞ր երկրում է գտնվում Ազատության արձանը:")</f>
        <v>Ո՞ր երկրում է գտնվում Ազատության արձանը:</v>
      </c>
      <c r="D5459" s="6" t="str">
        <f>IFERROR(__xludf.DUMMYFUNCTION("GOOGLETRANSLATE(B5459,""en"",""hy"")"),"Ազատության արձանը գտնվում է ԱՄՆ-ում։")</f>
        <v>Ազատության արձանը գտնվում է ԱՄՆ-ում։</v>
      </c>
    </row>
    <row r="5460">
      <c r="A5460" s="5" t="s">
        <v>8320</v>
      </c>
      <c r="B5460" s="5" t="s">
        <v>8273</v>
      </c>
      <c r="C5460" s="5" t="str">
        <f>IFERROR(__xludf.DUMMYFUNCTION("GOOGLETRANSLATE(A5460,""en"",""hy"")"),"Ո՞վ է «Աշորայի մեջ բռնողը» գրքի հեղինակը.")</f>
        <v>Ո՞վ է «Աշորայի մեջ բռնողը» գրքի հեղինակը.</v>
      </c>
      <c r="D5460" s="6" t="str">
        <f>IFERROR(__xludf.DUMMYFUNCTION("GOOGLETRANSLATE(B5460,""en"",""hy"")"),"Ջ.Դ.Սելինջեր")</f>
        <v>Ջ.Դ.Սելինջեր</v>
      </c>
    </row>
    <row r="5461">
      <c r="A5461" s="5" t="s">
        <v>8708</v>
      </c>
      <c r="B5461" s="5" t="s">
        <v>7507</v>
      </c>
      <c r="C5461" s="5" t="str">
        <f>IFERROR(__xludf.DUMMYFUNCTION("GOOGLETRANSLATE(A5461,""en"",""hy"")"),"Ո՞րն է աշխարհի ամենափոքր երկիրն ըստ ցամաքային տարածքի:")</f>
        <v>Ո՞րն է աշխարհի ամենափոքր երկիրն ըստ ցամաքային տարածքի:</v>
      </c>
      <c r="D5461" s="6" t="str">
        <f>IFERROR(__xludf.DUMMYFUNCTION("GOOGLETRANSLATE(B5461,""en"",""hy"")"),"Քաղաք Վատիկան.")</f>
        <v>Քաղաք Վատիկան.</v>
      </c>
    </row>
    <row r="5462">
      <c r="A5462" s="5" t="s">
        <v>8709</v>
      </c>
      <c r="B5462" s="5" t="s">
        <v>8710</v>
      </c>
      <c r="C5462" s="5" t="str">
        <f>IFERROR(__xludf.DUMMYFUNCTION("GOOGLETRANSLATE(A5462,""en"",""hy"")"),"Ո՞րն է գարեջրի հիմնական բաղադրիչը:")</f>
        <v>Ո՞րն է գարեջրի հիմնական բաղադրիչը:</v>
      </c>
      <c r="D5462" s="6" t="str">
        <f>IFERROR(__xludf.DUMMYFUNCTION("GOOGLETRANSLATE(B5462,""en"",""hy"")"),"Գարեջրի հիմնական բաղադրիչը գարին է։")</f>
        <v>Գարեջրի հիմնական բաղադրիչը գարին է։</v>
      </c>
    </row>
    <row r="5463">
      <c r="A5463" s="5" t="s">
        <v>8134</v>
      </c>
      <c r="B5463" s="5" t="s">
        <v>8711</v>
      </c>
      <c r="C5463" s="5" t="str">
        <f>IFERROR(__xludf.DUMMYFUNCTION("GOOGLETRANSLATE(A5463,""en"",""hy"")"),"Ո՞վ է Չինաստանի ներկայիս նախագահը.")</f>
        <v>Ո՞վ է Չինաստանի ներկայիս նախագահը.</v>
      </c>
      <c r="D5463" s="6" t="str">
        <f>IFERROR(__xludf.DUMMYFUNCTION("GOOGLETRANSLATE(B5463,""en"",""hy"")"),"Սի Ցզինպին.")</f>
        <v>Սի Ցզինպին.</v>
      </c>
    </row>
    <row r="5464">
      <c r="A5464" s="5" t="s">
        <v>7780</v>
      </c>
      <c r="B5464" s="5" t="s">
        <v>2951</v>
      </c>
      <c r="C5464" s="5" t="str">
        <f>IFERROR(__xludf.DUMMYFUNCTION("GOOGLETRANSLATE(A5464,""en"",""hy"")"),"Ո՞րն է Կանադայի մայրաքաղաքը:")</f>
        <v>Ո՞րն է Կանադայի մայրաքաղաքը:</v>
      </c>
      <c r="D5464" s="6" t="str">
        <f>IFERROR(__xludf.DUMMYFUNCTION("GOOGLETRANSLATE(B5464,""en"",""hy"")"),"Օտտավա.")</f>
        <v>Օտտավա.</v>
      </c>
    </row>
    <row r="5465">
      <c r="A5465" s="5" t="s">
        <v>8290</v>
      </c>
      <c r="B5465" s="5" t="s">
        <v>8291</v>
      </c>
      <c r="C5465" s="5" t="str">
        <f>IFERROR(__xludf.DUMMYFUNCTION("GOOGLETRANSLATE(A5465,""en"",""hy"")"),"Ո՞րն է Հարավային Աֆրիկայի ազգային կենդանին:")</f>
        <v>Ո՞րն է Հարավային Աֆրիկայի ազգային կենդանին:</v>
      </c>
      <c r="D5465" s="6" t="str">
        <f>IFERROR(__xludf.DUMMYFUNCTION("GOOGLETRANSLATE(B5465,""en"",""hy"")"),"Հարավային Աֆրիկայի ազգային կենդանին սփրինգբոկն է։")</f>
        <v>Հարավային Աֆրիկայի ազգային կենդանին սփրինգբոկն է։</v>
      </c>
    </row>
    <row r="5466">
      <c r="A5466" s="5" t="s">
        <v>7521</v>
      </c>
      <c r="B5466" s="5" t="s">
        <v>1016</v>
      </c>
      <c r="C5466" s="5" t="str">
        <f>IFERROR(__xludf.DUMMYFUNCTION("GOOGLETRANSLATE(A5466,""en"",""hy"")"),"Ո՞վ է գրել Համլետ պիեսը:")</f>
        <v>Ո՞վ է գրել Համլետ պիեսը:</v>
      </c>
      <c r="D5466" s="6" t="str">
        <f>IFERROR(__xludf.DUMMYFUNCTION("GOOGLETRANSLATE(B5466,""en"",""hy"")"),"Ուիլյամ Շեքսպիր.")</f>
        <v>Ուիլյամ Շեքսպիր.</v>
      </c>
    </row>
    <row r="5467">
      <c r="A5467" s="5" t="s">
        <v>8712</v>
      </c>
      <c r="B5467" s="7">
        <v>1941.0</v>
      </c>
      <c r="C5467" s="5" t="str">
        <f>IFERROR(__xludf.DUMMYFUNCTION("GOOGLETRANSLATE(A5467,""en"",""hy"")"),"Ո՞ր թվականին է Միացյալ Նահանգները մտել Երկրորդ համաշխարհային պատերազմի մեջ:")</f>
        <v>Ո՞ր թվականին է Միացյալ Նահանգները մտել Երկրորդ համաշխարհային պատերազմի մեջ:</v>
      </c>
      <c r="D5467" s="6" t="str">
        <f>IFERROR(__xludf.DUMMYFUNCTION("GOOGLETRANSLATE(B5467,""en"",""hy"")"),"1941 թ")</f>
        <v>1941 թ</v>
      </c>
    </row>
    <row r="5468">
      <c r="A5468" s="5" t="s">
        <v>7939</v>
      </c>
      <c r="B5468" s="5" t="s">
        <v>7940</v>
      </c>
      <c r="C5468" s="5" t="str">
        <f>IFERROR(__xludf.DUMMYFUNCTION("GOOGLETRANSLATE(A5468,""en"",""hy"")"),"Քանի՞ մայրցամաք կա աշխարհում:")</f>
        <v>Քանի՞ մայրցամաք կա աշխարհում:</v>
      </c>
      <c r="D5468" s="6" t="str">
        <f>IFERROR(__xludf.DUMMYFUNCTION("GOOGLETRANSLATE(B5468,""en"",""hy"")"),"Աշխարհում կան յոթ մայրցամաքներ։")</f>
        <v>Աշխարհում կան յոթ մայրցամաքներ։</v>
      </c>
    </row>
    <row r="5469">
      <c r="A5469" s="5" t="s">
        <v>7509</v>
      </c>
      <c r="B5469" s="5" t="s">
        <v>7510</v>
      </c>
      <c r="C5469" s="5" t="str">
        <f>IFERROR(__xludf.DUMMYFUNCTION("GOOGLETRANSLATE(A5469,""en"",""hy"")"),"Ո՞րն է արծաթի քիմիական նշանը:")</f>
        <v>Ո՞րն է արծաթի քիմիական նշանը:</v>
      </c>
      <c r="D5469" s="6" t="str">
        <f>IFERROR(__xludf.DUMMYFUNCTION("GOOGLETRANSLATE(B5469,""en"",""hy"")"),"Ագ")</f>
        <v>Ագ</v>
      </c>
    </row>
    <row r="5470">
      <c r="A5470" s="5" t="s">
        <v>8264</v>
      </c>
      <c r="B5470" s="5" t="s">
        <v>7621</v>
      </c>
      <c r="C5470" s="5" t="str">
        <f>IFERROR(__xludf.DUMMYFUNCTION("GOOGLETRANSLATE(A5470,""en"",""hy"")"),"Ո՞վ է նկարել հայտնի «Վեներայի ծնունդը» ստեղծագործությունը:")</f>
        <v>Ո՞վ է նկարել հայտնի «Վեներայի ծնունդը» ստեղծագործությունը:</v>
      </c>
      <c r="D5470" s="6" t="str">
        <f>IFERROR(__xludf.DUMMYFUNCTION("GOOGLETRANSLATE(B5470,""en"",""hy"")"),"Սանդրո Բոտիչելի.")</f>
        <v>Սանդրո Բոտիչելի.</v>
      </c>
    </row>
    <row r="5471">
      <c r="A5471" s="5" t="s">
        <v>8171</v>
      </c>
      <c r="B5471" s="5" t="s">
        <v>3535</v>
      </c>
      <c r="C5471" s="5" t="str">
        <f>IFERROR(__xludf.DUMMYFUNCTION("GOOGLETRANSLATE(A5471,""en"",""hy"")"),"Ո՞ր երկրում կգտնեք Մեծ արգելախութը:")</f>
        <v>Ո՞ր երկրում կգտնեք Մեծ արգելախութը:</v>
      </c>
      <c r="D5471" s="6" t="str">
        <f>IFERROR(__xludf.DUMMYFUNCTION("GOOGLETRANSLATE(B5471,""en"",""hy"")"),"Ավստրալիա.")</f>
        <v>Ավստրալիա.</v>
      </c>
    </row>
    <row r="5472">
      <c r="A5472" s="5" t="s">
        <v>7602</v>
      </c>
      <c r="B5472" s="5" t="s">
        <v>7603</v>
      </c>
      <c r="C5472" s="5" t="str">
        <f>IFERROR(__xludf.DUMMYFUNCTION("GOOGLETRANSLATE(A5472,""en"",""hy"")"),"Ո՞րն է Կանադայի ազգային թռչունը:")</f>
        <v>Ո՞րն է Կանադայի ազգային թռչունը:</v>
      </c>
      <c r="D5472" s="6" t="str">
        <f>IFERROR(__xludf.DUMMYFUNCTION("GOOGLETRANSLATE(B5472,""en"",""hy"")"),"Կանադայի ազգային թռչունը սովորական ձագն է:")</f>
        <v>Կանադայի ազգային թռչունը սովորական ձագն է:</v>
      </c>
    </row>
    <row r="5473">
      <c r="A5473" s="5" t="s">
        <v>7526</v>
      </c>
      <c r="B5473" s="5" t="s">
        <v>7527</v>
      </c>
      <c r="C5473" s="5" t="str">
        <f>IFERROR(__xludf.DUMMYFUNCTION("GOOGLETRANSLATE(A5473,""en"",""hy"")"),"Ո՞րն է աշխարհի ամենամեծ կղզին:")</f>
        <v>Ո՞րն է աշխարհի ամենամեծ կղզին:</v>
      </c>
      <c r="D5473" s="6" t="str">
        <f>IFERROR(__xludf.DUMMYFUNCTION("GOOGLETRANSLATE(B5473,""en"",""hy"")"),"Գրենլանդիա.")</f>
        <v>Գրենլանդիա.</v>
      </c>
    </row>
    <row r="5474">
      <c r="A5474" s="5" t="s">
        <v>8713</v>
      </c>
      <c r="B5474" s="5" t="s">
        <v>8714</v>
      </c>
      <c r="C5474" s="5" t="str">
        <f>IFERROR(__xludf.DUMMYFUNCTION("GOOGLETRANSLATE(A5474,""en"",""hy"")"),"Ո՞վ է եղել առաջին կինը, ով ճանապարհորդել է տիեզերք:")</f>
        <v>Ո՞վ է եղել առաջին կինը, ով ճանապարհորդել է տիեզերք:</v>
      </c>
      <c r="D5474" s="6" t="str">
        <f>IFERROR(__xludf.DUMMYFUNCTION("GOOGLETRANSLATE(B5474,""en"",""hy"")"),"Վալենտինա Տերեշկովա")</f>
        <v>Վալենտինա Տերեշկովա</v>
      </c>
    </row>
    <row r="5475">
      <c r="A5475" s="5" t="s">
        <v>7897</v>
      </c>
      <c r="B5475" s="5" t="s">
        <v>7898</v>
      </c>
      <c r="C5475" s="5" t="str">
        <f>IFERROR(__xludf.DUMMYFUNCTION("GOOGLETRANSLATE(A5475,""en"",""hy"")"),"Ո՞րն է Արգենտինայի մայրաքաղաքը:")</f>
        <v>Ո՞րն է Արգենտինայի մայրաքաղաքը:</v>
      </c>
      <c r="D5475" s="6" t="str">
        <f>IFERROR(__xludf.DUMMYFUNCTION("GOOGLETRANSLATE(B5475,""en"",""hy"")"),"Բուենոս Այրես.")</f>
        <v>Բուենոս Այրես.</v>
      </c>
    </row>
    <row r="5476">
      <c r="A5476" s="5" t="s">
        <v>8715</v>
      </c>
      <c r="B5476" s="5" t="s">
        <v>8716</v>
      </c>
      <c r="C5476" s="5" t="str">
        <f>IFERROR(__xludf.DUMMYFUNCTION("GOOGLETRANSLATE(A5476,""en"",""hy"")"),"Ո՞րն է Անգլիայի ազգային կենդանին:")</f>
        <v>Ո՞րն է Անգլիայի ազգային կենդանին:</v>
      </c>
      <c r="D5476" s="6" t="str">
        <f>IFERROR(__xludf.DUMMYFUNCTION("GOOGLETRANSLATE(B5476,""en"",""hy"")"),"Անգլիայի ազգային կենդանին առյուծն է։")</f>
        <v>Անգլիայի ազգային կենդանին առյուծն է։</v>
      </c>
    </row>
    <row r="5477">
      <c r="A5477" s="5" t="s">
        <v>8717</v>
      </c>
      <c r="B5477" s="5" t="s">
        <v>7867</v>
      </c>
      <c r="C5477" s="5" t="str">
        <f>IFERROR(__xludf.DUMMYFUNCTION("GOOGLETRANSLATE(A5477,""en"",""hy"")"),"Ո՞վ է գրել «Հոբիթ» գիրքը:")</f>
        <v>Ո՞վ է գրել «Հոբիթ» գիրքը:</v>
      </c>
      <c r="D5477" s="6" t="str">
        <f>IFERROR(__xludf.DUMMYFUNCTION("GOOGLETRANSLATE(B5477,""en"",""hy"")"),"Ջ.Ռ.Ռ. Թոլքինը։")</f>
        <v>Ջ.Ռ.Ռ. Թոլքինը։</v>
      </c>
    </row>
    <row r="5478">
      <c r="A5478" s="5" t="s">
        <v>8718</v>
      </c>
      <c r="B5478" s="5" t="s">
        <v>8719</v>
      </c>
      <c r="C5478" s="5" t="str">
        <f>IFERROR(__xludf.DUMMYFUNCTION("GOOGLETRANSLATE(A5478,""en"",""hy"")"),"Ո՞ր թվականին սկսվեց արդյունաբերական հեղափոխությունը:")</f>
        <v>Ո՞ր թվականին սկսվեց արդյունաբերական հեղափոխությունը:</v>
      </c>
      <c r="D5478" s="6" t="str">
        <f>IFERROR(__xludf.DUMMYFUNCTION("GOOGLETRANSLATE(B5478,""en"",""hy"")"),"Արդյունաբերական հեղափոխությունը սկսվել է 18-րդ դարում։")</f>
        <v>Արդյունաբերական հեղափոխությունը սկսվել է 18-րդ դարում։</v>
      </c>
    </row>
    <row r="5479">
      <c r="A5479" s="5" t="s">
        <v>8720</v>
      </c>
      <c r="B5479" s="5" t="s">
        <v>8721</v>
      </c>
      <c r="C5479" s="5" t="str">
        <f>IFERROR(__xludf.DUMMYFUNCTION("GOOGLETRANSLATE(A5479,""en"",""hy"")"),"Քանի՞ լար ունի կիթառը:")</f>
        <v>Քանի՞ լար ունի կիթառը:</v>
      </c>
      <c r="D5479" s="6" t="str">
        <f>IFERROR(__xludf.DUMMYFUNCTION("GOOGLETRANSLATE(B5479,""en"",""hy"")"),"Կիթառը սովորաբար ունի վեց լար:")</f>
        <v>Կիթառը սովորաբար ունի վեց լար:</v>
      </c>
    </row>
    <row r="5480">
      <c r="A5480" s="5" t="s">
        <v>8722</v>
      </c>
      <c r="B5480" s="5" t="s">
        <v>8723</v>
      </c>
      <c r="C5480" s="5" t="str">
        <f>IFERROR(__xludf.DUMMYFUNCTION("GOOGLETRANSLATE(A5480,""en"",""hy"")"),"Ո՞րն է թղթի հիմնական բաղադրիչը:")</f>
        <v>Ո՞րն է թղթի հիմնական բաղադրիչը:</v>
      </c>
      <c r="D5480" s="6" t="str">
        <f>IFERROR(__xludf.DUMMYFUNCTION("GOOGLETRANSLATE(B5480,""en"",""hy"")"),"Թղթի հիմնական բաղադրիչը փայտի միջուկն է։")</f>
        <v>Թղթի հիմնական բաղադրիչը փայտի միջուկն է։</v>
      </c>
    </row>
    <row r="5481">
      <c r="A5481" s="5" t="s">
        <v>7642</v>
      </c>
      <c r="B5481" s="5" t="s">
        <v>2951</v>
      </c>
      <c r="C5481" s="5" t="str">
        <f>IFERROR(__xludf.DUMMYFUNCTION("GOOGLETRANSLATE(A5481,""en"",""hy"")"),"Ո՞րն է Կանադայի մայրաքաղաքը:")</f>
        <v>Ո՞րն է Կանադայի մայրաքաղաքը:</v>
      </c>
      <c r="D5481" s="6" t="str">
        <f>IFERROR(__xludf.DUMMYFUNCTION("GOOGLETRANSLATE(B5481,""en"",""hy"")"),"Օտտավա.")</f>
        <v>Օտտավա.</v>
      </c>
    </row>
    <row r="5482">
      <c r="A5482" s="5" t="s">
        <v>7447</v>
      </c>
      <c r="B5482" s="5" t="s">
        <v>7448</v>
      </c>
      <c r="C5482" s="5" t="str">
        <f>IFERROR(__xludf.DUMMYFUNCTION("GOOGLETRANSLATE(A5482,""en"",""hy"")"),"Ո՞վ է նկարել Մոնա Լիզան:")</f>
        <v>Ո՞վ է նկարել Մոնա Լիզան:</v>
      </c>
      <c r="D5482" s="6" t="str">
        <f>IFERROR(__xludf.DUMMYFUNCTION("GOOGLETRANSLATE(B5482,""en"",""hy"")"),"Լեոնարդո դա Վինչի.")</f>
        <v>Լեոնարդո դա Վինչի.</v>
      </c>
    </row>
    <row r="5483">
      <c r="A5483" s="5" t="s">
        <v>7632</v>
      </c>
      <c r="B5483" s="5" t="s">
        <v>7633</v>
      </c>
      <c r="C5483" s="5" t="str">
        <f>IFERROR(__xludf.DUMMYFUNCTION("GOOGLETRANSLATE(A5483,""en"",""hy"")"),"Ո՞րն է մեր արեգակնային համակարգի ամենամեծ մոլորակը:")</f>
        <v>Ո՞րն է մեր արեգակնային համակարգի ամենամեծ մոլորակը:</v>
      </c>
      <c r="D5483" s="6" t="str">
        <f>IFERROR(__xludf.DUMMYFUNCTION("GOOGLETRANSLATE(B5483,""en"",""hy"")"),"Յուպիտեր.")</f>
        <v>Յուպիտեր.</v>
      </c>
    </row>
    <row r="5484">
      <c r="A5484" s="5" t="s">
        <v>8724</v>
      </c>
      <c r="B5484" s="5" t="s">
        <v>8725</v>
      </c>
      <c r="C5484" s="5" t="str">
        <f>IFERROR(__xludf.DUMMYFUNCTION("GOOGLETRANSLATE(A5484,""en"",""hy"")"),"Ո՞ր երկրում են ծագել Օլիմպիական խաղերը:")</f>
        <v>Ո՞ր երկրում են ծագել Օլիմպիական խաղերը:</v>
      </c>
      <c r="D5484" s="6" t="str">
        <f>IFERROR(__xludf.DUMMYFUNCTION("GOOGLETRANSLATE(B5484,""en"",""hy"")"),"Հունաստան")</f>
        <v>Հունաստան</v>
      </c>
    </row>
    <row r="5485">
      <c r="A5485" s="5" t="s">
        <v>7698</v>
      </c>
      <c r="B5485" s="5" t="s">
        <v>7630</v>
      </c>
      <c r="C5485" s="5" t="str">
        <f>IFERROR(__xludf.DUMMYFUNCTION("GOOGLETRANSLATE(A5485,""en"",""hy"")"),"Ո՞վ է գրել «Հպարտություն և նախապաշարմունք» վեպը:")</f>
        <v>Ո՞վ է գրել «Հպարտություն և նախապաշարմունք» վեպը:</v>
      </c>
      <c r="D5485" s="6" t="str">
        <f>IFERROR(__xludf.DUMMYFUNCTION("GOOGLETRANSLATE(B5485,""en"",""hy"")"),"Ջեյն Օսթին.")</f>
        <v>Ջեյն Օսթին.</v>
      </c>
    </row>
    <row r="5486">
      <c r="A5486" s="5" t="s">
        <v>7452</v>
      </c>
      <c r="B5486" s="5" t="s">
        <v>7631</v>
      </c>
      <c r="C5486" s="5" t="str">
        <f>IFERROR(__xludf.DUMMYFUNCTION("GOOGLETRANSLATE(A5486,""en"",""hy"")"),"Ո՞րն է ոսկու քիմիական նշանը:")</f>
        <v>Ո՞րն է ոսկու քիմիական նշանը:</v>
      </c>
      <c r="D5486" s="6" t="str">
        <f>IFERROR(__xludf.DUMMYFUNCTION("GOOGLETRANSLATE(B5486,""en"",""hy"")"),"Ավ")</f>
        <v>Ավ</v>
      </c>
    </row>
    <row r="5487">
      <c r="A5487" s="5" t="s">
        <v>8726</v>
      </c>
      <c r="B5487" s="5" t="s">
        <v>7556</v>
      </c>
      <c r="C5487" s="5" t="str">
        <f>IFERROR(__xludf.DUMMYFUNCTION("GOOGLETRANSLATE(A5487,""en"",""hy"")"),"Ո՞ր հայտնի գիտնականն է հիմնել հարաբերականության տեսությունը:")</f>
        <v>Ո՞ր հայտնի գիտնականն է հիմնել հարաբերականության տեսությունը:</v>
      </c>
      <c r="D5487" s="6" t="str">
        <f>IFERROR(__xludf.DUMMYFUNCTION("GOOGLETRANSLATE(B5487,""en"",""hy"")"),"Albert Einstein.")</f>
        <v>Albert Einstein.</v>
      </c>
    </row>
    <row r="5488">
      <c r="A5488" s="5" t="s">
        <v>7645</v>
      </c>
      <c r="B5488" s="5" t="s">
        <v>7646</v>
      </c>
      <c r="C5488" s="5" t="str">
        <f>IFERROR(__xludf.DUMMYFUNCTION("GOOGLETRANSLATE(A5488,""en"",""hy"")"),"Ո՞րն է Երկրի ամենամեծ օվկիանոսը:")</f>
        <v>Ո՞րն է Երկրի ամենամեծ օվկիանոսը:</v>
      </c>
      <c r="D5488" s="6" t="str">
        <f>IFERROR(__xludf.DUMMYFUNCTION("GOOGLETRANSLATE(B5488,""en"",""hy"")"),"Խաղաղ օվկիանոս.")</f>
        <v>Խաղաղ օվկիանոս.</v>
      </c>
    </row>
    <row r="5489">
      <c r="A5489" s="5" t="s">
        <v>8624</v>
      </c>
      <c r="B5489" s="5" t="s">
        <v>3700</v>
      </c>
      <c r="C5489" s="5" t="str">
        <f>IFERROR(__xludf.DUMMYFUNCTION("GOOGLETRANSLATE(A5489,""en"",""hy"")"),"Ո՞ր երկիրն է հայտնի Մեծ պարիսպով:")</f>
        <v>Ո՞ր երկիրն է հայտնի Մեծ պարիսպով:</v>
      </c>
      <c r="D5489" s="6" t="str">
        <f>IFERROR(__xludf.DUMMYFUNCTION("GOOGLETRANSLATE(B5489,""en"",""hy"")"),"Չինաստան")</f>
        <v>Չինաստան</v>
      </c>
    </row>
    <row r="5490">
      <c r="A5490" s="5" t="s">
        <v>8325</v>
      </c>
      <c r="B5490" s="5" t="s">
        <v>8326</v>
      </c>
      <c r="C5490" s="5" t="str">
        <f>IFERROR(__xludf.DUMMYFUNCTION("GOOGLETRANSLATE(A5490,""en"",""hy"")"),"Ո՞վ է հունական սիրո և գեղեցկության աստվածուհին:")</f>
        <v>Ո՞վ է հունական սիրո և գեղեցկության աստվածուհին:</v>
      </c>
      <c r="D5490" s="6" t="str">
        <f>IFERROR(__xludf.DUMMYFUNCTION("GOOGLETRANSLATE(B5490,""en"",""hy"")"),"Աֆրոդիտե.")</f>
        <v>Աֆրոդիտե.</v>
      </c>
    </row>
    <row r="5491">
      <c r="A5491" s="5" t="s">
        <v>8103</v>
      </c>
      <c r="B5491" s="5" t="s">
        <v>8727</v>
      </c>
      <c r="C5491" s="5" t="str">
        <f>IFERROR(__xludf.DUMMYFUNCTION("GOOGLETRANSLATE(A5491,""en"",""hy"")"),"Ո՞րն է Աֆրիկայի ամենաերկար գետը:")</f>
        <v>Ո՞րն է Աֆրիկայի ամենաերկար գետը:</v>
      </c>
      <c r="D5491" s="6" t="str">
        <f>IFERROR(__xludf.DUMMYFUNCTION("GOOGLETRANSLATE(B5491,""en"",""hy"")"),"Աֆրիկայի ամենաերկար գետը Նեղոս գետն է։")</f>
        <v>Աֆրիկայի ամենաերկար գետը Նեղոս գետն է։</v>
      </c>
    </row>
    <row r="5492">
      <c r="A5492" s="5" t="s">
        <v>7461</v>
      </c>
      <c r="B5492" s="5" t="s">
        <v>7639</v>
      </c>
      <c r="C5492" s="5" t="str">
        <f>IFERROR(__xludf.DUMMYFUNCTION("GOOGLETRANSLATE(A5492,""en"",""hy"")"),"Ո՞րն է մարդու մարմնի ամենամեծ օրգանը:")</f>
        <v>Ո՞րն է մարդու մարմնի ամենամեծ օրգանը:</v>
      </c>
      <c r="D5492" s="6" t="str">
        <f>IFERROR(__xludf.DUMMYFUNCTION("GOOGLETRANSLATE(B5492,""en"",""hy"")"),"Մարդու մարմնի ամենամեծ օրգանը մաշկն է։")</f>
        <v>Մարդու մարմնի ամենամեծ օրգանը մաշկն է։</v>
      </c>
    </row>
    <row r="5493">
      <c r="A5493" s="5" t="s">
        <v>7640</v>
      </c>
      <c r="B5493" s="5" t="s">
        <v>8107</v>
      </c>
      <c r="C5493" s="5" t="str">
        <f>IFERROR(__xludf.DUMMYFUNCTION("GOOGLETRANSLATE(A5493,""en"",""hy"")"),"Ո՞վ է գրել «Ռոմեո և Ջուլիետ» պիեսը:")</f>
        <v>Ո՞վ է գրել «Ռոմեո և Ջուլիետ» պիեսը:</v>
      </c>
      <c r="D5493" s="6" t="str">
        <f>IFERROR(__xludf.DUMMYFUNCTION("GOOGLETRANSLATE(B5493,""en"",""hy"")"),"Ուիլյամ Շեքսպիր")</f>
        <v>Ուիլյամ Շեքսպիր</v>
      </c>
    </row>
    <row r="5494">
      <c r="A5494" s="5" t="s">
        <v>7463</v>
      </c>
      <c r="B5494" s="5" t="s">
        <v>7464</v>
      </c>
      <c r="C5494" s="5" t="str">
        <f>IFERROR(__xludf.DUMMYFUNCTION("GOOGLETRANSLATE(A5494,""en"",""hy"")"),"Ո՞րն է աշխարհի ամենաբարձր լեռը:")</f>
        <v>Ո՞րն է աշխարհի ամենաբարձր լեռը:</v>
      </c>
      <c r="D5494" s="6" t="str">
        <f>IFERROR(__xludf.DUMMYFUNCTION("GOOGLETRANSLATE(B5494,""en"",""hy"")"),"Էվերեստ լեռ.")</f>
        <v>Էվերեստ լեռ.</v>
      </c>
    </row>
    <row r="5495">
      <c r="A5495" s="5" t="s">
        <v>7450</v>
      </c>
      <c r="B5495" s="5" t="s">
        <v>7451</v>
      </c>
      <c r="C5495" s="5" t="str">
        <f>IFERROR(__xludf.DUMMYFUNCTION("GOOGLETRANSLATE(A5495,""en"",""hy"")"),"Ո՞րն է Ավստրալիայի մայրաքաղաքը:")</f>
        <v>Ո՞րն է Ավստրալիայի մայրաքաղաքը:</v>
      </c>
      <c r="D5495" s="6" t="str">
        <f>IFERROR(__xludf.DUMMYFUNCTION("GOOGLETRANSLATE(B5495,""en"",""hy"")"),"Կանբերա.")</f>
        <v>Կանբերա.</v>
      </c>
    </row>
    <row r="5496">
      <c r="A5496" s="5" t="s">
        <v>7445</v>
      </c>
      <c r="B5496" s="5" t="s">
        <v>7446</v>
      </c>
      <c r="C5496" s="5" t="str">
        <f>IFERROR(__xludf.DUMMYFUNCTION("GOOGLETRANSLATE(A5496,""en"",""hy"")"),"Ո՞ր մոլորակն է հայտնի որպես կարմիր մոլորակ:")</f>
        <v>Ո՞ր մոլորակն է հայտնի որպես կարմիր մոլորակ:</v>
      </c>
      <c r="D5496" s="6" t="str">
        <f>IFERROR(__xludf.DUMMYFUNCTION("GOOGLETRANSLATE(B5496,""en"",""hy"")"),"Մարս.")</f>
        <v>Մարս.</v>
      </c>
    </row>
    <row r="5497">
      <c r="A5497" s="5" t="s">
        <v>7763</v>
      </c>
      <c r="B5497" s="5" t="s">
        <v>7505</v>
      </c>
      <c r="C5497" s="5" t="str">
        <f>IFERROR(__xludf.DUMMYFUNCTION("GOOGLETRANSLATE(A5497,""en"",""hy"")"),"Ո՞վ է Միացյալ Նահանգների ներկայիս նախագահը.")</f>
        <v>Ո՞վ է Միացյալ Նահանգների ներկայիս նախագահը.</v>
      </c>
      <c r="D5497" s="6" t="str">
        <f>IFERROR(__xludf.DUMMYFUNCTION("GOOGLETRANSLATE(B5497,""en"",""hy"")"),"Ջո Բայդեն.")</f>
        <v>Ջո Բայդեն.</v>
      </c>
    </row>
    <row r="5498">
      <c r="A5498" s="5" t="s">
        <v>7592</v>
      </c>
      <c r="B5498" s="5" t="s">
        <v>7593</v>
      </c>
      <c r="C5498" s="5" t="str">
        <f>IFERROR(__xludf.DUMMYFUNCTION("GOOGLETRANSLATE(A5498,""en"",""hy"")"),"Ո՞րն է թթվածնի քիմիական նշանը:")</f>
        <v>Ո՞րն է թթվածնի քիմիական նշանը:</v>
      </c>
      <c r="D5498" s="6" t="str">
        <f>IFERROR(__xludf.DUMMYFUNCTION("GOOGLETRANSLATE(B5498,""en"",""hy"")"),"Թթվածնի քիմիական նշանը O է:")</f>
        <v>Թթվածնի քիմիական նշանը O է:</v>
      </c>
    </row>
    <row r="5499">
      <c r="A5499" s="5" t="s">
        <v>8728</v>
      </c>
      <c r="B5499" s="5" t="s">
        <v>7648</v>
      </c>
      <c r="C5499" s="5" t="str">
        <f>IFERROR(__xludf.DUMMYFUNCTION("GOOGLETRANSLATE(A5499,""en"",""hy"")"),"Ո՞ր հայտնի նկարիչն է հայտնի սեփական ականջի մի մասը կտրելով.")</f>
        <v>Ո՞ր հայտնի նկարիչն է հայտնի սեփական ականջի մի մասը կտրելով.</v>
      </c>
      <c r="D5499" s="6" t="str">
        <f>IFERROR(__xludf.DUMMYFUNCTION("GOOGLETRANSLATE(B5499,""en"",""hy"")"),"Վինսենթ վան Գոգ.")</f>
        <v>Վինսենթ վան Գոգ.</v>
      </c>
    </row>
    <row r="5500">
      <c r="A5500" s="5" t="s">
        <v>7467</v>
      </c>
      <c r="B5500" s="5" t="s">
        <v>7468</v>
      </c>
      <c r="C5500" s="5" t="str">
        <f>IFERROR(__xludf.DUMMYFUNCTION("GOOGLETRANSLATE(A5500,""en"",""hy"")"),"Ո՞րն է Ճապոնիայի արժույթը:")</f>
        <v>Ո՞րն է Ճապոնիայի արժույթը:</v>
      </c>
      <c r="D5500" s="6" t="str">
        <f>IFERROR(__xludf.DUMMYFUNCTION("GOOGLETRANSLATE(B5500,""en"",""hy"")"),"Ճապոնիայի արժույթը ճապոնական իենն է։")</f>
        <v>Ճապոնիայի արժույթը ճապոնական իենն է։</v>
      </c>
    </row>
    <row r="5501">
      <c r="A5501" s="5" t="s">
        <v>7992</v>
      </c>
      <c r="B5501" s="5" t="s">
        <v>7607</v>
      </c>
      <c r="C5501" s="5" t="str">
        <f>IFERROR(__xludf.DUMMYFUNCTION("GOOGLETRANSLATE(A5501,""en"",""hy"")"),"Ո՞վ է հայտնաբերել էվոլյուցիայի տեսությունը:")</f>
        <v>Ո՞վ է հայտնաբերել էվոլյուցիայի տեսությունը:</v>
      </c>
      <c r="D5501" s="6" t="str">
        <f>IFERROR(__xludf.DUMMYFUNCTION("GOOGLETRANSLATE(B5501,""en"",""hy"")"),"Չարլզ Դարվին.")</f>
        <v>Չարլզ Դարվին.</v>
      </c>
    </row>
    <row r="5502">
      <c r="A5502" s="5" t="s">
        <v>7515</v>
      </c>
      <c r="B5502" s="5" t="s">
        <v>7516</v>
      </c>
      <c r="C5502" s="5" t="str">
        <f>IFERROR(__xludf.DUMMYFUNCTION("GOOGLETRANSLATE(A5502,""en"",""hy"")"),"Ո՞րն է Բրազիլիայի մայրաքաղաքը:")</f>
        <v>Ո՞րն է Բրազիլիայի մայրաքաղաքը:</v>
      </c>
      <c r="D5502" s="6" t="str">
        <f>IFERROR(__xludf.DUMMYFUNCTION("GOOGLETRANSLATE(B5502,""en"",""hy"")"),"Բրազիլիա.")</f>
        <v>Բրազիլիա.</v>
      </c>
    </row>
    <row r="5503">
      <c r="A5503" s="5" t="s">
        <v>8729</v>
      </c>
      <c r="B5503" s="5" t="s">
        <v>8730</v>
      </c>
      <c r="C5503" s="5" t="str">
        <f>IFERROR(__xludf.DUMMYFUNCTION("GOOGLETRANSLATE(A5503,""en"",""hy"")"),"Ո՞ր կենդանին է ամենամեծ ցամաքային կաթնասունը:")</f>
        <v>Ո՞ր կենդանին է ամենամեծ ցամաքային կաթնասունը:</v>
      </c>
      <c r="D5503" s="6" t="str">
        <f>IFERROR(__xludf.DUMMYFUNCTION("GOOGLETRANSLATE(B5503,""en"",""hy"")"),"Փիղը.")</f>
        <v>Փիղը.</v>
      </c>
    </row>
    <row r="5504">
      <c r="A5504" s="5" t="s">
        <v>8016</v>
      </c>
      <c r="B5504" s="5" t="s">
        <v>8017</v>
      </c>
      <c r="C5504" s="5" t="str">
        <f>IFERROR(__xludf.DUMMYFUNCTION("GOOGLETRANSLATE(A5504,""en"",""hy"")"),"Ո՞րն է Անգլիայի ազգային ծաղիկը:")</f>
        <v>Ո՞րն է Անգլիայի ազգային ծաղիկը:</v>
      </c>
      <c r="D5504" s="6" t="str">
        <f>IFERROR(__xludf.DUMMYFUNCTION("GOOGLETRANSLATE(B5504,""en"",""hy"")"),"Անգլիայի ազգային ծաղիկը վարդն է։")</f>
        <v>Անգլիայի ազգային ծաղիկը վարդն է։</v>
      </c>
    </row>
    <row r="5505">
      <c r="A5505" s="5" t="s">
        <v>7844</v>
      </c>
      <c r="B5505" s="5" t="s">
        <v>7635</v>
      </c>
      <c r="C5505" s="5" t="str">
        <f>IFERROR(__xludf.DUMMYFUNCTION("GOOGLETRANSLATE(A5505,""en"",""hy"")"),"Ո՞վ էր առաջին մարդը, ով ոտք դրեց լուսնի վրա:")</f>
        <v>Ո՞վ էր առաջին մարդը, ով ոտք դրեց լուսնի վրա:</v>
      </c>
      <c r="D5505" s="6" t="str">
        <f>IFERROR(__xludf.DUMMYFUNCTION("GOOGLETRANSLATE(B5505,""en"",""hy"")"),"Նիլ Արմսթրոնգ.")</f>
        <v>Նիլ Արմսթրոնգ.</v>
      </c>
    </row>
    <row r="5506">
      <c r="A5506" s="5" t="s">
        <v>8018</v>
      </c>
      <c r="B5506" s="5" t="s">
        <v>7972</v>
      </c>
      <c r="C5506" s="5" t="str">
        <f>IFERROR(__xludf.DUMMYFUNCTION("GOOGLETRANSLATE(A5506,""en"",""hy"")"),"Ո՞ր երկրում է գտնվում Էյֆելյան աշտարակը:")</f>
        <v>Ո՞ր երկրում է գտնվում Էյֆելյան աշտարակը:</v>
      </c>
      <c r="D5506" s="6" t="str">
        <f>IFERROR(__xludf.DUMMYFUNCTION("GOOGLETRANSLATE(B5506,""en"",""hy"")"),"Ֆրանսիա.")</f>
        <v>Ֆրանսիա.</v>
      </c>
    </row>
    <row r="5507">
      <c r="A5507" s="5" t="s">
        <v>7513</v>
      </c>
      <c r="B5507" s="5" t="s">
        <v>7514</v>
      </c>
      <c r="C5507" s="5" t="str">
        <f>IFERROR(__xludf.DUMMYFUNCTION("GOOGLETRANSLATE(A5507,""en"",""hy"")"),"Ո՞րն է աշխարհի ամենամեծ անապատը:")</f>
        <v>Ո՞րն է աշխարհի ամենամեծ անապատը:</v>
      </c>
      <c r="D5507" s="6" t="str">
        <f>IFERROR(__xludf.DUMMYFUNCTION("GOOGLETRANSLATE(B5507,""en"",""hy"")"),"Աշխարհի ամենամեծ անապատը Սահարա անապատն է։")</f>
        <v>Աշխարհի ամենամեծ անապատը Սահարա անապատն է։</v>
      </c>
    </row>
    <row r="5508">
      <c r="A5508" s="5" t="s">
        <v>8731</v>
      </c>
      <c r="B5508" s="5" t="s">
        <v>8116</v>
      </c>
      <c r="C5508" s="5" t="str">
        <f>IFERROR(__xludf.DUMMYFUNCTION("GOOGLETRANSLATE(A5508,""en"",""hy"")"),"Ո՞վ է եղել Միացյալ Թագավորության առաջին կին վարչապետը:")</f>
        <v>Ո՞վ է եղել Միացյալ Թագավորության առաջին կին վարչապետը:</v>
      </c>
      <c r="D5508" s="6" t="str">
        <f>IFERROR(__xludf.DUMMYFUNCTION("GOOGLETRANSLATE(B5508,""en"",""hy"")"),"Մարգարեթ Թեթչեր")</f>
        <v>Մարգարեթ Թեթչեր</v>
      </c>
    </row>
    <row r="5509">
      <c r="A5509" s="5" t="s">
        <v>7729</v>
      </c>
      <c r="B5509" s="5" t="s">
        <v>7525</v>
      </c>
      <c r="C5509" s="5" t="str">
        <f>IFERROR(__xludf.DUMMYFUNCTION("GOOGLETRANSLATE(A5509,""en"",""hy"")"),"Ո՞րն է Չինաստանի մայրաքաղաքը:")</f>
        <v>Ո՞րն է Չինաստանի մայրաքաղաքը:</v>
      </c>
      <c r="D5509" s="6" t="str">
        <f>IFERROR(__xludf.DUMMYFUNCTION("GOOGLETRANSLATE(B5509,""en"",""hy"")"),"Պեկին.")</f>
        <v>Պեկին.</v>
      </c>
    </row>
    <row r="5510">
      <c r="A5510" s="5" t="s">
        <v>7778</v>
      </c>
      <c r="B5510" s="5" t="s">
        <v>7474</v>
      </c>
      <c r="C5510" s="5" t="str">
        <f>IFERROR(__xludf.DUMMYFUNCTION("GOOGLETRANSLATE(A5510,""en"",""hy"")"),"Ո՞վ է նկարել Սիքստինյան կապելլայի առաստաղը:")</f>
        <v>Ո՞վ է նկարել Սիքստինյան կապելլայի առաստաղը:</v>
      </c>
      <c r="D5510" s="6" t="str">
        <f>IFERROR(__xludf.DUMMYFUNCTION("GOOGLETRANSLATE(B5510,""en"",""hy"")"),"Միքելանջելո.")</f>
        <v>Միքելանջելո.</v>
      </c>
    </row>
    <row r="5511">
      <c r="A5511" s="5" t="s">
        <v>7665</v>
      </c>
      <c r="B5511" s="5" t="s">
        <v>7666</v>
      </c>
      <c r="C5511" s="5" t="str">
        <f>IFERROR(__xludf.DUMMYFUNCTION("GOOGLETRANSLATE(A5511,""en"",""hy"")"),"Ո՞րն է նատրիումի քիմիական նշանը:")</f>
        <v>Ո՞րն է նատրիումի քիմիական նշանը:</v>
      </c>
      <c r="D5511" s="6" t="str">
        <f>IFERROR(__xludf.DUMMYFUNCTION("GOOGLETRANSLATE(B5511,""en"",""hy"")"),"Նա")</f>
        <v>Նա</v>
      </c>
    </row>
    <row r="5512">
      <c r="A5512" s="5" t="s">
        <v>8732</v>
      </c>
      <c r="B5512" s="5" t="s">
        <v>8040</v>
      </c>
      <c r="C5512" s="5" t="str">
        <f>IFERROR(__xludf.DUMMYFUNCTION("GOOGLETRANSLATE(A5512,""en"",""hy"")"),"Ո՞ր երկիրն է հայտնի Թաջ Մահալով:")</f>
        <v>Ո՞ր երկիրն է հայտնի Թաջ Մահալով:</v>
      </c>
      <c r="D5512" s="6" t="str">
        <f>IFERROR(__xludf.DUMMYFUNCTION("GOOGLETRANSLATE(B5512,""en"",""hy"")"),"Հնդկաստան")</f>
        <v>Հնդկաստան</v>
      </c>
    </row>
    <row r="5513">
      <c r="A5513" s="5" t="s">
        <v>7845</v>
      </c>
      <c r="B5513" s="5" t="s">
        <v>3533</v>
      </c>
      <c r="C5513" s="5" t="str">
        <f>IFERROR(__xludf.DUMMYFUNCTION("GOOGLETRANSLATE(A5513,""en"",""hy"")"),"Ո՞րն է Բրազիլիայի պաշտոնական լեզուն:")</f>
        <v>Ո՞րն է Բրազիլիայի պաշտոնական լեզուն:</v>
      </c>
      <c r="D5513" s="6" t="str">
        <f>IFERROR(__xludf.DUMMYFUNCTION("GOOGLETRANSLATE(B5513,""en"",""hy"")"),"Բրազիլիայի պաշտոնական լեզուն պորտուգալերենն է։")</f>
        <v>Բրազիլիայի պաշտոնական լեզուն պորտուգալերենն է։</v>
      </c>
    </row>
    <row r="5514">
      <c r="A5514" s="5" t="s">
        <v>7485</v>
      </c>
      <c r="B5514" s="5" t="s">
        <v>8110</v>
      </c>
      <c r="C5514" s="5" t="str">
        <f>IFERROR(__xludf.DUMMYFUNCTION("GOOGLETRANSLATE(A5514,""en"",""hy"")"),"Ո՞վ է Հարի Փոթերի շարքի հեղինակը:")</f>
        <v>Ո՞վ է Հարի Փոթերի շարքի հեղինակը:</v>
      </c>
      <c r="D5514" s="6" t="str">
        <f>IFERROR(__xludf.DUMMYFUNCTION("GOOGLETRANSLATE(B5514,""en"",""hy"")"),"Ջ.Կ. Ռոուլինգ")</f>
        <v>Ջ.Կ. Ռոուլինգ</v>
      </c>
    </row>
    <row r="5515">
      <c r="A5515" s="5" t="s">
        <v>7667</v>
      </c>
      <c r="B5515" s="5" t="s">
        <v>7554</v>
      </c>
      <c r="C5515" s="5" t="str">
        <f>IFERROR(__xludf.DUMMYFUNCTION("GOOGLETRANSLATE(A5515,""en"",""hy"")"),"Ո՞րն է Հարավային Աֆրիկայի մայրաքաղաքը:")</f>
        <v>Ո՞րն է Հարավային Աֆրիկայի մայրաքաղաքը:</v>
      </c>
      <c r="D5515" s="6" t="str">
        <f>IFERROR(__xludf.DUMMYFUNCTION("GOOGLETRANSLATE(B5515,""en"",""hy"")"),"Պրետորիա.")</f>
        <v>Պրետորիա.</v>
      </c>
    </row>
    <row r="5516">
      <c r="A5516" s="5" t="s">
        <v>8733</v>
      </c>
      <c r="B5516" s="5" t="s">
        <v>8734</v>
      </c>
      <c r="C5516" s="5" t="str">
        <f>IFERROR(__xludf.DUMMYFUNCTION("GOOGLETRANSLATE(A5516,""en"",""hy"")"),"Ո՞ր կենդանին է հայտնի իր գծերով:")</f>
        <v>Ո՞ր կենդանին է հայտնի իր գծերով:</v>
      </c>
      <c r="D5516" s="6" t="str">
        <f>IFERROR(__xludf.DUMMYFUNCTION("GOOGLETRANSLATE(B5516,""en"",""hy"")"),"Զեբրա.")</f>
        <v>Զեբրա.</v>
      </c>
    </row>
    <row r="5517">
      <c r="A5517" s="5" t="s">
        <v>7561</v>
      </c>
      <c r="B5517" s="5" t="s">
        <v>7669</v>
      </c>
      <c r="C5517" s="5" t="str">
        <f>IFERROR(__xludf.DUMMYFUNCTION("GOOGLETRANSLATE(A5517,""en"",""hy"")"),"Ո՞րն է Մեքսիկայի արժույթը:")</f>
        <v>Ո՞րն է Մեքսիկայի արժույթը:</v>
      </c>
      <c r="D5517" s="6" t="str">
        <f>IFERROR(__xludf.DUMMYFUNCTION("GOOGLETRANSLATE(B5517,""en"",""hy"")"),"Մեքսիկայի արժույթը մեքսիկական պեսոն է։")</f>
        <v>Մեքսիկայի արժույթը մեքսիկական պեսոն է։</v>
      </c>
    </row>
    <row r="5518">
      <c r="A5518" s="5" t="s">
        <v>8735</v>
      </c>
      <c r="B5518" s="5" t="s">
        <v>7556</v>
      </c>
      <c r="C5518" s="5" t="str">
        <f>IFERROR(__xludf.DUMMYFUNCTION("GOOGLETRANSLATE(A5518,""en"",""hy"")"),"Ո՞վ է հայտնի որպես «ժամանակակից ֆիզիկայի հայր»:")</f>
        <v>Ո՞վ է հայտնի որպես «ժամանակակից ֆիզիկայի հայր»:</v>
      </c>
      <c r="D5518" s="6" t="str">
        <f>IFERROR(__xludf.DUMMYFUNCTION("GOOGLETRANSLATE(B5518,""en"",""hy"")"),"Albert Einstein.")</f>
        <v>Albert Einstein.</v>
      </c>
    </row>
    <row r="5519">
      <c r="A5519" s="5" t="s">
        <v>7449</v>
      </c>
      <c r="B5519" s="5" t="s">
        <v>8141</v>
      </c>
      <c r="C5519" s="5" t="str">
        <f>IFERROR(__xludf.DUMMYFUNCTION("GOOGLETRANSLATE(A5519,""en"",""hy"")"),"Ո՞րն է աշխարհի ամենամեծ երկիրը ցամաքային տարածքով:")</f>
        <v>Ո՞րն է աշխարհի ամենամեծ երկիրը ցամաքային տարածքով:</v>
      </c>
      <c r="D5519" s="6" t="str">
        <f>IFERROR(__xludf.DUMMYFUNCTION("GOOGLETRANSLATE(B5519,""en"",""hy"")"),"Ռուսաստան")</f>
        <v>Ռուսաստան</v>
      </c>
    </row>
    <row r="5520">
      <c r="A5520" s="5" t="s">
        <v>8736</v>
      </c>
      <c r="B5520" s="5" t="s">
        <v>8737</v>
      </c>
      <c r="C5520" s="5" t="str">
        <f>IFERROR(__xludf.DUMMYFUNCTION("GOOGLETRANSLATE(A5520,""en"",""hy"")"),"ԱՄՆ ո՞ր նահանգն է հայտնի որպես «Ոսկե նահանգ»:")</f>
        <v>ԱՄՆ ո՞ր նահանգն է հայտնի որպես «Ոսկե նահանգ»:</v>
      </c>
      <c r="D5520" s="6" t="str">
        <f>IFERROR(__xludf.DUMMYFUNCTION("GOOGLETRANSLATE(B5520,""en"",""hy"")"),"Կալիֆորնիա.")</f>
        <v>Կալիֆորնիա.</v>
      </c>
    </row>
    <row r="5521">
      <c r="A5521" s="5" t="s">
        <v>8738</v>
      </c>
      <c r="B5521" s="5" t="s">
        <v>7648</v>
      </c>
      <c r="C5521" s="5" t="str">
        <f>IFERROR(__xludf.DUMMYFUNCTION("GOOGLETRANSLATE(A5521,""en"",""hy"")"),"Ո՞վ է նկարել հայտնի «Աստղային գիշեր» ստեղծագործությունը։")</f>
        <v>Ո՞վ է նկարել հայտնի «Աստղային գիշեր» ստեղծագործությունը։</v>
      </c>
      <c r="D5521" s="6" t="str">
        <f>IFERROR(__xludf.DUMMYFUNCTION("GOOGLETRANSLATE(B5521,""en"",""hy"")"),"Վինսենթ վան Գոգ.")</f>
        <v>Վինսենթ վան Գոգ.</v>
      </c>
    </row>
    <row r="5522">
      <c r="A5522" s="5" t="s">
        <v>7795</v>
      </c>
      <c r="B5522" s="5" t="s">
        <v>7796</v>
      </c>
      <c r="C5522" s="5" t="str">
        <f>IFERROR(__xludf.DUMMYFUNCTION("GOOGLETRANSLATE(A5522,""en"",""hy"")"),"Ո՞րն է Եգիպտոսի մայրաքաղաքը:")</f>
        <v>Ո՞րն է Եգիպտոսի մայրաքաղաքը:</v>
      </c>
      <c r="D5522" s="6" t="str">
        <f>IFERROR(__xludf.DUMMYFUNCTION("GOOGLETRANSLATE(B5522,""en"",""hy"")"),"Կահիրե.")</f>
        <v>Կահիրե.</v>
      </c>
    </row>
    <row r="5523">
      <c r="A5523" s="5" t="s">
        <v>8739</v>
      </c>
      <c r="B5523" s="5" t="s">
        <v>8740</v>
      </c>
      <c r="C5523" s="5" t="str">
        <f>IFERROR(__xludf.DUMMYFUNCTION("GOOGLETRANSLATE(A5523,""en"",""hy"")"),"Ո՞ր մոլորակն է հայտնի որպես «Առավոտյան աստղ»:")</f>
        <v>Ո՞ր մոլորակն է հայտնի որպես «Առավոտյան աստղ»:</v>
      </c>
      <c r="D5523" s="6" t="str">
        <f>IFERROR(__xludf.DUMMYFUNCTION("GOOGLETRANSLATE(B5523,""en"",""hy"")"),"Վեներա.")</f>
        <v>Վեներա.</v>
      </c>
    </row>
    <row r="5524">
      <c r="A5524" s="5" t="s">
        <v>7644</v>
      </c>
      <c r="B5524" s="5" t="s">
        <v>8463</v>
      </c>
      <c r="C5524" s="5" t="str">
        <f>IFERROR(__xludf.DUMMYFUNCTION("GOOGLETRANSLATE(A5524,""en"",""hy"")"),"Ո՞վ է «Սպանել ծաղրող թռչունին» գրքի հեղինակը.")</f>
        <v>Ո՞վ է «Սպանել ծաղրող թռչունին» գրքի հեղինակը.</v>
      </c>
      <c r="D5524" s="6" t="str">
        <f>IFERROR(__xludf.DUMMYFUNCTION("GOOGLETRANSLATE(B5524,""en"",""hy"")"),"Հարփեր Լի")</f>
        <v>Հարփեր Լի</v>
      </c>
    </row>
    <row r="5525">
      <c r="A5525" s="5" t="s">
        <v>8741</v>
      </c>
      <c r="B5525" s="5" t="s">
        <v>8742</v>
      </c>
      <c r="C5525" s="5" t="str">
        <f>IFERROR(__xludf.DUMMYFUNCTION("GOOGLETRANSLATE(A5525,""en"",""hy"")"),"Ո՞րն է բոլոր ժամանակների ամենաշատ եկամուտ ստացած ֆիլմը:")</f>
        <v>Ո՞րն է բոլոր ժամանակների ամենաշատ եկամուտ ստացած ֆիլմը:</v>
      </c>
      <c r="D5525" s="6" t="str">
        <f>IFERROR(__xludf.DUMMYFUNCTION("GOOGLETRANSLATE(B5525,""en"",""hy"")"),"Վրիժառուներ. վերջնախաղ.")</f>
        <v>Վրիժառուներ. վերջնախաղ.</v>
      </c>
    </row>
    <row r="5526">
      <c r="A5526" s="5" t="s">
        <v>8743</v>
      </c>
      <c r="B5526" s="5" t="s">
        <v>7783</v>
      </c>
      <c r="C5526" s="5" t="str">
        <f>IFERROR(__xludf.DUMMYFUNCTION("GOOGLETRANSLATE(A5526,""en"",""hy"")"),"Ո՞րն է աշխարհի ամենամեծ տաք անապատը:")</f>
        <v>Ո՞րն է աշխարհի ամենամեծ տաք անապատը:</v>
      </c>
      <c r="D5526" s="6" t="str">
        <f>IFERROR(__xludf.DUMMYFUNCTION("GOOGLETRANSLATE(B5526,""en"",""hy"")"),"Սահարա անապատ.")</f>
        <v>Սահարա անապատ.</v>
      </c>
    </row>
    <row r="5527">
      <c r="A5527" s="5" t="s">
        <v>8744</v>
      </c>
      <c r="B5527" s="5" t="s">
        <v>7934</v>
      </c>
      <c r="C5527" s="5" t="str">
        <f>IFERROR(__xludf.DUMMYFUNCTION("GOOGLETRANSLATE(A5527,""en"",""hy"")"),"Ո՞վ է Կանադայի ներկայիս վարչապետը:")</f>
        <v>Ո՞վ է Կանադայի ներկայիս վարչապետը:</v>
      </c>
      <c r="D5527" s="6" t="str">
        <f>IFERROR(__xludf.DUMMYFUNCTION("GOOGLETRANSLATE(B5527,""en"",""hy"")"),"Ջասթին Թրյուդո.")</f>
        <v>Ջասթին Թրյուդո.</v>
      </c>
    </row>
    <row r="5528">
      <c r="A5528" s="5" t="s">
        <v>8745</v>
      </c>
      <c r="B5528" s="5" t="s">
        <v>8746</v>
      </c>
      <c r="C5528" s="5" t="str">
        <f>IFERROR(__xludf.DUMMYFUNCTION("GOOGLETRANSLATE(A5528,""en"",""hy"")"),"Ո՞ր տարրն է ամենաթեթև մետաղը:")</f>
        <v>Ո՞ր տարրն է ամենաթեթև մետաղը:</v>
      </c>
      <c r="D5528" s="6" t="str">
        <f>IFERROR(__xludf.DUMMYFUNCTION("GOOGLETRANSLATE(B5528,""en"",""hy"")"),"Լիթիում.")</f>
        <v>Լիթիում.</v>
      </c>
    </row>
    <row r="5529">
      <c r="A5529" s="5" t="s">
        <v>7850</v>
      </c>
      <c r="B5529" s="5" t="s">
        <v>8301</v>
      </c>
      <c r="C5529" s="5" t="str">
        <f>IFERROR(__xludf.DUMMYFUNCTION("GOOGLETRANSLATE(A5529,""en"",""hy"")"),"Ո՞րն է մեր արեգակնային համակարգի ամենափոքր մոլորակը:")</f>
        <v>Ո՞րն է մեր արեգակնային համակարգի ամենափոքր մոլորակը:</v>
      </c>
      <c r="D5529" s="6" t="str">
        <f>IFERROR(__xludf.DUMMYFUNCTION("GOOGLETRANSLATE(B5529,""en"",""hy"")"),"Մերկուրի.")</f>
        <v>Մերկուրի.</v>
      </c>
    </row>
    <row r="5530">
      <c r="A5530" s="5" t="s">
        <v>7674</v>
      </c>
      <c r="B5530" s="5" t="s">
        <v>7675</v>
      </c>
      <c r="C5530" s="5" t="str">
        <f>IFERROR(__xludf.DUMMYFUNCTION("GOOGLETRANSLATE(A5530,""en"",""hy"")"),"Ո՞վ է հունական ծովի աստվածը:")</f>
        <v>Ո՞վ է հունական ծովի աստվածը:</v>
      </c>
      <c r="D5530" s="6" t="str">
        <f>IFERROR(__xludf.DUMMYFUNCTION("GOOGLETRANSLATE(B5530,""en"",""hy"")"),"Պոսեյդոն.")</f>
        <v>Պոսեյդոն.</v>
      </c>
    </row>
    <row r="5531">
      <c r="A5531" s="5" t="s">
        <v>8747</v>
      </c>
      <c r="B5531" s="5" t="s">
        <v>7898</v>
      </c>
      <c r="C5531" s="5" t="str">
        <f>IFERROR(__xludf.DUMMYFUNCTION("GOOGLETRANSLATE(A5531,""en"",""hy"")"),"Ո՞րն է Արգենտինայի մայրաքաղաքը:")</f>
        <v>Ո՞րն է Արգենտինայի մայրաքաղաքը:</v>
      </c>
      <c r="D5531" s="6" t="str">
        <f>IFERROR(__xludf.DUMMYFUNCTION("GOOGLETRANSLATE(B5531,""en"",""hy"")"),"Բուենոս Այրես.")</f>
        <v>Բուենոս Այրես.</v>
      </c>
    </row>
    <row r="5532">
      <c r="A5532" s="5" t="s">
        <v>8748</v>
      </c>
      <c r="B5532" s="5" t="s">
        <v>7512</v>
      </c>
      <c r="C5532" s="5" t="str">
        <f>IFERROR(__xludf.DUMMYFUNCTION("GOOGLETRANSLATE(A5532,""en"",""hy"")"),"Ո՞ր երկրում է գտնվում Գիզայի Մեծ բուրգը:")</f>
        <v>Ո՞ր երկրում է գտնվում Գիզայի Մեծ բուրգը:</v>
      </c>
      <c r="D5532" s="6" t="str">
        <f>IFERROR(__xludf.DUMMYFUNCTION("GOOGLETRANSLATE(B5532,""en"",""hy"")"),"Եգիպտոս.")</f>
        <v>Եգիպտոս.</v>
      </c>
    </row>
    <row r="5533">
      <c r="A5533" s="5" t="s">
        <v>8749</v>
      </c>
      <c r="B5533" s="5" t="s">
        <v>8107</v>
      </c>
      <c r="C5533" s="5" t="str">
        <f>IFERROR(__xludf.DUMMYFUNCTION("GOOGLETRANSLATE(A5533,""en"",""hy"")"),"Ո՞վ է հայտնի «Համլետ» պիեսի հեղինակը։")</f>
        <v>Ո՞վ է հայտնի «Համլետ» պիեսի հեղինակը։</v>
      </c>
      <c r="D5533" s="6" t="str">
        <f>IFERROR(__xludf.DUMMYFUNCTION("GOOGLETRANSLATE(B5533,""en"",""hy"")"),"Ուիլյամ Շեքսպիր")</f>
        <v>Ուիլյամ Շեքսպիր</v>
      </c>
    </row>
    <row r="5534">
      <c r="A5534" s="5" t="s">
        <v>8132</v>
      </c>
      <c r="B5534" s="5" t="s">
        <v>4457</v>
      </c>
      <c r="C5534" s="5" t="str">
        <f>IFERROR(__xludf.DUMMYFUNCTION("GOOGLETRANSLATE(A5534,""en"",""hy"")"),"Ո՞րն է բնակչության թվով աշխարհի ամենամեծ քաղաքը:")</f>
        <v>Ո՞րն է բնակչության թվով աշխարհի ամենամեծ քաղաքը:</v>
      </c>
      <c r="D5534" s="6" t="str">
        <f>IFERROR(__xludf.DUMMYFUNCTION("GOOGLETRANSLATE(B5534,""en"",""hy"")"),"Տոկիո, Ճապոնիա.")</f>
        <v>Տոկիո, Ճապոնիա.</v>
      </c>
    </row>
    <row r="5535">
      <c r="A5535" s="5" t="s">
        <v>7797</v>
      </c>
      <c r="B5535" s="5" t="s">
        <v>7496</v>
      </c>
      <c r="C5535" s="5" t="str">
        <f>IFERROR(__xludf.DUMMYFUNCTION("GOOGLETRANSLATE(A5535,""en"",""hy"")"),"Ո՞ր մոլորակն է հայտնի իր օղակներով:")</f>
        <v>Ո՞ր մոլորակն է հայտնի իր օղակներով:</v>
      </c>
      <c r="D5535" s="6" t="str">
        <f>IFERROR(__xludf.DUMMYFUNCTION("GOOGLETRANSLATE(B5535,""en"",""hy"")"),"Սատուրն.")</f>
        <v>Սատուրն.</v>
      </c>
    </row>
    <row r="5536">
      <c r="A5536" s="5" t="s">
        <v>8750</v>
      </c>
      <c r="B5536" s="5" t="s">
        <v>3894</v>
      </c>
      <c r="C5536" s="5" t="str">
        <f>IFERROR(__xludf.DUMMYFUNCTION("GOOGLETRANSLATE(A5536,""en"",""hy"")"),"Ո՞րն է Իտալիայի պաշտոնական լեզուն:")</f>
        <v>Ո՞րն է Իտալիայի պաշտոնական լեզուն:</v>
      </c>
      <c r="D5536" s="6" t="str">
        <f>IFERROR(__xludf.DUMMYFUNCTION("GOOGLETRANSLATE(B5536,""en"",""hy"")"),"Իտալական.")</f>
        <v>Իտալական.</v>
      </c>
    </row>
    <row r="5537">
      <c r="A5537" s="5" t="s">
        <v>7773</v>
      </c>
      <c r="B5537" s="5" t="s">
        <v>8253</v>
      </c>
      <c r="C5537" s="5" t="str">
        <f>IFERROR(__xludf.DUMMYFUNCTION("GOOGLETRANSLATE(A5537,""en"",""hy"")"),"Ո՞վ է հայտնաբերել պենիցիլինը:")</f>
        <v>Ո՞վ է հայտնաբերել պենիցիլինը:</v>
      </c>
      <c r="D5537" s="6" t="str">
        <f>IFERROR(__xludf.DUMMYFUNCTION("GOOGLETRANSLATE(B5537,""en"",""hy"")"),"Ալեքսանդր Ֆլեմինգ.")</f>
        <v>Ալեքսանդր Ֆլեմինգ.</v>
      </c>
    </row>
    <row r="5538">
      <c r="A5538" s="5" t="s">
        <v>7717</v>
      </c>
      <c r="B5538" s="5" t="s">
        <v>7718</v>
      </c>
      <c r="C5538" s="5" t="str">
        <f>IFERROR(__xludf.DUMMYFUNCTION("GOOGLETRANSLATE(A5538,""en"",""hy"")"),"Ո՞րն է Հնդկաստանի մայրաքաղաքը:")</f>
        <v>Ո՞րն է Հնդկաստանի մայրաքաղաքը:</v>
      </c>
      <c r="D5538" s="6" t="str">
        <f>IFERROR(__xludf.DUMMYFUNCTION("GOOGLETRANSLATE(B5538,""en"",""hy"")"),"Հնդկաստանի մայրաքաղաքը Նյու Դելին է։")</f>
        <v>Հնդկաստանի մայրաքաղաքը Նյու Դելին է։</v>
      </c>
    </row>
    <row r="5539">
      <c r="A5539" s="5" t="s">
        <v>8751</v>
      </c>
      <c r="B5539" s="5" t="s">
        <v>8109</v>
      </c>
      <c r="C5539" s="5" t="str">
        <f>IFERROR(__xludf.DUMMYFUNCTION("GOOGLETRANSLATE(A5539,""en"",""hy"")"),"Ո՞ր կենդանին է հայտնի իր երկար պարանոցով:")</f>
        <v>Ո՞ր կենդանին է հայտնի իր երկար պարանոցով:</v>
      </c>
      <c r="D5539" s="6" t="str">
        <f>IFERROR(__xludf.DUMMYFUNCTION("GOOGLETRANSLATE(B5539,""en"",""hy"")"),"Ընձուղտ.")</f>
        <v>Ընձուղտ.</v>
      </c>
    </row>
    <row r="5540">
      <c r="A5540" s="5" t="s">
        <v>7614</v>
      </c>
      <c r="B5540" s="5" t="s">
        <v>7721</v>
      </c>
      <c r="C5540" s="5" t="str">
        <f>IFERROR(__xludf.DUMMYFUNCTION("GOOGLETRANSLATE(A5540,""en"",""hy"")"),"Ո՞րն է Ֆրանսիայի արժույթը:")</f>
        <v>Ո՞րն է Ֆրանսիայի արժույթը:</v>
      </c>
      <c r="D5540" s="6" t="str">
        <f>IFERROR(__xludf.DUMMYFUNCTION("GOOGLETRANSLATE(B5540,""en"",""hy"")"),"Ֆրանսիայի արժույթը եվրոն է։")</f>
        <v>Ֆրանսիայի արժույթը եվրոն է։</v>
      </c>
    </row>
    <row r="5541">
      <c r="A5541" s="5" t="s">
        <v>7443</v>
      </c>
      <c r="B5541" s="5" t="s">
        <v>7444</v>
      </c>
      <c r="C5541" s="5" t="str">
        <f>IFERROR(__xludf.DUMMYFUNCTION("GOOGLETRANSLATE(A5541,""en"",""hy"")"),"Ո՞վ է գրել «1984» վեպը։")</f>
        <v>Ո՞վ է գրել «1984» վեպը։</v>
      </c>
      <c r="D5541" s="6" t="str">
        <f>IFERROR(__xludf.DUMMYFUNCTION("GOOGLETRANSLATE(B5541,""en"",""hy"")"),"Ջորջ Օրուել.")</f>
        <v>Ջորջ Օրուել.</v>
      </c>
    </row>
    <row r="5542">
      <c r="A5542" s="5" t="s">
        <v>7536</v>
      </c>
      <c r="B5542" s="5" t="s">
        <v>7870</v>
      </c>
      <c r="C5542" s="5" t="str">
        <f>IFERROR(__xludf.DUMMYFUNCTION("GOOGLETRANSLATE(A5542,""en"",""hy"")"),"Ո՞րն է Ռուսաստանի մայրաքաղաքը:")</f>
        <v>Ո՞րն է Ռուսաստանի մայրաքաղաքը:</v>
      </c>
      <c r="D5542" s="6" t="str">
        <f>IFERROR(__xludf.DUMMYFUNCTION("GOOGLETRANSLATE(B5542,""en"",""hy"")"),"Մոսկվա.")</f>
        <v>Մոսկվա.</v>
      </c>
    </row>
    <row r="5543">
      <c r="A5543" s="5" t="s">
        <v>7699</v>
      </c>
      <c r="B5543" s="5" t="s">
        <v>8615</v>
      </c>
      <c r="C5543" s="5" t="str">
        <f>IFERROR(__xludf.DUMMYFUNCTION("GOOGLETRANSLATE(A5543,""en"",""hy"")"),"Ո՞րն է ածխածնի քիմիական նշանը:")</f>
        <v>Ո՞րն է ածխածնի քիմիական նշանը:</v>
      </c>
      <c r="D5543" s="6" t="str">
        <f>IFERROR(__xludf.DUMMYFUNCTION("GOOGLETRANSLATE(B5543,""en"",""hy"")"),"Գ")</f>
        <v>Գ</v>
      </c>
    </row>
    <row r="5544">
      <c r="A5544" s="5" t="s">
        <v>8752</v>
      </c>
      <c r="B5544" s="5" t="s">
        <v>3535</v>
      </c>
      <c r="C5544" s="5" t="str">
        <f>IFERROR(__xludf.DUMMYFUNCTION("GOOGLETRANSLATE(A5544,""en"",""hy"")"),"Ո՞ր երկիրն է հայտնի Սիդնեյի օպերային թատրոնով:")</f>
        <v>Ո՞ր երկիրն է հայտնի Սիդնեյի օպերային թատրոնով:</v>
      </c>
      <c r="D5544" s="6" t="str">
        <f>IFERROR(__xludf.DUMMYFUNCTION("GOOGLETRANSLATE(B5544,""en"",""hy"")"),"Ավստրալիա.")</f>
        <v>Ավստրալիա.</v>
      </c>
    </row>
    <row r="5545">
      <c r="A5545" s="5" t="s">
        <v>7660</v>
      </c>
      <c r="B5545" s="5" t="s">
        <v>7661</v>
      </c>
      <c r="C5545" s="5" t="str">
        <f>IFERROR(__xludf.DUMMYFUNCTION("GOOGLETRANSLATE(A5545,""en"",""hy"")"),"Ո՞վ է «Մեծն Գեթսբիի» հեղինակը.")</f>
        <v>Ո՞վ է «Մեծն Գեթսբիի» հեղինակը.</v>
      </c>
      <c r="D5545" s="6" t="str">
        <f>IFERROR(__xludf.DUMMYFUNCTION("GOOGLETRANSLATE(B5545,""en"",""hy"")"),"F. Scott Fitzgerald.")</f>
        <v>F. Scott Fitzgerald.</v>
      </c>
    </row>
    <row r="5546">
      <c r="A5546" s="5" t="s">
        <v>8753</v>
      </c>
      <c r="B5546" s="5" t="s">
        <v>8754</v>
      </c>
      <c r="C5546" s="5" t="str">
        <f>IFERROR(__xludf.DUMMYFUNCTION("GOOGLETRANSLATE(A5546,""en"",""hy"")"),"Ո՞րն է Հյուսիսային Ամերիկայի ամենաբարձր լեռը:")</f>
        <v>Ո՞րն է Հյուսիսային Ամերիկայի ամենաբարձր լեռը:</v>
      </c>
      <c r="D5546" s="6" t="str">
        <f>IFERROR(__xludf.DUMMYFUNCTION("GOOGLETRANSLATE(B5546,""en"",""hy"")"),"Դենալի լեռ.")</f>
        <v>Դենալի լեռ.</v>
      </c>
    </row>
    <row r="5547">
      <c r="A5547" s="5" t="s">
        <v>8755</v>
      </c>
      <c r="B5547" s="5" t="s">
        <v>8756</v>
      </c>
      <c r="C5547" s="5" t="str">
        <f>IFERROR(__xludf.DUMMYFUNCTION("GOOGLETRANSLATE(A5547,""en"",""hy"")"),"Ո՞ր բնական աղետն է չափվում Ռիխտերի սանդղակով:")</f>
        <v>Ո՞ր բնական աղետն է չափվում Ռիխտերի սանդղակով:</v>
      </c>
      <c r="D5547" s="6" t="str">
        <f>IFERROR(__xludf.DUMMYFUNCTION("GOOGLETRANSLATE(B5547,""en"",""hy"")"),"Երկրաշարժեր.")</f>
        <v>Երկրաշարժեր.</v>
      </c>
    </row>
    <row r="5548">
      <c r="A5548" s="5" t="s">
        <v>7791</v>
      </c>
      <c r="B5548" s="5" t="s">
        <v>7792</v>
      </c>
      <c r="C5548" s="5" t="str">
        <f>IFERROR(__xludf.DUMMYFUNCTION("GOOGLETRANSLATE(A5548,""en"",""hy"")"),"Ո՞րն է Ավստրալիայի ազգային կենդանին:")</f>
        <v>Ո՞րն է Ավստրալիայի ազգային կենդանին:</v>
      </c>
      <c r="D5548" s="6" t="str">
        <f>IFERROR(__xludf.DUMMYFUNCTION("GOOGLETRANSLATE(B5548,""en"",""hy"")"),"Ավստրալիայի ազգային կենդանին կենգուրուն է։")</f>
        <v>Ավստրալիայի ազգային կենդանին կենգուրուն է։</v>
      </c>
    </row>
    <row r="5549">
      <c r="A5549" s="5" t="s">
        <v>7852</v>
      </c>
      <c r="B5549" s="5" t="s">
        <v>7853</v>
      </c>
      <c r="C5549" s="5" t="str">
        <f>IFERROR(__xludf.DUMMYFUNCTION("GOOGLETRANSLATE(A5549,""en"",""hy"")"),"Ո՞վ է ներկայիս Անգլիայի թագուհին:")</f>
        <v>Ո՞վ է ներկայիս Անգլիայի թագուհին:</v>
      </c>
      <c r="D5549" s="6" t="str">
        <f>IFERROR(__xludf.DUMMYFUNCTION("GOOGLETRANSLATE(B5549,""en"",""hy"")"),"Եղիսաբեթ II թագուհին.")</f>
        <v>Եղիսաբեթ II թագուհին.</v>
      </c>
    </row>
    <row r="5550">
      <c r="A5550" s="5" t="s">
        <v>7686</v>
      </c>
      <c r="B5550" s="5" t="s">
        <v>7814</v>
      </c>
      <c r="C5550" s="5" t="str">
        <f>IFERROR(__xludf.DUMMYFUNCTION("GOOGLETRANSLATE(A5550,""en"",""hy"")"),"Ո՞րն է Գերմանիայի մայրաքաղաքը:")</f>
        <v>Ո՞րն է Գերմանիայի մայրաքաղաքը:</v>
      </c>
      <c r="D5550" s="6" t="str">
        <f>IFERROR(__xludf.DUMMYFUNCTION("GOOGLETRANSLATE(B5550,""en"",""hy"")"),"Գերմանիայի մայրաքաղաքը Բեռլինն է։")</f>
        <v>Գերմանիայի մայրաքաղաքը Բեռլինն է։</v>
      </c>
    </row>
    <row r="5551">
      <c r="A5551" s="5" t="s">
        <v>8757</v>
      </c>
      <c r="B5551" s="5" t="s">
        <v>7710</v>
      </c>
      <c r="C5551" s="5" t="str">
        <f>IFERROR(__xludf.DUMMYFUNCTION("GOOGLETRANSLATE(A5551,""en"",""hy"")"),"Ո՞վ է նկարել հայտնի «Գերնիկա» ստեղծագործությունը։")</f>
        <v>Ո՞վ է նկարել հայտնի «Գերնիկա» ստեղծագործությունը։</v>
      </c>
      <c r="D5551" s="6" t="str">
        <f>IFERROR(__xludf.DUMMYFUNCTION("GOOGLETRANSLATE(B5551,""en"",""hy"")"),"Պաբլո Պիկասո.")</f>
        <v>Պաբլո Պիկասո.</v>
      </c>
    </row>
    <row r="5552">
      <c r="A5552" s="5" t="s">
        <v>8758</v>
      </c>
      <c r="B5552" s="5" t="s">
        <v>2325</v>
      </c>
      <c r="C5552" s="5" t="str">
        <f>IFERROR(__xludf.DUMMYFUNCTION("GOOGLETRANSLATE(A5552,""en"",""hy"")"),"Ո՞ր երկիրն է հայտնի Չիչեն Իցայի բուրգերով:")</f>
        <v>Ո՞ր երկիրն է հայտնի Չիչեն Իցայի բուրգերով:</v>
      </c>
      <c r="D5552" s="6" t="str">
        <f>IFERROR(__xludf.DUMMYFUNCTION("GOOGLETRANSLATE(B5552,""en"",""hy"")"),"Մեքսիկա.")</f>
        <v>Մեքսիկա.</v>
      </c>
    </row>
    <row r="5553">
      <c r="A5553" s="5" t="s">
        <v>8144</v>
      </c>
      <c r="B5553" s="5" t="s">
        <v>2267</v>
      </c>
      <c r="C5553" s="5" t="str">
        <f>IFERROR(__xludf.DUMMYFUNCTION("GOOGLETRANSLATE(A5553,""en"",""hy"")"),"Ո՞րն է Իսպանիայի պաշտոնական լեզուն:")</f>
        <v>Ո՞րն է Իսպանիայի պաշտոնական լեզուն:</v>
      </c>
      <c r="D5553" s="6" t="str">
        <f>IFERROR(__xludf.DUMMYFUNCTION("GOOGLETRANSLATE(B5553,""en"",""hy"")"),"իսպաներեն.")</f>
        <v>իսպաներեն.</v>
      </c>
    </row>
    <row r="5554">
      <c r="A5554" s="5" t="s">
        <v>7955</v>
      </c>
      <c r="B5554" s="5" t="s">
        <v>8759</v>
      </c>
      <c r="C5554" s="5" t="str">
        <f>IFERROR(__xludf.DUMMYFUNCTION("GOOGLETRANSLATE(A5554,""en"",""hy"")"),"Ո՞վ է հայտնաբերել գրավիտացիան:")</f>
        <v>Ո՞վ է հայտնաբերել գրավիտացիան:</v>
      </c>
      <c r="D5554" s="6" t="str">
        <f>IFERROR(__xludf.DUMMYFUNCTION("GOOGLETRANSLATE(B5554,""en"",""hy"")"),"Սըր Իսահակ Նյուտոն.")</f>
        <v>Սըր Իսահակ Նյուտոն.</v>
      </c>
    </row>
    <row r="5555">
      <c r="A5555" s="5" t="s">
        <v>8760</v>
      </c>
      <c r="B5555" s="5" t="s">
        <v>8761</v>
      </c>
      <c r="C5555" s="5" t="str">
        <f>IFERROR(__xludf.DUMMYFUNCTION("GOOGLETRANSLATE(A5555,""en"",""hy"")"),"Ո՞րն է Կանադայի ամենամեծ քաղաքը:")</f>
        <v>Ո՞րն է Կանադայի ամենամեծ քաղաքը:</v>
      </c>
      <c r="D5555" s="6" t="str">
        <f>IFERROR(__xludf.DUMMYFUNCTION("GOOGLETRANSLATE(B5555,""en"",""hy"")"),"Տորոնտո.")</f>
        <v>Տորոնտո.</v>
      </c>
    </row>
    <row r="5556">
      <c r="A5556" s="5" t="s">
        <v>8762</v>
      </c>
      <c r="B5556" s="5" t="s">
        <v>8763</v>
      </c>
      <c r="C5556" s="5" t="str">
        <f>IFERROR(__xludf.DUMMYFUNCTION("GOOGLETRANSLATE(A5556,""en"",""hy"")"),"Ո՞ր կենդանին է հայտնի իր գույնը փոխելու ունակությամբ:")</f>
        <v>Ո՞ր կենդանին է հայտնի իր գույնը փոխելու ունակությամբ:</v>
      </c>
      <c r="D5556" s="6" t="str">
        <f>IFERROR(__xludf.DUMMYFUNCTION("GOOGLETRANSLATE(B5556,""en"",""hy"")"),"Քամելեոնը.")</f>
        <v>Քամելեոնը.</v>
      </c>
    </row>
    <row r="5557">
      <c r="A5557" s="5" t="s">
        <v>7706</v>
      </c>
      <c r="B5557" s="5" t="s">
        <v>8764</v>
      </c>
      <c r="C5557" s="5" t="str">
        <f>IFERROR(__xludf.DUMMYFUNCTION("GOOGLETRANSLATE(A5557,""en"",""hy"")"),"Ո՞րն է Միացյալ Թագավորության արժույթը:")</f>
        <v>Ո՞րն է Միացյալ Թագավորության արժույթը:</v>
      </c>
      <c r="D5557" s="6" t="str">
        <f>IFERROR(__xludf.DUMMYFUNCTION("GOOGLETRANSLATE(B5557,""en"",""hy"")"),"Միացյալ Թագավորության արժույթը բրիտանական ֆունտն է (GBP):")</f>
        <v>Միացյալ Թագավորության արժույթը բրիտանական ֆունտն է (GBP):</v>
      </c>
    </row>
    <row r="5558">
      <c r="A5558" s="5" t="s">
        <v>8765</v>
      </c>
      <c r="B5558" s="5" t="s">
        <v>7499</v>
      </c>
      <c r="C5558" s="5" t="str">
        <f>IFERROR(__xludf.DUMMYFUNCTION("GOOGLETRANSLATE(A5558,""en"",""hy"")"),"Ո՞վ է հայտնի հարաբերականության ընդհանուր տեսությամբ:")</f>
        <v>Ո՞վ է հայտնի հարաբերականության ընդհանուր տեսությամբ:</v>
      </c>
      <c r="D5558" s="6" t="str">
        <f>IFERROR(__xludf.DUMMYFUNCTION("GOOGLETRANSLATE(B5558,""en"",""hy"")"),"Albert Einstein")</f>
        <v>Albert Einstein</v>
      </c>
    </row>
    <row r="5559">
      <c r="A5559" s="5" t="s">
        <v>8161</v>
      </c>
      <c r="B5559" s="5" t="s">
        <v>8162</v>
      </c>
      <c r="C5559" s="5" t="str">
        <f>IFERROR(__xludf.DUMMYFUNCTION("GOOGLETRANSLATE(A5559,""en"",""hy"")"),"Ո՞րն է Ճապոնիայի ազգային ծաղիկը:")</f>
        <v>Ո՞րն է Ճապոնիայի ազգային ծաղիկը:</v>
      </c>
      <c r="D5559" s="6" t="str">
        <f>IFERROR(__xludf.DUMMYFUNCTION("GOOGLETRANSLATE(B5559,""en"",""hy"")"),"Ճապոնիայի ազգային ծաղիկը բալի ծաղիկն է:")</f>
        <v>Ճապոնիայի ազգային ծաղիկը բալի ծաղիկն է:</v>
      </c>
    </row>
    <row r="5560">
      <c r="A5560" s="5" t="s">
        <v>8766</v>
      </c>
      <c r="B5560" s="5" t="s">
        <v>8767</v>
      </c>
      <c r="C5560" s="5" t="str">
        <f>IFERROR(__xludf.DUMMYFUNCTION("GOOGLETRANSLATE(A5560,""en"",""hy"")"),"ԱՄՆ ո՞ր նահանգն է հայտնի որպես «Արևի նահանգ»:")</f>
        <v>ԱՄՆ ո՞ր նահանգն է հայտնի որպես «Արևի նահանգ»:</v>
      </c>
      <c r="D5560" s="6" t="str">
        <f>IFERROR(__xludf.DUMMYFUNCTION("GOOGLETRANSLATE(B5560,""en"",""hy"")"),"Ֆլորիդա.")</f>
        <v>Ֆլորիդա.</v>
      </c>
    </row>
    <row r="5561">
      <c r="A5561" s="5" t="s">
        <v>8768</v>
      </c>
      <c r="B5561" s="5" t="s">
        <v>7448</v>
      </c>
      <c r="C5561" s="5" t="str">
        <f>IFERROR(__xludf.DUMMYFUNCTION("GOOGLETRANSLATE(A5561,""en"",""hy"")"),"Ո՞վ է նկարել հայտնի «Վերջին ընթրիքը» ստեղծագործությունը։")</f>
        <v>Ո՞վ է նկարել հայտնի «Վերջին ընթրիքը» ստեղծագործությունը։</v>
      </c>
      <c r="D5561" s="6" t="str">
        <f>IFERROR(__xludf.DUMMYFUNCTION("GOOGLETRANSLATE(B5561,""en"",""hy"")"),"Լեոնարդո դա Վինչի.")</f>
        <v>Լեոնարդո դա Վինչի.</v>
      </c>
    </row>
    <row r="5562">
      <c r="A5562" s="5" t="s">
        <v>7589</v>
      </c>
      <c r="B5562" s="5" t="s">
        <v>7545</v>
      </c>
      <c r="C5562" s="5" t="str">
        <f>IFERROR(__xludf.DUMMYFUNCTION("GOOGLETRANSLATE(A5562,""en"",""hy"")"),"Ո՞րն է Իտալիայի մայրաքաղաքը:")</f>
        <v>Ո՞րն է Իտալիայի մայրաքաղաքը:</v>
      </c>
      <c r="D5562" s="6" t="str">
        <f>IFERROR(__xludf.DUMMYFUNCTION("GOOGLETRANSLATE(B5562,""en"",""hy"")"),"Հռոմ.")</f>
        <v>Հռոմ.</v>
      </c>
    </row>
    <row r="5563">
      <c r="A5563" s="5" t="s">
        <v>8769</v>
      </c>
      <c r="B5563" s="5" t="s">
        <v>8740</v>
      </c>
      <c r="C5563" s="5" t="str">
        <f>IFERROR(__xludf.DUMMYFUNCTION("GOOGLETRANSLATE(A5563,""en"",""hy"")"),"Ո՞ր մոլորակն է հայտնի որպես «երեկոյան աստղ»:")</f>
        <v>Ո՞ր մոլորակն է հայտնի որպես «երեկոյան աստղ»:</v>
      </c>
      <c r="D5563" s="6" t="str">
        <f>IFERROR(__xludf.DUMMYFUNCTION("GOOGLETRANSLATE(B5563,""en"",""hy"")"),"Վեներա.")</f>
        <v>Վեներա.</v>
      </c>
    </row>
    <row r="5564">
      <c r="A5564" s="5" t="s">
        <v>7679</v>
      </c>
      <c r="B5564" s="5" t="s">
        <v>7560</v>
      </c>
      <c r="C5564" s="5" t="str">
        <f>IFERROR(__xludf.DUMMYFUNCTION("GOOGLETRANSLATE(A5564,""en"",""hy"")"),"Ո՞վ է «The Catcher in the Rye»-ի հեղինակը.")</f>
        <v>Ո՞վ է «The Catcher in the Rye»-ի հեղինակը.</v>
      </c>
      <c r="D5564" s="6" t="str">
        <f>IFERROR(__xludf.DUMMYFUNCTION("GOOGLETRANSLATE(B5564,""en"",""hy"")"),"Ջ.Դ.Սելինջեր.")</f>
        <v>Ջ.Դ.Սելինջեր.</v>
      </c>
    </row>
    <row r="5565">
      <c r="A5565" s="5" t="s">
        <v>8770</v>
      </c>
      <c r="B5565" s="5" t="s">
        <v>8771</v>
      </c>
      <c r="C5565" s="5" t="str">
        <f>IFERROR(__xludf.DUMMYFUNCTION("GOOGLETRANSLATE(A5565,""en"",""hy"")"),"Ո՞րն է բոլոր ժամանակների ամենաշատ եկամուտ ստացած երաժշտական ​​ալբոմը:")</f>
        <v>Ո՞րն է բոլոր ժամանակների ամենաշատ եկամուտ ստացած երաժշտական ​​ալբոմը:</v>
      </c>
      <c r="D5565" s="6" t="str">
        <f>IFERROR(__xludf.DUMMYFUNCTION("GOOGLETRANSLATE(B5565,""en"",""hy"")"),"Բոլոր ժամանակների ամենաշատ եկամուտ ստացած երաժշտական ​​ալբոմը Մայքլ Ջեքսոնի «Thriller»-ն է։")</f>
        <v>Բոլոր ժամանակների ամենաշատ եկամուտ ստացած երաժշտական ​​ալբոմը Մայքլ Ջեքսոնի «Thriller»-ն է։</v>
      </c>
    </row>
    <row r="5566">
      <c r="A5566" s="5" t="s">
        <v>8772</v>
      </c>
      <c r="B5566" s="5" t="s">
        <v>8773</v>
      </c>
      <c r="C5566" s="5" t="str">
        <f>IFERROR(__xludf.DUMMYFUNCTION("GOOGLETRANSLATE(A5566,""en"",""hy"")"),"Ո՞րն է աշխարհի ամենամեծ սառը անապատը:")</f>
        <v>Ո՞րն է աշխարհի ամենամեծ սառը անապատը:</v>
      </c>
      <c r="D5566" s="6" t="str">
        <f>IFERROR(__xludf.DUMMYFUNCTION("GOOGLETRANSLATE(B5566,""en"",""hy"")"),"Աշխարհի ամենամեծ սառը անապատը Անտարկտիդան է։")</f>
        <v>Աշխարհի ամենամեծ սառը անապատը Անտարկտիդան է։</v>
      </c>
    </row>
    <row r="5567">
      <c r="A5567" s="5" t="s">
        <v>8774</v>
      </c>
      <c r="B5567" s="5" t="s">
        <v>3966</v>
      </c>
      <c r="C5567" s="5" t="str">
        <f>IFERROR(__xludf.DUMMYFUNCTION("GOOGLETRANSLATE(A5567,""en"",""hy"")"),"Ո՞վ է Ֆրանսիայի ներկայիս նախագահը.")</f>
        <v>Ո՞վ է Ֆրանսիայի ներկայիս նախագահը.</v>
      </c>
      <c r="D5567" s="6" t="str">
        <f>IFERROR(__xludf.DUMMYFUNCTION("GOOGLETRANSLATE(B5567,""en"",""hy"")"),"Էմանուել Մակրոն.")</f>
        <v>Էմանուել Մակրոն.</v>
      </c>
    </row>
    <row r="5568">
      <c r="A5568" s="5" t="s">
        <v>8775</v>
      </c>
      <c r="B5568" s="5" t="s">
        <v>7658</v>
      </c>
      <c r="C5568" s="5" t="str">
        <f>IFERROR(__xludf.DUMMYFUNCTION("GOOGLETRANSLATE(A5568,""en"",""hy"")"),"Ո՞ր տարրի ատոմային թիվն է 1:")</f>
        <v>Ո՞ր տարրի ատոմային թիվն է 1:</v>
      </c>
      <c r="D5568" s="6" t="str">
        <f>IFERROR(__xludf.DUMMYFUNCTION("GOOGLETRANSLATE(B5568,""en"",""hy"")"),"Ջրածին.")</f>
        <v>Ջրածին.</v>
      </c>
    </row>
    <row r="5569">
      <c r="A5569" s="5" t="s">
        <v>7850</v>
      </c>
      <c r="B5569" s="5" t="s">
        <v>7991</v>
      </c>
      <c r="C5569" s="5" t="str">
        <f>IFERROR(__xludf.DUMMYFUNCTION("GOOGLETRANSLATE(A5569,""en"",""hy"")"),"Ո՞րն է մեր արեգակնային համակարգի ամենափոքր մոլորակը:")</f>
        <v>Ո՞րն է մեր արեգակնային համակարգի ամենափոքր մոլորակը:</v>
      </c>
      <c r="D5569" s="6" t="str">
        <f>IFERROR(__xludf.DUMMYFUNCTION("GOOGLETRANSLATE(B5569,""en"",""hy"")"),"Մերկուրի")</f>
        <v>Մերկուրի</v>
      </c>
    </row>
    <row r="5570">
      <c r="A5570" s="5" t="s">
        <v>8316</v>
      </c>
      <c r="B5570" s="5" t="s">
        <v>8776</v>
      </c>
      <c r="C5570" s="5" t="str">
        <f>IFERROR(__xludf.DUMMYFUNCTION("GOOGLETRANSLATE(A5570,""en"",""hy"")"),"Ո՞վ է հունական պատերազմի աստվածը:")</f>
        <v>Ո՞վ է հունական պատերազմի աստվածը:</v>
      </c>
      <c r="D5570" s="6" t="str">
        <f>IFERROR(__xludf.DUMMYFUNCTION("GOOGLETRANSLATE(B5570,""en"",""hy"")"),"Արես")</f>
        <v>Արես</v>
      </c>
    </row>
    <row r="5571">
      <c r="A5571" s="5" t="s">
        <v>7653</v>
      </c>
      <c r="B5571" s="5" t="s">
        <v>1307</v>
      </c>
      <c r="C5571" s="5" t="str">
        <f>IFERROR(__xludf.DUMMYFUNCTION("GOOGLETRANSLATE(A5571,""en"",""hy"")"),"Ո՞րն է Իսպանիայի մայրաքաղաքը:")</f>
        <v>Ո՞րն է Իսպանիայի մայրաքաղաքը:</v>
      </c>
      <c r="D5571" s="6" t="str">
        <f>IFERROR(__xludf.DUMMYFUNCTION("GOOGLETRANSLATE(B5571,""en"",""hy"")"),"Մադրիդ.")</f>
        <v>Մադրիդ.</v>
      </c>
    </row>
    <row r="5572">
      <c r="A5572" s="5" t="s">
        <v>8777</v>
      </c>
      <c r="B5572" s="5" t="s">
        <v>8201</v>
      </c>
      <c r="C5572" s="5" t="str">
        <f>IFERROR(__xludf.DUMMYFUNCTION("GOOGLETRANSLATE(A5572,""en"",""hy"")"),"Ո՞ր երկրում է գտնվում Ակրոպոլիսը:")</f>
        <v>Ո՞ր երկրում է գտնվում Ակրոպոլիսը:</v>
      </c>
      <c r="D5572" s="6" t="str">
        <f>IFERROR(__xludf.DUMMYFUNCTION("GOOGLETRANSLATE(B5572,""en"",""hy"")"),"Հունաստան.")</f>
        <v>Հունաստան.</v>
      </c>
    </row>
    <row r="5573">
      <c r="A5573" s="5" t="s">
        <v>8778</v>
      </c>
      <c r="B5573" s="5" t="s">
        <v>8107</v>
      </c>
      <c r="C5573" s="5" t="str">
        <f>IFERROR(__xludf.DUMMYFUNCTION("GOOGLETRANSLATE(A5573,""en"",""hy"")"),"Ո՞վ է հայտնի «Մակբեթ» պիեսի հեղինակը.")</f>
        <v>Ո՞վ է հայտնի «Մակբեթ» պիեսի հեղինակը.</v>
      </c>
      <c r="D5573" s="6" t="str">
        <f>IFERROR(__xludf.DUMMYFUNCTION("GOOGLETRANSLATE(B5573,""en"",""hy"")"),"Ուիլյամ Շեքսպիր")</f>
        <v>Ուիլյամ Շեքսպիր</v>
      </c>
    </row>
    <row r="5574">
      <c r="A5574" s="5" t="s">
        <v>8779</v>
      </c>
      <c r="B5574" s="5" t="s">
        <v>8780</v>
      </c>
      <c r="C5574" s="5" t="str">
        <f>IFERROR(__xludf.DUMMYFUNCTION("GOOGLETRANSLATE(A5574,""en"",""hy"")"),"Ո՞րն է աշխարհի ամենամեծ քաղաքն ըստ ցամաքային տարածքի:")</f>
        <v>Ո՞րն է աշխարհի ամենամեծ քաղաքն ըստ ցամաքային տարածքի:</v>
      </c>
      <c r="D5574" s="6" t="str">
        <f>IFERROR(__xludf.DUMMYFUNCTION("GOOGLETRANSLATE(B5574,""en"",""hy"")"),"Աշխարհի ամենամեծ քաղաքը ցամաքային տարածքով Մոսկվան է (Ռուսաստան):")</f>
        <v>Աշխարհի ամենամեծ քաղաքը ցամաքային տարածքով Մոսկվան է (Ռուսաստան):</v>
      </c>
    </row>
    <row r="5575">
      <c r="A5575" s="5" t="s">
        <v>8781</v>
      </c>
      <c r="B5575" s="5" t="s">
        <v>7633</v>
      </c>
      <c r="C5575" s="5" t="str">
        <f>IFERROR(__xludf.DUMMYFUNCTION("GOOGLETRANSLATE(A5575,""en"",""hy"")"),"Ո՞ր մոլորակն է հայտնի իր մեծ կարմիր կետով:")</f>
        <v>Ո՞ր մոլորակն է հայտնի իր մեծ կարմիր կետով:</v>
      </c>
      <c r="D5575" s="6" t="str">
        <f>IFERROR(__xludf.DUMMYFUNCTION("GOOGLETRANSLATE(B5575,""en"",""hy"")"),"Յուպիտեր.")</f>
        <v>Յուպիտեր.</v>
      </c>
    </row>
    <row r="5576">
      <c r="A5576" s="5" t="s">
        <v>8270</v>
      </c>
      <c r="B5576" s="5" t="s">
        <v>8271</v>
      </c>
      <c r="C5576" s="5" t="str">
        <f>IFERROR(__xludf.DUMMYFUNCTION("GOOGLETRANSLATE(A5576,""en"",""hy"")"),"Ո՞րն է Գերմանիայի պաշտոնական լեզուն:")</f>
        <v>Ո՞րն է Գերմանիայի պաշտոնական լեզուն:</v>
      </c>
      <c r="D5576" s="6" t="str">
        <f>IFERROR(__xludf.DUMMYFUNCTION("GOOGLETRANSLATE(B5576,""en"",""hy"")"),"Գերմանիայի պաշտոնական լեզուն գերմաներենն է։")</f>
        <v>Գերմանիայի պաշտոնական լեզուն գերմաներենն է։</v>
      </c>
    </row>
    <row r="5577">
      <c r="A5577" s="5" t="s">
        <v>8223</v>
      </c>
      <c r="B5577" s="5" t="s">
        <v>8782</v>
      </c>
      <c r="C5577" s="5" t="str">
        <f>IFERROR(__xludf.DUMMYFUNCTION("GOOGLETRANSLATE(A5577,""en"",""hy"")"),"Ո՞վ է հայտնաբերել էլեկտրաէներգիան:")</f>
        <v>Ո՞վ է հայտնաբերել էլեկտրաէներգիան:</v>
      </c>
      <c r="D5577" s="6" t="str">
        <f>IFERROR(__xludf.DUMMYFUNCTION("GOOGLETRANSLATE(B5577,""en"",""hy"")"),"Բենջամին Ֆրանկլին")</f>
        <v>Բենջամին Ֆրանկլին</v>
      </c>
    </row>
    <row r="5578">
      <c r="A5578" s="5" t="s">
        <v>7678</v>
      </c>
      <c r="B5578" s="5" t="s">
        <v>7451</v>
      </c>
      <c r="C5578" s="5" t="str">
        <f>IFERROR(__xludf.DUMMYFUNCTION("GOOGLETRANSLATE(A5578,""en"",""hy"")"),"Ո՞րն է Ավստրալիայի մայրաքաղաքը:")</f>
        <v>Ո՞րն է Ավստրալիայի մայրաքաղաքը:</v>
      </c>
      <c r="D5578" s="6" t="str">
        <f>IFERROR(__xludf.DUMMYFUNCTION("GOOGLETRANSLATE(B5578,""en"",""hy"")"),"Կանբերա.")</f>
        <v>Կանբերա.</v>
      </c>
    </row>
    <row r="5579">
      <c r="A5579" s="5" t="s">
        <v>8783</v>
      </c>
      <c r="B5579" s="5" t="s">
        <v>8784</v>
      </c>
      <c r="C5579" s="5" t="str">
        <f>IFERROR(__xludf.DUMMYFUNCTION("GOOGLETRANSLATE(A5579,""en"",""hy"")"),"Ո՞ր կենդանին է հայտնի իր երկար բնով:")</f>
        <v>Ո՞ր կենդանին է հայտնի իր երկար բնով:</v>
      </c>
      <c r="D5579" s="6" t="str">
        <f>IFERROR(__xludf.DUMMYFUNCTION("GOOGLETRANSLATE(B5579,""en"",""hy"")"),"փիղ")</f>
        <v>փիղ</v>
      </c>
    </row>
    <row r="5580">
      <c r="A5580" s="5" t="s">
        <v>7522</v>
      </c>
      <c r="B5580" s="5" t="s">
        <v>8785</v>
      </c>
      <c r="C5580" s="5" t="str">
        <f>IFERROR(__xludf.DUMMYFUNCTION("GOOGLETRANSLATE(A5580,""en"",""hy"")"),"Ո՞րն է Չինաստանի արժույթը:")</f>
        <v>Ո՞րն է Չինաստանի արժույթը:</v>
      </c>
      <c r="D5580" s="6" t="str">
        <f>IFERROR(__xludf.DUMMYFUNCTION("GOOGLETRANSLATE(B5580,""en"",""hy"")"),"Չինաստանի արժույթը չինական յուանն է (CNY):")</f>
        <v>Չինաստանի արժույթը չինական յուանն է (CNY):</v>
      </c>
    </row>
    <row r="5581">
      <c r="A5581" s="5" t="s">
        <v>7780</v>
      </c>
      <c r="B5581" s="5" t="s">
        <v>2951</v>
      </c>
      <c r="C5581" s="5" t="str">
        <f>IFERROR(__xludf.DUMMYFUNCTION("GOOGLETRANSLATE(A5581,""en"",""hy"")"),"Ո՞րն է Կանադայի մայրաքաղաքը:")</f>
        <v>Ո՞րն է Կանադայի մայրաքաղաքը:</v>
      </c>
      <c r="D5581" s="6" t="str">
        <f>IFERROR(__xludf.DUMMYFUNCTION("GOOGLETRANSLATE(B5581,""en"",""hy"")"),"Օտտավա.")</f>
        <v>Օտտավա.</v>
      </c>
    </row>
    <row r="5582">
      <c r="A5582" s="5" t="s">
        <v>7849</v>
      </c>
      <c r="B5582" s="5" t="s">
        <v>7541</v>
      </c>
      <c r="C5582" s="5" t="str">
        <f>IFERROR(__xludf.DUMMYFUNCTION("GOOGLETRANSLATE(A5582,""en"",""hy"")"),"Ո՞վ է գրել «Սպանել ծաղրող թռչունին» վեպը:")</f>
        <v>Ո՞վ է գրել «Սպանել ծաղրող թռչունին» վեպը:</v>
      </c>
      <c r="D5582" s="6" t="str">
        <f>IFERROR(__xludf.DUMMYFUNCTION("GOOGLETRANSLATE(B5582,""en"",""hy"")"),"Հարփեր Լի.")</f>
        <v>Հարփեր Լի.</v>
      </c>
    </row>
    <row r="5583">
      <c r="A5583" s="5" t="s">
        <v>8518</v>
      </c>
      <c r="B5583" s="5" t="s">
        <v>8201</v>
      </c>
      <c r="C5583" s="5" t="str">
        <f>IFERROR(__xludf.DUMMYFUNCTION("GOOGLETRANSLATE(A5583,""en"",""hy"")"),"Ո՞ր երկրում են ծագել Օլիմպիական խաղերը:")</f>
        <v>Ո՞ր երկրում են ծագել Օլիմպիական խաղերը:</v>
      </c>
      <c r="D5583" s="6" t="str">
        <f>IFERROR(__xludf.DUMMYFUNCTION("GOOGLETRANSLATE(B5583,""en"",""hy"")"),"Հունաստան.")</f>
        <v>Հունաստան.</v>
      </c>
    </row>
    <row r="5584">
      <c r="A5584" s="5" t="s">
        <v>8786</v>
      </c>
      <c r="B5584" s="5" t="s">
        <v>7453</v>
      </c>
      <c r="C5584" s="5" t="str">
        <f>IFERROR(__xludf.DUMMYFUNCTION("GOOGLETRANSLATE(A5584,""en"",""hy"")"),"Ո՞րն է ոսկու քիմիական նշանը պարբերական աղյուսակում:")</f>
        <v>Ո՞րն է ոսկու քիմիական նշանը պարբերական աղյուսակում:</v>
      </c>
      <c r="D5584" s="6" t="str">
        <f>IFERROR(__xludf.DUMMYFUNCTION("GOOGLETRANSLATE(B5584,""en"",""hy"")"),"Ոսկու քիմիական նշանը Au-ն է:")</f>
        <v>Ոսկու քիմիական նշանը Au-ն է:</v>
      </c>
    </row>
    <row r="5585">
      <c r="A5585" s="5" t="s">
        <v>8620</v>
      </c>
      <c r="B5585" s="5" t="s">
        <v>7446</v>
      </c>
      <c r="C5585" s="5" t="str">
        <f>IFERROR(__xludf.DUMMYFUNCTION("GOOGLETRANSLATE(A5585,""en"",""hy"")"),"Մեր Արեգակնային համակարգի ո՞ր մոլորակն է հայտնի որպես «Կարմիր մոլորակ»:")</f>
        <v>Մեր Արեգակնային համակարգի ո՞ր մոլորակն է հայտնի որպես «Կարմիր մոլորակ»:</v>
      </c>
      <c r="D5585" s="6" t="str">
        <f>IFERROR(__xludf.DUMMYFUNCTION("GOOGLETRANSLATE(B5585,""en"",""hy"")"),"Մարս.")</f>
        <v>Մարս.</v>
      </c>
    </row>
    <row r="5586">
      <c r="A5586" s="5" t="s">
        <v>8787</v>
      </c>
      <c r="B5586" s="5" t="s">
        <v>7828</v>
      </c>
      <c r="C5586" s="5" t="str">
        <f>IFERROR(__xludf.DUMMYFUNCTION("GOOGLETRANSLATE(A5586,""en"",""hy"")"),"Ո՞վ է նկարել հայտնի «Մոնա Լիզան» արվեստի գործը:")</f>
        <v>Ո՞վ է նկարել հայտնի «Մոնա Լիզան» արվեստի գործը:</v>
      </c>
      <c r="D5586" s="6" t="str">
        <f>IFERROR(__xludf.DUMMYFUNCTION("GOOGLETRANSLATE(B5586,""en"",""hy"")"),"Լեոնարդո դա Վինչի")</f>
        <v>Լեոնարդո դա Վինչի</v>
      </c>
    </row>
    <row r="5587">
      <c r="A5587" s="5" t="s">
        <v>7842</v>
      </c>
      <c r="B5587" s="5" t="s">
        <v>7671</v>
      </c>
      <c r="C5587" s="5" t="str">
        <f>IFERROR(__xludf.DUMMYFUNCTION("GOOGLETRANSLATE(A5587,""en"",""hy"")"),"Ո՞րն է աշխարհի ամենաերկար գետը:")</f>
        <v>Ո՞րն է աշխարհի ամենաերկար գետը:</v>
      </c>
      <c r="D5587" s="6" t="str">
        <f>IFERROR(__xludf.DUMMYFUNCTION("GOOGLETRANSLATE(B5587,""en"",""hy"")"),"Նեղոս գետ.")</f>
        <v>Նեղոս գետ.</v>
      </c>
    </row>
    <row r="5588">
      <c r="A5588" s="5" t="s">
        <v>7461</v>
      </c>
      <c r="B5588" s="5" t="s">
        <v>7462</v>
      </c>
      <c r="C5588" s="5" t="str">
        <f>IFERROR(__xludf.DUMMYFUNCTION("GOOGLETRANSLATE(A5588,""en"",""hy"")"),"Ո՞րն է մարդու մարմնի ամենամեծ օրգանը:")</f>
        <v>Ո՞րն է մարդու մարմնի ամենամեծ օրգանը:</v>
      </c>
      <c r="D5588" s="6" t="str">
        <f>IFERROR(__xludf.DUMMYFUNCTION("GOOGLETRANSLATE(B5588,""en"",""hy"")"),"Մաշկը.")</f>
        <v>Մաշկը.</v>
      </c>
    </row>
    <row r="5589">
      <c r="A5589" s="5" t="s">
        <v>7469</v>
      </c>
      <c r="B5589" s="5" t="s">
        <v>7470</v>
      </c>
      <c r="C5589" s="5" t="str">
        <f>IFERROR(__xludf.DUMMYFUNCTION("GOOGLETRANSLATE(A5589,""en"",""hy"")"),"Ո՞ր տարում ավարտվեց Երկրորդ համաշխարհային պատերազմը:")</f>
        <v>Ո՞ր տարում ավարտվեց Երկրորդ համաշխարհային պատերազմը:</v>
      </c>
      <c r="D5589" s="6" t="str">
        <f>IFERROR(__xludf.DUMMYFUNCTION("GOOGLETRANSLATE(B5589,""en"",""hy"")"),"Երկրորդ համաշխարհային պատերազմն ավարտվեց 1945 թվականին։")</f>
        <v>Երկրորդ համաշխարհային պատերազմն ավարտվեց 1945 թվականին։</v>
      </c>
    </row>
    <row r="5590">
      <c r="A5590" s="5" t="s">
        <v>7480</v>
      </c>
      <c r="B5590" s="5" t="s">
        <v>7481</v>
      </c>
      <c r="C5590" s="5" t="str">
        <f>IFERROR(__xludf.DUMMYFUNCTION("GOOGLETRANSLATE(A5590,""en"",""hy"")"),"Ո՞րն է Միացյալ Նահանգների ազգային թռչունը:")</f>
        <v>Ո՞րն է Միացյալ Նահանգների ազգային թռչունը:</v>
      </c>
      <c r="D5590" s="6" t="str">
        <f>IFERROR(__xludf.DUMMYFUNCTION("GOOGLETRANSLATE(B5590,""en"",""hy"")"),"Միացյալ Նահանգների ազգային թռչունը ճաղատ արծիվն է։")</f>
        <v>Միացյալ Նահանգների ազգային թռչունը ճաղատ արծիվն է։</v>
      </c>
    </row>
    <row r="5591">
      <c r="A5591" s="5" t="s">
        <v>7645</v>
      </c>
      <c r="B5591" s="5" t="s">
        <v>8336</v>
      </c>
      <c r="C5591" s="5" t="str">
        <f>IFERROR(__xludf.DUMMYFUNCTION("GOOGLETRANSLATE(A5591,""en"",""hy"")"),"Ո՞րն է Երկրի ամենամեծ օվկիանոսը:")</f>
        <v>Ո՞րն է Երկրի ամենամեծ օվկիանոսը:</v>
      </c>
      <c r="D5591" s="6" t="str">
        <f>IFERROR(__xludf.DUMMYFUNCTION("GOOGLETRANSLATE(B5591,""en"",""hy"")"),"Երկրի ամենամեծ օվկիանոսը Խաղաղ օվկիանոսն է։")</f>
        <v>Երկրի ամենամեծ օվկիանոսը Խաղաղ օվկիանոսն է։</v>
      </c>
    </row>
    <row r="5592">
      <c r="A5592" s="5" t="s">
        <v>8223</v>
      </c>
      <c r="B5592" s="5" t="s">
        <v>8788</v>
      </c>
      <c r="C5592" s="5" t="str">
        <f>IFERROR(__xludf.DUMMYFUNCTION("GOOGLETRANSLATE(A5592,""en"",""hy"")"),"Ո՞վ է հայտնաբերել էլեկտրաէներգիան:")</f>
        <v>Ո՞վ է հայտնաբերել էլեկտրաէներգիան:</v>
      </c>
      <c r="D5592" s="6" t="str">
        <f>IFERROR(__xludf.DUMMYFUNCTION("GOOGLETRANSLATE(B5592,""en"",""hy"")"),"Բենջամին Ֆրանկլինը հաճախ վերագրվում է էլեկտրաէներգիայի հայտնաբերմանը:")</f>
        <v>Բենջամին Ֆրանկլինը հաճախ վերագրվում է էլեկտրաէներգիայի հայտնաբերմանը:</v>
      </c>
    </row>
    <row r="5593">
      <c r="A5593" s="5" t="s">
        <v>8789</v>
      </c>
      <c r="B5593" s="5" t="s">
        <v>7673</v>
      </c>
      <c r="C5593" s="5" t="str">
        <f>IFERROR(__xludf.DUMMYFUNCTION("GOOGLETRANSLATE(A5593,""en"",""hy"")"),"Ո՞ր երկիրն է աշխարհում սուրճի ամենամեծ արտադրողը:")</f>
        <v>Ո՞ր երկիրն է աշխարհում սուրճի ամենամեծ արտադրողը:</v>
      </c>
      <c r="D5593" s="6" t="str">
        <f>IFERROR(__xludf.DUMMYFUNCTION("GOOGLETRANSLATE(B5593,""en"",""hy"")"),"Բրազիլիա.")</f>
        <v>Բրազիլիա.</v>
      </c>
    </row>
    <row r="5594">
      <c r="A5594" s="5" t="s">
        <v>7640</v>
      </c>
      <c r="B5594" s="5" t="s">
        <v>1016</v>
      </c>
      <c r="C5594" s="5" t="str">
        <f>IFERROR(__xludf.DUMMYFUNCTION("GOOGLETRANSLATE(A5594,""en"",""hy"")"),"Ո՞վ է գրել «Ռոմեո և Ջուլիետ» պիեսը:")</f>
        <v>Ո՞վ է գրել «Ռոմեո և Ջուլիետ» պիեսը:</v>
      </c>
      <c r="D5594" s="6" t="str">
        <f>IFERROR(__xludf.DUMMYFUNCTION("GOOGLETRANSLATE(B5594,""en"",""hy"")"),"Ուիլյամ Շեքսպիր.")</f>
        <v>Ուիլյամ Շեքսպիր.</v>
      </c>
    </row>
    <row r="5595">
      <c r="A5595" s="5" t="s">
        <v>7483</v>
      </c>
      <c r="B5595" s="5" t="s">
        <v>8295</v>
      </c>
      <c r="C5595" s="5" t="str">
        <f>IFERROR(__xludf.DUMMYFUNCTION("GOOGLETRANSLATE(A5595,""en"",""hy"")"),"Ո՞րն է ջրի քիմիական բանաձևը:")</f>
        <v>Ո՞րն է ջրի քիմիական բանաձևը:</v>
      </c>
      <c r="D5595" s="6" t="str">
        <f>IFERROR(__xludf.DUMMYFUNCTION("GOOGLETRANSLATE(B5595,""en"",""hy"")"),"H2O")</f>
        <v>H2O</v>
      </c>
    </row>
    <row r="5596">
      <c r="A5596" s="5" t="s">
        <v>7722</v>
      </c>
      <c r="B5596" s="5" t="s">
        <v>7723</v>
      </c>
      <c r="C5596" s="5" t="str">
        <f>IFERROR(__xludf.DUMMYFUNCTION("GOOGLETRANSLATE(A5596,""en"",""hy"")"),"Ո՞րն է Աֆրիկայի ամենաբարձր լեռը:")</f>
        <v>Ո՞րն է Աֆրիկայի ամենաբարձր լեռը:</v>
      </c>
      <c r="D5596" s="6" t="str">
        <f>IFERROR(__xludf.DUMMYFUNCTION("GOOGLETRANSLATE(B5596,""en"",""hy"")"),"Կիլիմանջարո լեռ.")</f>
        <v>Կիլիմանջարո լեռ.</v>
      </c>
    </row>
    <row r="5597">
      <c r="A5597" s="5" t="s">
        <v>8240</v>
      </c>
      <c r="B5597" s="5" t="s">
        <v>7635</v>
      </c>
      <c r="C5597" s="5" t="str">
        <f>IFERROR(__xludf.DUMMYFUNCTION("GOOGLETRANSLATE(A5597,""en"",""hy"")"),"Ո՞վ էր առաջին մարդը, ով ոտք դրեց լուսնի վրա:")</f>
        <v>Ո՞վ էր առաջին մարդը, ով ոտք դրեց լուսնի վրա:</v>
      </c>
      <c r="D5597" s="6" t="str">
        <f>IFERROR(__xludf.DUMMYFUNCTION("GOOGLETRANSLATE(B5597,""en"",""hy"")"),"Նիլ Արմսթրոնգ.")</f>
        <v>Նիլ Արմսթրոնգ.</v>
      </c>
    </row>
    <row r="5598">
      <c r="A5598" s="5" t="s">
        <v>7920</v>
      </c>
      <c r="B5598" s="5" t="s">
        <v>7921</v>
      </c>
      <c r="C5598" s="5" t="str">
        <f>IFERROR(__xludf.DUMMYFUNCTION("GOOGLETRANSLATE(A5598,""en"",""hy"")"),"Ո՞ր երկրում է գտնվում Թաջ Մահալը:")</f>
        <v>Ո՞ր երկրում է գտնվում Թաջ Մահալը:</v>
      </c>
      <c r="D5598" s="6" t="str">
        <f>IFERROR(__xludf.DUMMYFUNCTION("GOOGLETRANSLATE(B5598,""en"",""hy"")"),"Հնդկաստան.")</f>
        <v>Հնդկաստան.</v>
      </c>
    </row>
    <row r="5599">
      <c r="A5599" s="5" t="s">
        <v>7513</v>
      </c>
      <c r="B5599" s="5" t="s">
        <v>7783</v>
      </c>
      <c r="C5599" s="5" t="str">
        <f>IFERROR(__xludf.DUMMYFUNCTION("GOOGLETRANSLATE(A5599,""en"",""hy"")"),"Ո՞րն է աշխարհի ամենամեծ անապատը:")</f>
        <v>Ո՞րն է աշխարհի ամենամեծ անապատը:</v>
      </c>
      <c r="D5599" s="6" t="str">
        <f>IFERROR(__xludf.DUMMYFUNCTION("GOOGLETRANSLATE(B5599,""en"",""hy"")"),"Սահարա անապատ.")</f>
        <v>Սահարա անապատ.</v>
      </c>
    </row>
    <row r="5600">
      <c r="A5600" s="5" t="s">
        <v>7534</v>
      </c>
      <c r="B5600" s="5" t="s">
        <v>7535</v>
      </c>
      <c r="C5600" s="5" t="str">
        <f>IFERROR(__xludf.DUMMYFUNCTION("GOOGLETRANSLATE(A5600,""en"",""hy"")"),"Ո՞վ է հորինել հեռախոսը:")</f>
        <v>Ո՞վ է հորինել հեռախոսը:</v>
      </c>
      <c r="D5600" s="6" t="str">
        <f>IFERROR(__xludf.DUMMYFUNCTION("GOOGLETRANSLATE(B5600,""en"",""hy"")"),"Ալեքսանդր Գրեհեմ Բել.")</f>
        <v>Ալեքսանդր Գրեհեմ Բել.</v>
      </c>
    </row>
    <row r="5601">
      <c r="A5601" s="5" t="s">
        <v>7467</v>
      </c>
      <c r="B5601" s="5" t="s">
        <v>8790</v>
      </c>
      <c r="C5601" s="5" t="str">
        <f>IFERROR(__xludf.DUMMYFUNCTION("GOOGLETRANSLATE(A5601,""en"",""hy"")"),"Ո՞րն է Ճապոնիայի արժույթը:")</f>
        <v>Ո՞րն է Ճապոնիայի արժույթը:</v>
      </c>
      <c r="D5601" s="6" t="str">
        <f>IFERROR(__xludf.DUMMYFUNCTION("GOOGLETRANSLATE(B5601,""en"",""hy"")"),"Ճապոնիայի արժույթը իենն է։")</f>
        <v>Ճապոնիայի արժույթը իենն է։</v>
      </c>
    </row>
    <row r="5602">
      <c r="A5602" s="5" t="s">
        <v>7791</v>
      </c>
      <c r="B5602" s="5" t="s">
        <v>8128</v>
      </c>
      <c r="C5602" s="5" t="str">
        <f>IFERROR(__xludf.DUMMYFUNCTION("GOOGLETRANSLATE(A5602,""en"",""hy"")"),"Ո՞րն է Ավստրալիայի ազգային կենդանին:")</f>
        <v>Ո՞րն է Ավստրալիայի ազգային կենդանին:</v>
      </c>
      <c r="D5602" s="6" t="str">
        <f>IFERROR(__xludf.DUMMYFUNCTION("GOOGLETRANSLATE(B5602,""en"",""hy"")"),"Կենգուրու.")</f>
        <v>Կենգուրու.</v>
      </c>
    </row>
    <row r="5603">
      <c r="A5603" s="5" t="s">
        <v>7473</v>
      </c>
      <c r="B5603" s="5" t="s">
        <v>7878</v>
      </c>
      <c r="C5603" s="5" t="str">
        <f>IFERROR(__xludf.DUMMYFUNCTION("GOOGLETRANSLATE(A5603,""en"",""hy"")"),"Ո՞վ է նկարել Սիքստինյան կապելլայի առաստաղը:")</f>
        <v>Ո՞վ է նկարել Սիքստինյան կապելլայի առաստաղը:</v>
      </c>
      <c r="D5603" s="6" t="str">
        <f>IFERROR(__xludf.DUMMYFUNCTION("GOOGLETRANSLATE(B5603,""en"",""hy"")"),"Միքելանջելո")</f>
        <v>Միքելանջելո</v>
      </c>
    </row>
    <row r="5604">
      <c r="A5604" s="5" t="s">
        <v>8124</v>
      </c>
      <c r="B5604" s="5" t="s">
        <v>1299</v>
      </c>
      <c r="C5604" s="5" t="str">
        <f>IFERROR(__xludf.DUMMYFUNCTION("GOOGLETRANSLATE(A5604,""en"",""hy"")"),"Ո՞րն է ամենամեծ մայրցամաքը ըստ ցամաքային տարածքի:")</f>
        <v>Ո՞րն է ամենամեծ մայրցամաքը ըստ ցամաքային տարածքի:</v>
      </c>
      <c r="D5604" s="6" t="str">
        <f>IFERROR(__xludf.DUMMYFUNCTION("GOOGLETRANSLATE(B5604,""en"",""hy"")"),"Ասիա.")</f>
        <v>Ասիա.</v>
      </c>
    </row>
    <row r="5605">
      <c r="A5605" s="5" t="s">
        <v>7960</v>
      </c>
      <c r="B5605" s="7">
        <v>1912.0</v>
      </c>
      <c r="C5605" s="5" t="str">
        <f>IFERROR(__xludf.DUMMYFUNCTION("GOOGLETRANSLATE(A5605,""en"",""hy"")"),"Ո՞ր տարում է խորտակվել Տիտանիկը:")</f>
        <v>Ո՞ր տարում է խորտակվել Տիտանիկը:</v>
      </c>
      <c r="D5605" s="6" t="str">
        <f>IFERROR(__xludf.DUMMYFUNCTION("GOOGLETRANSLATE(B5605,""en"",""hy"")"),"1912 թ")</f>
        <v>1912 թ</v>
      </c>
    </row>
    <row r="5606">
      <c r="A5606" s="5" t="s">
        <v>7913</v>
      </c>
      <c r="B5606" s="5" t="s">
        <v>8791</v>
      </c>
      <c r="C5606" s="5" t="str">
        <f>IFERROR(__xludf.DUMMYFUNCTION("GOOGLETRANSLATE(A5606,""en"",""hy"")"),"Ի՞նչ է կոչվում այն ​​գործընթացը, որով բույսերը արևի լույսը վերածում են էներգիայի:")</f>
        <v>Ի՞նչ է կոչվում այն ​​գործընթացը, որով բույսերը արևի լույսը վերածում են էներգիայի:</v>
      </c>
      <c r="D5606" s="6" t="str">
        <f>IFERROR(__xludf.DUMMYFUNCTION("GOOGLETRANSLATE(B5606,""en"",""hy"")"),"Գործընթացը կոչվում է ֆոտոսինթեզ։")</f>
        <v>Գործընթացը կոչվում է ֆոտոսինթեզ։</v>
      </c>
    </row>
    <row r="5607">
      <c r="A5607" s="5" t="s">
        <v>7854</v>
      </c>
      <c r="B5607" s="5" t="s">
        <v>7458</v>
      </c>
      <c r="C5607" s="5" t="str">
        <f>IFERROR(__xludf.DUMMYFUNCTION("GOOGLETRANSLATE(A5607,""en"",""hy"")"),"Ո՞վ էր Միացյալ Նահանգների առաջին նախագահը:")</f>
        <v>Ո՞վ էր Միացյալ Նահանգների առաջին նախագահը:</v>
      </c>
      <c r="D5607" s="6" t="str">
        <f>IFERROR(__xludf.DUMMYFUNCTION("GOOGLETRANSLATE(B5607,""en"",""hy"")"),"Ջորջ Վաշինգտոն.")</f>
        <v>Ջորջ Վաշինգտոն.</v>
      </c>
    </row>
    <row r="5608">
      <c r="A5608" s="5" t="s">
        <v>8792</v>
      </c>
      <c r="B5608" s="5" t="s">
        <v>8407</v>
      </c>
      <c r="C5608" s="5" t="str">
        <f>IFERROR(__xludf.DUMMYFUNCTION("GOOGLETRANSLATE(A5608,""en"",""hy"")"),"Ո՞րն է աշխարհի ամենամեծ կորալային խութ համակարգը:")</f>
        <v>Ո՞րն է աշխարհի ամենամեծ կորալային խութ համակարգը:</v>
      </c>
      <c r="D5608" s="6" t="str">
        <f>IFERROR(__xludf.DUMMYFUNCTION("GOOGLETRANSLATE(B5608,""en"",""hy"")"),"Մեծ արգելախութ.")</f>
        <v>Մեծ արգելախութ.</v>
      </c>
    </row>
    <row r="5609">
      <c r="A5609" s="5" t="s">
        <v>7477</v>
      </c>
      <c r="B5609" s="5" t="s">
        <v>7478</v>
      </c>
      <c r="C5609" s="5" t="str">
        <f>IFERROR(__xludf.DUMMYFUNCTION("GOOGLETRANSLATE(A5609,""en"",""hy"")"),"Ո՞ր երկիրն է հայտնի որպես «Ծագող արևի երկիր»:")</f>
        <v>Ո՞ր երկիրն է հայտնի որպես «Ծագող արևի երկիր»:</v>
      </c>
      <c r="D5609" s="6" t="str">
        <f>IFERROR(__xludf.DUMMYFUNCTION("GOOGLETRANSLATE(B5609,""en"",""hy"")"),"Ճապոնիա.")</f>
        <v>Ճապոնիա.</v>
      </c>
    </row>
    <row r="5610">
      <c r="A5610" s="5" t="s">
        <v>7785</v>
      </c>
      <c r="B5610" s="5" t="s">
        <v>8793</v>
      </c>
      <c r="C5610" s="5" t="str">
        <f>IFERROR(__xludf.DUMMYFUNCTION("GOOGLETRANSLATE(A5610,""en"",""hy"")"),"Ո՞վ է հիմնել Microsoft-ը:")</f>
        <v>Ո՞վ է հիմնել Microsoft-ը:</v>
      </c>
      <c r="D5610" s="6" t="str">
        <f>IFERROR(__xludf.DUMMYFUNCTION("GOOGLETRANSLATE(B5610,""en"",""hy"")"),"Բիլ Գեյթսը և Փոլ Ալենը հիմնել են Microsoft-ը։")</f>
        <v>Բիլ Գեյթսը և Փոլ Ալենը հիմնել են Microsoft-ը։</v>
      </c>
    </row>
    <row r="5611">
      <c r="A5611" s="5" t="s">
        <v>8138</v>
      </c>
      <c r="B5611" s="5" t="s">
        <v>6236</v>
      </c>
      <c r="C5611" s="5" t="str">
        <f>IFERROR(__xludf.DUMMYFUNCTION("GOOGLETRANSLATE(A5611,""en"",""hy"")"),"Ո՞րն է Բրազիլիայում խոսվող հիմնական լեզուն:")</f>
        <v>Ո՞րն է Բրազիլիայում խոսվող հիմնական լեզուն:</v>
      </c>
      <c r="D5611" s="6" t="str">
        <f>IFERROR(__xludf.DUMMYFUNCTION("GOOGLETRANSLATE(B5611,""en"",""hy"")"),"պորտուգալերեն.")</f>
        <v>պորտուգալերեն.</v>
      </c>
    </row>
    <row r="5612">
      <c r="A5612" s="5" t="s">
        <v>8247</v>
      </c>
      <c r="B5612" s="5" t="s">
        <v>3535</v>
      </c>
      <c r="C5612" s="5" t="str">
        <f>IFERROR(__xludf.DUMMYFUNCTION("GOOGLETRANSLATE(A5612,""en"",""hy"")"),"Ո՞ր երկրում է գտնվում Մեծ արգելախութը:")</f>
        <v>Ո՞ր երկրում է գտնվում Մեծ արգելախութը:</v>
      </c>
      <c r="D5612" s="6" t="str">
        <f>IFERROR(__xludf.DUMMYFUNCTION("GOOGLETRANSLATE(B5612,""en"",""hy"")"),"Ավստրալիա.")</f>
        <v>Ավստրալիա.</v>
      </c>
    </row>
    <row r="5613">
      <c r="A5613" s="5" t="s">
        <v>7698</v>
      </c>
      <c r="B5613" s="5" t="s">
        <v>7630</v>
      </c>
      <c r="C5613" s="5" t="str">
        <f>IFERROR(__xludf.DUMMYFUNCTION("GOOGLETRANSLATE(A5613,""en"",""hy"")"),"Ո՞վ է գրել «Հպարտություն և նախապաշարմունք» վեպը:")</f>
        <v>Ո՞վ է գրել «Հպարտություն և նախապաշարմունք» վեպը:</v>
      </c>
      <c r="D5613" s="6" t="str">
        <f>IFERROR(__xludf.DUMMYFUNCTION("GOOGLETRANSLATE(B5613,""en"",""hy"")"),"Ջեյն Օսթին.")</f>
        <v>Ջեյն Օսթին.</v>
      </c>
    </row>
    <row r="5614">
      <c r="A5614" s="5" t="s">
        <v>7500</v>
      </c>
      <c r="B5614" s="5" t="s">
        <v>8170</v>
      </c>
      <c r="C5614" s="5" t="str">
        <f>IFERROR(__xludf.DUMMYFUNCTION("GOOGLETRANSLATE(A5614,""en"",""hy"")"),"Ո՞րն է Ֆրանսիայի մայրաքաղաքը:")</f>
        <v>Ո՞րն է Ֆրանսիայի մայրաքաղաքը:</v>
      </c>
      <c r="D5614" s="6" t="str">
        <f>IFERROR(__xludf.DUMMYFUNCTION("GOOGLETRANSLATE(B5614,""en"",""hy"")"),"Փարիզ")</f>
        <v>Փարիզ</v>
      </c>
    </row>
    <row r="5615">
      <c r="A5615" s="5" t="s">
        <v>7915</v>
      </c>
      <c r="B5615" s="5" t="s">
        <v>7916</v>
      </c>
      <c r="C5615" s="5" t="str">
        <f>IFERROR(__xludf.DUMMYFUNCTION("GOOGLETRANSLATE(A5615,""en"",""hy"")"),"Քանի՞ ոսկոր կա մարդու մարմնում:")</f>
        <v>Քանի՞ ոսկոր կա մարդու մարմնում:</v>
      </c>
      <c r="D5615" s="6" t="str">
        <f>IFERROR(__xludf.DUMMYFUNCTION("GOOGLETRANSLATE(B5615,""en"",""hy"")"),"Մարդու մարմնում կա 206 ոսկոր։")</f>
        <v>Մարդու մարմնում կա 206 ոսկոր։</v>
      </c>
    </row>
    <row r="5616">
      <c r="A5616" s="5" t="s">
        <v>7757</v>
      </c>
      <c r="B5616" s="5" t="s">
        <v>7648</v>
      </c>
      <c r="C5616" s="5" t="str">
        <f>IFERROR(__xludf.DUMMYFUNCTION("GOOGLETRANSLATE(A5616,""en"",""hy"")"),"Ո՞վ է նկարել հայտնի «Աստղային գիշեր» արվեստի գործը:")</f>
        <v>Ո՞վ է նկարել հայտնի «Աստղային գիշեր» արվեստի գործը:</v>
      </c>
      <c r="D5616" s="6" t="str">
        <f>IFERROR(__xludf.DUMMYFUNCTION("GOOGLETRANSLATE(B5616,""en"",""hy"")"),"Վինսենթ վան Գոգ.")</f>
        <v>Վինսենթ վան Գոգ.</v>
      </c>
    </row>
    <row r="5617">
      <c r="A5617" s="5" t="s">
        <v>7471</v>
      </c>
      <c r="B5617" s="5" t="s">
        <v>7472</v>
      </c>
      <c r="C5617" s="5" t="str">
        <f>IFERROR(__xludf.DUMMYFUNCTION("GOOGLETRANSLATE(A5617,""en"",""hy"")"),"Ո՞րն է Երկրի ամենամեծ կենդանին:")</f>
        <v>Ո՞րն է Երկրի ամենամեծ կենդանին:</v>
      </c>
      <c r="D5617" s="6" t="str">
        <f>IFERROR(__xludf.DUMMYFUNCTION("GOOGLETRANSLATE(B5617,""en"",""hy"")"),"Կապույտ կետը.")</f>
        <v>Կապույտ կետը.</v>
      </c>
    </row>
    <row r="5618">
      <c r="A5618" s="5" t="s">
        <v>8307</v>
      </c>
      <c r="B5618" s="5" t="s">
        <v>8794</v>
      </c>
      <c r="C5618" s="5" t="str">
        <f>IFERROR(__xludf.DUMMYFUNCTION("GOOGLETRANSLATE(A5618,""en"",""hy"")"),"Ո՞ր երկրում է հորինվել շախմատի խաղը.")</f>
        <v>Ո՞ր երկրում է հորինվել շախմատի խաղը.</v>
      </c>
      <c r="D5618" s="6" t="str">
        <f>IFERROR(__xludf.DUMMYFUNCTION("GOOGLETRANSLATE(B5618,""en"",""hy"")"),"Շախմատի խաղը հորինել են Հնդկաստանում։")</f>
        <v>Շախմատի խաղը հորինել են Հնդկաստանում։</v>
      </c>
    </row>
    <row r="5619">
      <c r="A5619" s="5" t="s">
        <v>7536</v>
      </c>
      <c r="B5619" s="5" t="s">
        <v>7537</v>
      </c>
      <c r="C5619" s="5" t="str">
        <f>IFERROR(__xludf.DUMMYFUNCTION("GOOGLETRANSLATE(A5619,""en"",""hy"")"),"Ո՞րն է Ռուսաստանի մայրաքաղաքը:")</f>
        <v>Ո՞րն է Ռուսաստանի մայրաքաղաքը:</v>
      </c>
      <c r="D5619" s="6" t="str">
        <f>IFERROR(__xludf.DUMMYFUNCTION("GOOGLETRANSLATE(B5619,""en"",""hy"")"),"Մոսկվա")</f>
        <v>Մոսկվա</v>
      </c>
    </row>
    <row r="5620">
      <c r="A5620" s="5" t="s">
        <v>7479</v>
      </c>
      <c r="B5620" s="5" t="s">
        <v>1996</v>
      </c>
      <c r="C5620" s="5" t="str">
        <f>IFERROR(__xludf.DUMMYFUNCTION("GOOGLETRANSLATE(A5620,""en"",""hy"")"),"Ո՞վ է Միացյալ Թագավորության ներկայիս վարչապետը:")</f>
        <v>Ո՞վ է Միացյալ Թագավորության ներկայիս վարչապետը:</v>
      </c>
      <c r="D5620" s="6" t="str">
        <f>IFERROR(__xludf.DUMMYFUNCTION("GOOGLETRANSLATE(B5620,""en"",""hy"")"),"Բորիս Ջոնսոն.")</f>
        <v>Բորիս Ջոնսոն.</v>
      </c>
    </row>
    <row r="5621">
      <c r="A5621" s="5" t="s">
        <v>8410</v>
      </c>
      <c r="B5621" s="5" t="s">
        <v>8742</v>
      </c>
      <c r="C5621" s="5" t="str">
        <f>IFERROR(__xludf.DUMMYFUNCTION("GOOGLETRANSLATE(A5621,""en"",""hy"")"),"Ո՞րն է բոլոր ժամանակների ամենաշատ եկամուտ ստացած ֆիլմը:")</f>
        <v>Ո՞րն է բոլոր ժամանակների ամենաշատ եկամուտ ստացած ֆիլմը:</v>
      </c>
      <c r="D5621" s="6" t="str">
        <f>IFERROR(__xludf.DUMMYFUNCTION("GOOGLETRANSLATE(B5621,""en"",""hy"")"),"Վրիժառուներ. վերջնախաղ.")</f>
        <v>Վրիժառուներ. վերջնախաղ.</v>
      </c>
    </row>
    <row r="5622">
      <c r="A5622" s="5" t="s">
        <v>8795</v>
      </c>
      <c r="B5622" s="5" t="s">
        <v>7972</v>
      </c>
      <c r="C5622" s="5" t="str">
        <f>IFERROR(__xludf.DUMMYFUNCTION("GOOGLETRANSLATE(A5622,""en"",""hy"")"),"Ո՞ր երկիրն է ԱՄՆ-ին նվիրել Ազատության արձանը.")</f>
        <v>Ո՞ր երկիրն է ԱՄՆ-ին նվիրել Ազատության արձանը.</v>
      </c>
      <c r="D5622" s="6" t="str">
        <f>IFERROR(__xludf.DUMMYFUNCTION("GOOGLETRANSLATE(B5622,""en"",""hy"")"),"Ֆրանսիա.")</f>
        <v>Ֆրանսիա.</v>
      </c>
    </row>
    <row r="5623">
      <c r="A5623" s="5" t="s">
        <v>7485</v>
      </c>
      <c r="B5623" s="5" t="s">
        <v>7486</v>
      </c>
      <c r="C5623" s="5" t="str">
        <f>IFERROR(__xludf.DUMMYFUNCTION("GOOGLETRANSLATE(A5623,""en"",""hy"")"),"Ո՞վ է Հարի Փոթերի շարքի հեղինակը:")</f>
        <v>Ո՞վ է Հարի Փոթերի շարքի հեղինակը:</v>
      </c>
      <c r="D5623" s="6" t="str">
        <f>IFERROR(__xludf.DUMMYFUNCTION("GOOGLETRANSLATE(B5623,""en"",""hy"")"),"Ջ.Կ. Ռոուլինգ.")</f>
        <v>Ջ.Կ. Ռոուլինգ.</v>
      </c>
    </row>
    <row r="5624">
      <c r="A5624" s="5" t="s">
        <v>8796</v>
      </c>
      <c r="B5624" s="5" t="s">
        <v>8797</v>
      </c>
      <c r="C5624" s="5" t="str">
        <f>IFERROR(__xludf.DUMMYFUNCTION("GOOGLETRANSLATE(A5624,""en"",""hy"")"),"Ո՞րն է երկաթի քիմիական նշանը պարբերական աղյուսակում:")</f>
        <v>Ո՞րն է երկաթի քիմիական նշանը պարբերական աղյուսակում:</v>
      </c>
      <c r="D5624" s="6" t="str">
        <f>IFERROR(__xludf.DUMMYFUNCTION("GOOGLETRANSLATE(B5624,""en"",""hy"")"),"Պարբերական աղյուսակում երկաթի քիմիական նշանը Fe է:")</f>
        <v>Պարբերական աղյուսակում երկաթի քիմիական նշանը Fe է:</v>
      </c>
    </row>
    <row r="5625">
      <c r="A5625" s="5" t="s">
        <v>8172</v>
      </c>
      <c r="B5625" s="5" t="s">
        <v>7733</v>
      </c>
      <c r="C5625" s="5" t="str">
        <f>IFERROR(__xludf.DUMMYFUNCTION("GOOGLETRANSLATE(A5625,""en"",""hy"")"),"Ո՞րն է աշխարհի ամենաբարձր ջրվեժը:")</f>
        <v>Ո՞րն է աշխարհի ամենաբարձր ջրվեժը:</v>
      </c>
      <c r="D5625" s="6" t="str">
        <f>IFERROR(__xludf.DUMMYFUNCTION("GOOGLETRANSLATE(B5625,""en"",""hy"")"),"Angel Falls.")</f>
        <v>Angel Falls.</v>
      </c>
    </row>
    <row r="5626">
      <c r="A5626" s="5" t="s">
        <v>7966</v>
      </c>
      <c r="B5626" s="5" t="s">
        <v>7967</v>
      </c>
      <c r="C5626" s="5" t="str">
        <f>IFERROR(__xludf.DUMMYFUNCTION("GOOGLETRANSLATE(A5626,""en"",""hy"")"),"Ո՞վ է եղել առաջին կինը, ով Նոբելյան մրցանակ է ստացել:")</f>
        <v>Ո՞վ է եղել առաջին կինը, ով Նոբելյան մրցանակ է ստացել:</v>
      </c>
      <c r="D5626" s="6" t="str">
        <f>IFERROR(__xludf.DUMMYFUNCTION("GOOGLETRANSLATE(B5626,""en"",""hy"")"),"Մարի Կյուրի.")</f>
        <v>Մարի Կյուրի.</v>
      </c>
    </row>
    <row r="5627">
      <c r="A5627" s="5" t="s">
        <v>7957</v>
      </c>
      <c r="B5627" s="5" t="s">
        <v>2790</v>
      </c>
      <c r="C5627" s="5" t="str">
        <f>IFERROR(__xludf.DUMMYFUNCTION("GOOGLETRANSLATE(A5627,""en"",""hy"")"),"Ո՞ր երկրում է գտնվում Մեծ պարիսպը:")</f>
        <v>Ո՞ր երկրում է գտնվում Մեծ պարիսպը:</v>
      </c>
      <c r="D5627" s="6" t="str">
        <f>IFERROR(__xludf.DUMMYFUNCTION("GOOGLETRANSLATE(B5627,""en"",""hy"")"),"Չինաստան.")</f>
        <v>Չինաստան.</v>
      </c>
    </row>
    <row r="5628">
      <c r="A5628" s="5" t="s">
        <v>7553</v>
      </c>
      <c r="B5628" s="5" t="s">
        <v>7249</v>
      </c>
      <c r="C5628" s="5" t="str">
        <f>IFERROR(__xludf.DUMMYFUNCTION("GOOGLETRANSLATE(A5628,""en"",""hy"")"),"Ո՞րն է Հարավային Աֆրիկայի մայրաքաղաքը:")</f>
        <v>Ո՞րն է Հարավային Աֆրիկայի մայրաքաղաքը:</v>
      </c>
      <c r="D5628" s="6" t="str">
        <f>IFERROR(__xludf.DUMMYFUNCTION("GOOGLETRANSLATE(B5628,""en"",""hy"")"),"Հարավային Աֆրիկայի մայրաքաղաքը Պրետորիան է։")</f>
        <v>Հարավային Աֆրիկայի մայրաքաղաքը Պրետորիան է։</v>
      </c>
    </row>
    <row r="5629">
      <c r="A5629" s="5" t="s">
        <v>8246</v>
      </c>
      <c r="B5629" s="5" t="s">
        <v>7648</v>
      </c>
      <c r="C5629" s="5" t="str">
        <f>IFERROR(__xludf.DUMMYFUNCTION("GOOGLETRANSLATE(A5629,""en"",""hy"")"),"Ո՞վ է նկարել հայտնի «Աստղային գիշերը» արվեստի գործը:")</f>
        <v>Ո՞վ է նկարել հայտնի «Աստղային գիշերը» արվեստի գործը:</v>
      </c>
      <c r="D5629" s="6" t="str">
        <f>IFERROR(__xludf.DUMMYFUNCTION("GOOGLETRANSLATE(B5629,""en"",""hy"")"),"Վինսենթ վան Գոգ.")</f>
        <v>Վինսենթ վան Գոգ.</v>
      </c>
    </row>
    <row r="5630">
      <c r="A5630" s="5" t="s">
        <v>7632</v>
      </c>
      <c r="B5630" s="5" t="s">
        <v>7912</v>
      </c>
      <c r="C5630" s="5" t="str">
        <f>IFERROR(__xludf.DUMMYFUNCTION("GOOGLETRANSLATE(A5630,""en"",""hy"")"),"Ո՞րն է մեր արեգակնային համակարգի ամենամեծ մոլորակը:")</f>
        <v>Ո՞րն է մեր արեգակնային համակարգի ամենամեծ մոլորակը:</v>
      </c>
      <c r="D5630" s="6" t="str">
        <f>IFERROR(__xludf.DUMMYFUNCTION("GOOGLETRANSLATE(B5630,""en"",""hy"")"),"Յուպիտեր")</f>
        <v>Յուպիտեր</v>
      </c>
    </row>
    <row r="5631">
      <c r="A5631" s="5" t="s">
        <v>7572</v>
      </c>
      <c r="B5631" s="5" t="s">
        <v>7573</v>
      </c>
      <c r="C5631" s="5" t="str">
        <f>IFERROR(__xludf.DUMMYFUNCTION("GOOGLETRANSLATE(A5631,""en"",""hy"")"),"Ո՞վ է հորինել լամպը:")</f>
        <v>Ո՞վ է հորինել լամպը:</v>
      </c>
      <c r="D5631" s="6" t="str">
        <f>IFERROR(__xludf.DUMMYFUNCTION("GOOGLETRANSLATE(B5631,""en"",""hy"")"),"Թոմաս Էդիսոն.")</f>
        <v>Թոմաս Էդիսոն.</v>
      </c>
    </row>
    <row r="5632">
      <c r="A5632" s="5" t="s">
        <v>8016</v>
      </c>
      <c r="B5632" s="5" t="s">
        <v>8017</v>
      </c>
      <c r="C5632" s="5" t="str">
        <f>IFERROR(__xludf.DUMMYFUNCTION("GOOGLETRANSLATE(A5632,""en"",""hy"")"),"Ո՞րն է Անգլիայի ազգային ծաղիկը:")</f>
        <v>Ո՞րն է Անգլիայի ազգային ծաղիկը:</v>
      </c>
      <c r="D5632" s="6" t="str">
        <f>IFERROR(__xludf.DUMMYFUNCTION("GOOGLETRANSLATE(B5632,""en"",""hy"")"),"Անգլիայի ազգային ծաղիկը վարդն է։")</f>
        <v>Անգլիայի ազգային ծաղիկը վարդն է։</v>
      </c>
    </row>
    <row r="5633">
      <c r="A5633" s="5" t="s">
        <v>8798</v>
      </c>
      <c r="B5633" s="5" t="s">
        <v>7972</v>
      </c>
      <c r="C5633" s="5" t="str">
        <f>IFERROR(__xludf.DUMMYFUNCTION("GOOGLETRANSLATE(A5633,""en"",""hy"")"),"Ո՞ր երկրում է գտնվում Էյֆելյան աշտարակը:")</f>
        <v>Ո՞ր երկրում է գտնվում Էյֆելյան աշտարակը:</v>
      </c>
      <c r="D5633" s="6" t="str">
        <f>IFERROR(__xludf.DUMMYFUNCTION("GOOGLETRANSLATE(B5633,""en"",""hy"")"),"Ֆրանսիա.")</f>
        <v>Ֆրանսիա.</v>
      </c>
    </row>
    <row r="5634">
      <c r="A5634" s="5" t="s">
        <v>8799</v>
      </c>
      <c r="B5634" s="5" t="s">
        <v>7684</v>
      </c>
      <c r="C5634" s="5" t="str">
        <f>IFERROR(__xludf.DUMMYFUNCTION("GOOGLETRANSLATE(A5634,""en"",""hy"")"),"Ո՞րն է արծաթի քիմիական նշանը պարբերական աղյուսակում:")</f>
        <v>Ո՞րն է արծաթի քիմիական նշանը պարբերական աղյուսակում:</v>
      </c>
      <c r="D5634" s="6" t="str">
        <f>IFERROR(__xludf.DUMMYFUNCTION("GOOGLETRANSLATE(B5634,""en"",""hy"")"),"Արծաթի քիմիական խորհրդանիշն է Ag.")</f>
        <v>Արծաթի քիմիական խորհրդանիշն է Ag.</v>
      </c>
    </row>
    <row r="5635">
      <c r="A5635" s="5" t="s">
        <v>8025</v>
      </c>
      <c r="B5635" s="5" t="s">
        <v>8595</v>
      </c>
      <c r="C5635" s="5" t="str">
        <f>IFERROR(__xludf.DUMMYFUNCTION("GOOGLETRANSLATE(A5635,""en"",""hy"")"),"Ո՞րն է Չինաստանի պաշտոնական լեզուն:")</f>
        <v>Ո՞րն է Չինաստանի պաշտոնական լեզուն:</v>
      </c>
      <c r="D5635" s="6" t="str">
        <f>IFERROR(__xludf.DUMMYFUNCTION("GOOGLETRANSLATE(B5635,""en"",""hy"")"),"Չինաստանի պաշտոնական լեզուն մանդարինն է։")</f>
        <v>Չինաստանի պաշտոնական լեզուն մանդարինն է։</v>
      </c>
    </row>
    <row r="5636">
      <c r="A5636" s="5" t="s">
        <v>7443</v>
      </c>
      <c r="B5636" s="5" t="s">
        <v>7444</v>
      </c>
      <c r="C5636" s="5" t="str">
        <f>IFERROR(__xludf.DUMMYFUNCTION("GOOGLETRANSLATE(A5636,""en"",""hy"")"),"Ո՞վ է գրել «1984» վեպը։")</f>
        <v>Ո՞վ է գրել «1984» վեպը։</v>
      </c>
      <c r="D5636" s="6" t="str">
        <f>IFERROR(__xludf.DUMMYFUNCTION("GOOGLETRANSLATE(B5636,""en"",""hy"")"),"Ջորջ Օրուել.")</f>
        <v>Ջորջ Օրուել.</v>
      </c>
    </row>
    <row r="5637">
      <c r="A5637" s="5" t="s">
        <v>8800</v>
      </c>
      <c r="B5637" s="5" t="s">
        <v>8647</v>
      </c>
      <c r="C5637" s="5" t="str">
        <f>IFERROR(__xludf.DUMMYFUNCTION("GOOGLETRANSLATE(A5637,""en"",""hy"")"),"Ո՞րն է աշխարհի ամենամեծ կաթնասունը:")</f>
        <v>Ո՞րն է աշխարհի ամենամեծ կաթնասունը:</v>
      </c>
      <c r="D5637" s="6" t="str">
        <f>IFERROR(__xludf.DUMMYFUNCTION("GOOGLETRANSLATE(B5637,""en"",""hy"")"),"Կապույտ կետ.")</f>
        <v>Կապույտ կետ.</v>
      </c>
    </row>
    <row r="5638">
      <c r="A5638" s="5" t="s">
        <v>8801</v>
      </c>
      <c r="B5638" s="5" t="s">
        <v>6334</v>
      </c>
      <c r="C5638" s="5" t="str">
        <f>IFERROR(__xludf.DUMMYFUNCTION("GOOGLETRANSLATE(A5638,""en"",""hy"")"),"Ո՞ր երկրում է ծագել Վերածննդի արվեստը:")</f>
        <v>Ո՞ր երկրում է ծագել Վերածննդի արվեստը:</v>
      </c>
      <c r="D5638" s="6" t="str">
        <f>IFERROR(__xludf.DUMMYFUNCTION("GOOGLETRANSLATE(B5638,""en"",""hy"")"),"Իտալիա.")</f>
        <v>Իտալիա.</v>
      </c>
    </row>
    <row r="5639">
      <c r="A5639" s="5" t="s">
        <v>7450</v>
      </c>
      <c r="B5639" s="5" t="s">
        <v>7451</v>
      </c>
      <c r="C5639" s="5" t="str">
        <f>IFERROR(__xludf.DUMMYFUNCTION("GOOGLETRANSLATE(A5639,""en"",""hy"")"),"Ո՞րն է Ավստրալիայի մայրաքաղաքը:")</f>
        <v>Ո՞րն է Ավստրալիայի մայրաքաղաքը:</v>
      </c>
      <c r="D5639" s="6" t="str">
        <f>IFERROR(__xludf.DUMMYFUNCTION("GOOGLETRANSLATE(B5639,""en"",""hy"")"),"Կանբերա.")</f>
        <v>Կանբերա.</v>
      </c>
    </row>
    <row r="5640">
      <c r="A5640" s="5" t="s">
        <v>7773</v>
      </c>
      <c r="B5640" s="5" t="s">
        <v>7941</v>
      </c>
      <c r="C5640" s="5" t="str">
        <f>IFERROR(__xludf.DUMMYFUNCTION("GOOGLETRANSLATE(A5640,""en"",""hy"")"),"Ո՞վ է հայտնաբերել պենիցիլինը:")</f>
        <v>Ո՞վ է հայտնաբերել պենիցիլինը:</v>
      </c>
      <c r="D5640" s="6" t="str">
        <f>IFERROR(__xludf.DUMMYFUNCTION("GOOGLETRANSLATE(B5640,""en"",""hy"")"),"Ալեքսանդր Ֆլեմինգ")</f>
        <v>Ալեքսանդր Ֆլեմինգ</v>
      </c>
    </row>
    <row r="5641">
      <c r="A5641" s="5" t="s">
        <v>7530</v>
      </c>
      <c r="B5641" s="5" t="s">
        <v>7531</v>
      </c>
      <c r="C5641" s="5" t="str">
        <f>IFERROR(__xludf.DUMMYFUNCTION("GOOGLETRANSLATE(A5641,""en"",""hy"")"),"Ո՞րն է Հնդկաստանի ազգային թռչունը:")</f>
        <v>Ո՞րն է Հնդկաստանի ազգային թռչունը:</v>
      </c>
      <c r="D5641" s="6" t="str">
        <f>IFERROR(__xludf.DUMMYFUNCTION("GOOGLETRANSLATE(B5641,""en"",""hy"")"),"Հնդկաստանի ազգային թռչունը սիրամարգն է։")</f>
        <v>Հնդկաստանի ազգային թռչունը սիրամարգն է։</v>
      </c>
    </row>
    <row r="5642">
      <c r="A5642" s="5" t="s">
        <v>7506</v>
      </c>
      <c r="B5642" s="5" t="s">
        <v>7507</v>
      </c>
      <c r="C5642" s="5" t="str">
        <f>IFERROR(__xludf.DUMMYFUNCTION("GOOGLETRANSLATE(A5642,""en"",""hy"")"),"Ո՞րն է աշխարհի ամենափոքր երկիրը:")</f>
        <v>Ո՞րն է աշխարհի ամենափոքր երկիրը:</v>
      </c>
      <c r="D5642" s="6" t="str">
        <f>IFERROR(__xludf.DUMMYFUNCTION("GOOGLETRANSLATE(B5642,""en"",""hy"")"),"Քաղաք Վատիկան.")</f>
        <v>Քաղաք Վատիկան.</v>
      </c>
    </row>
    <row r="5643">
      <c r="A5643" s="5" t="s">
        <v>8123</v>
      </c>
      <c r="B5643" s="5" t="s">
        <v>7448</v>
      </c>
      <c r="C5643" s="5" t="str">
        <f>IFERROR(__xludf.DUMMYFUNCTION("GOOGLETRANSLATE(A5643,""en"",""hy"")"),"Ո՞վ է նկարել հայտնի «Վերջին ընթրիքը» ստեղծագործությունը:")</f>
        <v>Ո՞վ է նկարել հայտնի «Վերջին ընթրիքը» ստեղծագործությունը:</v>
      </c>
      <c r="D5643" s="6" t="str">
        <f>IFERROR(__xludf.DUMMYFUNCTION("GOOGLETRANSLATE(B5643,""en"",""hy"")"),"Լեոնարդո դա Վինչի.")</f>
        <v>Լեոնարդո դա Վինչի.</v>
      </c>
    </row>
    <row r="5644">
      <c r="A5644" s="5" t="s">
        <v>8361</v>
      </c>
      <c r="B5644" s="5" t="s">
        <v>8362</v>
      </c>
      <c r="C5644" s="5" t="str">
        <f>IFERROR(__xludf.DUMMYFUNCTION("GOOGLETRANSLATE(A5644,""en"",""hy"")"),"Ո՞րն է Հյուսիսային Ամերիկայի ամենամեծ ջրվեժը:")</f>
        <v>Ո՞րն է Հյուսիսային Ամերիկայի ամենամեծ ջրվեժը:</v>
      </c>
      <c r="D5644" s="6" t="str">
        <f>IFERROR(__xludf.DUMMYFUNCTION("GOOGLETRANSLATE(B5644,""en"",""hy"")"),"Հյուսիսային Ամերիկայի ամենամեծ ջրվեժը Նիագարայի ջրվեժն է:")</f>
        <v>Հյուսիսային Ամերիկայի ամենամեծ ջրվեժը Նիագարայի ջրվեժն է:</v>
      </c>
    </row>
    <row r="5645">
      <c r="A5645" s="5" t="s">
        <v>8802</v>
      </c>
      <c r="B5645" s="7">
        <v>1776.0</v>
      </c>
      <c r="C5645" s="5" t="str">
        <f>IFERROR(__xludf.DUMMYFUNCTION("GOOGLETRANSLATE(A5645,""en"",""hy"")"),"Ո՞ր թվականին է ստորագրվել Անկախության հռչակագիրը։")</f>
        <v>Ո՞ր թվականին է ստորագրվել Անկախության հռչակագիրը։</v>
      </c>
      <c r="D5645" s="6" t="str">
        <f>IFERROR(__xludf.DUMMYFUNCTION("GOOGLETRANSLATE(B5645,""en"",""hy"")"),"1776 թ")</f>
        <v>1776 թ</v>
      </c>
    </row>
    <row r="5646">
      <c r="A5646" s="5" t="s">
        <v>8803</v>
      </c>
      <c r="B5646" s="5" t="s">
        <v>7914</v>
      </c>
      <c r="C5646" s="5" t="str">
        <f>IFERROR(__xludf.DUMMYFUNCTION("GOOGLETRANSLATE(A5646,""en"",""hy"")"),"Ի՞նչ է կոչվում բույսերի կողմից թթվածին արտադրելու գործընթացը:")</f>
        <v>Ի՞նչ է կոչվում բույսերի կողմից թթվածին արտադրելու գործընթացը:</v>
      </c>
      <c r="D5646" s="6" t="str">
        <f>IFERROR(__xludf.DUMMYFUNCTION("GOOGLETRANSLATE(B5646,""en"",""hy"")"),"Ֆոտոսինթեզ.")</f>
        <v>Ֆոտոսինթեզ.</v>
      </c>
    </row>
    <row r="5647">
      <c r="A5647" s="5" t="s">
        <v>7504</v>
      </c>
      <c r="B5647" s="5" t="s">
        <v>7505</v>
      </c>
      <c r="C5647" s="5" t="str">
        <f>IFERROR(__xludf.DUMMYFUNCTION("GOOGLETRANSLATE(A5647,""en"",""hy"")"),"Ո՞վ է Միացյալ Նահանգների ներկայիս նախագահը:")</f>
        <v>Ո՞վ է Միացյալ Նահանգների ներկայիս նախագահը:</v>
      </c>
      <c r="D5647" s="6" t="str">
        <f>IFERROR(__xludf.DUMMYFUNCTION("GOOGLETRANSLATE(B5647,""en"",""hy"")"),"Ջո Բայդեն.")</f>
        <v>Ջո Բայդեն.</v>
      </c>
    </row>
    <row r="5648">
      <c r="A5648" s="5" t="s">
        <v>8804</v>
      </c>
      <c r="B5648" s="5" t="s">
        <v>7527</v>
      </c>
      <c r="C5648" s="5" t="str">
        <f>IFERROR(__xludf.DUMMYFUNCTION("GOOGLETRANSLATE(A5648,""en"",""hy"")"),"Ո՞րն է աշխարհի ամենամեծ կղզին:")</f>
        <v>Ո՞րն է աշխարհի ամենամեծ կղզին:</v>
      </c>
      <c r="D5648" s="6" t="str">
        <f>IFERROR(__xludf.DUMMYFUNCTION("GOOGLETRANSLATE(B5648,""en"",""hy"")"),"Գրենլանդիա.")</f>
        <v>Գրենլանդիա.</v>
      </c>
    </row>
    <row r="5649">
      <c r="A5649" s="5" t="s">
        <v>7823</v>
      </c>
      <c r="B5649" s="5" t="s">
        <v>7824</v>
      </c>
      <c r="C5649" s="5" t="str">
        <f>IFERROR(__xludf.DUMMYFUNCTION("GOOGLETRANSLATE(A5649,""en"",""hy"")"),"Ո՞ր երկիրն է հայտնի որպես «կրակի և սառույցի երկիր»:")</f>
        <v>Ո՞ր երկիրն է հայտնի որպես «կրակի և սառույցի երկիր»:</v>
      </c>
      <c r="D5649" s="6" t="str">
        <f>IFERROR(__xludf.DUMMYFUNCTION("GOOGLETRANSLATE(B5649,""en"",""hy"")"),"Իսլանդիա.")</f>
        <v>Իսլանդիա.</v>
      </c>
    </row>
    <row r="5650">
      <c r="A5650" s="5" t="s">
        <v>8805</v>
      </c>
      <c r="B5650" s="5" t="s">
        <v>8806</v>
      </c>
      <c r="C5650" s="5" t="str">
        <f>IFERROR(__xludf.DUMMYFUNCTION("GOOGLETRANSLATE(A5650,""en"",""hy"")"),"Ո՞վ է հիմնել Apple Inc.")</f>
        <v>Ո՞վ է հիմնել Apple Inc.</v>
      </c>
      <c r="D5650" s="6" t="str">
        <f>IFERROR(__xludf.DUMMYFUNCTION("GOOGLETRANSLATE(B5650,""en"",""hy"")"),"Սթիվ Ջոբսը, Սթիվ Վոզնյակը և Ռոնալդ Ուեյնը հիմնել են Apple Inc.")</f>
        <v>Սթիվ Ջոբսը, Սթիվ Վոզնյակը և Ռոնալդ Ուեյնը հիմնել են Apple Inc.</v>
      </c>
    </row>
    <row r="5651">
      <c r="A5651" s="5" t="s">
        <v>8807</v>
      </c>
      <c r="B5651" s="5" t="s">
        <v>2267</v>
      </c>
      <c r="C5651" s="5" t="str">
        <f>IFERROR(__xludf.DUMMYFUNCTION("GOOGLETRANSLATE(A5651,""en"",""hy"")"),"Ո՞րն է Մեքսիկայում խոսվող հիմնական լեզուն:")</f>
        <v>Ո՞րն է Մեքսիկայում խոսվող հիմնական լեզուն:</v>
      </c>
      <c r="D5651" s="6" t="str">
        <f>IFERROR(__xludf.DUMMYFUNCTION("GOOGLETRANSLATE(B5651,""en"",""hy"")"),"իսպաներեն.")</f>
        <v>իսպաներեն.</v>
      </c>
    </row>
    <row r="5652">
      <c r="A5652" s="5" t="s">
        <v>8808</v>
      </c>
      <c r="B5652" s="5" t="s">
        <v>8201</v>
      </c>
      <c r="C5652" s="5" t="str">
        <f>IFERROR(__xludf.DUMMYFUNCTION("GOOGLETRANSLATE(A5652,""en"",""hy"")"),"Ո՞ր երկրում է գտնվում Ակրոպոլիսը:")</f>
        <v>Ո՞ր երկրում է գտնվում Ակրոպոլիսը:</v>
      </c>
      <c r="D5652" s="6" t="str">
        <f>IFERROR(__xludf.DUMMYFUNCTION("GOOGLETRANSLATE(B5652,""en"",""hy"")"),"Հունաստան.")</f>
        <v>Հունաստան.</v>
      </c>
    </row>
    <row r="5653">
      <c r="A5653" s="5" t="s">
        <v>7890</v>
      </c>
      <c r="B5653" s="5" t="s">
        <v>7661</v>
      </c>
      <c r="C5653" s="5" t="str">
        <f>IFERROR(__xludf.DUMMYFUNCTION("GOOGLETRANSLATE(A5653,""en"",""hy"")"),"Ո՞վ է գրել «Մեծն Գեթսբի» վեպը:")</f>
        <v>Ո՞վ է գրել «Մեծն Գեթսբի» վեպը:</v>
      </c>
      <c r="D5653" s="6" t="str">
        <f>IFERROR(__xludf.DUMMYFUNCTION("GOOGLETRANSLATE(B5653,""en"",""hy"")"),"F. Scott Fitzgerald.")</f>
        <v>F. Scott Fitzgerald.</v>
      </c>
    </row>
    <row r="5654">
      <c r="A5654" s="5" t="s">
        <v>7589</v>
      </c>
      <c r="B5654" s="5" t="s">
        <v>7545</v>
      </c>
      <c r="C5654" s="5" t="str">
        <f>IFERROR(__xludf.DUMMYFUNCTION("GOOGLETRANSLATE(A5654,""en"",""hy"")"),"Ո՞րն է Իտալիայի մայրաքաղաքը:")</f>
        <v>Ո՞րն է Իտալիայի մայրաքաղաքը:</v>
      </c>
      <c r="D5654" s="6" t="str">
        <f>IFERROR(__xludf.DUMMYFUNCTION("GOOGLETRANSLATE(B5654,""en"",""hy"")"),"Հռոմ.")</f>
        <v>Հռոմ.</v>
      </c>
    </row>
    <row r="5655">
      <c r="A5655" s="5" t="s">
        <v>7939</v>
      </c>
      <c r="B5655" s="5" t="s">
        <v>7940</v>
      </c>
      <c r="C5655" s="5" t="str">
        <f>IFERROR(__xludf.DUMMYFUNCTION("GOOGLETRANSLATE(A5655,""en"",""hy"")"),"Քանի՞ մայրցամաք կա աշխարհում:")</f>
        <v>Քանի՞ մայրցամաք կա աշխարհում:</v>
      </c>
      <c r="D5655" s="6" t="str">
        <f>IFERROR(__xludf.DUMMYFUNCTION("GOOGLETRANSLATE(B5655,""en"",""hy"")"),"Աշխարհում կան յոթ մայրցամաքներ։")</f>
        <v>Աշխարհում կան յոթ մայրցամաքներ։</v>
      </c>
    </row>
    <row r="5656">
      <c r="A5656" s="5" t="s">
        <v>7744</v>
      </c>
      <c r="B5656" s="5" t="s">
        <v>8043</v>
      </c>
      <c r="C5656" s="5" t="str">
        <f>IFERROR(__xludf.DUMMYFUNCTION("GOOGLETRANSLATE(A5656,""en"",""hy"")"),"Ո՞վ է նկարել հայտնի «Հիշողության համառությունը» ստեղծագործությունը:")</f>
        <v>Ո՞վ է նկարել հայտնի «Հիշողության համառությունը» ստեղծագործությունը:</v>
      </c>
      <c r="D5656" s="6" t="str">
        <f>IFERROR(__xludf.DUMMYFUNCTION("GOOGLETRANSLATE(B5656,""en"",""hy"")"),"Սալվադոր Դալի.")</f>
        <v>Սալվադոր Դալի.</v>
      </c>
    </row>
    <row r="5657">
      <c r="A5657" s="5" t="s">
        <v>8031</v>
      </c>
      <c r="B5657" s="5" t="s">
        <v>8809</v>
      </c>
      <c r="C5657" s="5" t="str">
        <f>IFERROR(__xludf.DUMMYFUNCTION("GOOGLETRANSLATE(A5657,""en"",""hy"")"),"Ո՞րն է աշխարհի ամենամեծ թռչունը:")</f>
        <v>Ո՞րն է աշխարհի ամենամեծ թռչունը:</v>
      </c>
      <c r="D5657" s="6" t="str">
        <f>IFERROR(__xludf.DUMMYFUNCTION("GOOGLETRANSLATE(B5657,""en"",""hy"")"),"Ջայլամ.")</f>
        <v>Ջայլամ.</v>
      </c>
    </row>
    <row r="5658">
      <c r="A5658" s="5" t="s">
        <v>8810</v>
      </c>
      <c r="B5658" s="5" t="s">
        <v>8201</v>
      </c>
      <c r="C5658" s="5" t="str">
        <f>IFERROR(__xludf.DUMMYFUNCTION("GOOGLETRANSLATE(A5658,""en"",""hy"")"),"Ո՞ր երկրում են անցկացվել ժամանակակից առաջին օլիմպիական խաղերը:")</f>
        <v>Ո՞ր երկրում են անցկացվել ժամանակակից առաջին օլիմպիական խաղերը:</v>
      </c>
      <c r="D5658" s="6" t="str">
        <f>IFERROR(__xludf.DUMMYFUNCTION("GOOGLETRANSLATE(B5658,""en"",""hy"")"),"Հունաստան.")</f>
        <v>Հունաստան.</v>
      </c>
    </row>
    <row r="5659">
      <c r="A5659" s="5" t="s">
        <v>7872</v>
      </c>
      <c r="B5659" s="5" t="s">
        <v>1307</v>
      </c>
      <c r="C5659" s="5" t="str">
        <f>IFERROR(__xludf.DUMMYFUNCTION("GOOGLETRANSLATE(A5659,""en"",""hy"")"),"Ո՞րն է Իսպանիայի մայրաքաղաքը:")</f>
        <v>Ո՞րն է Իսպանիայի մայրաքաղաքը:</v>
      </c>
      <c r="D5659" s="6" t="str">
        <f>IFERROR(__xludf.DUMMYFUNCTION("GOOGLETRANSLATE(B5659,""en"",""hy"")"),"Մադրիդ.")</f>
        <v>Մադրիդ.</v>
      </c>
    </row>
    <row r="5660">
      <c r="A5660" s="5" t="s">
        <v>7528</v>
      </c>
      <c r="B5660" s="5" t="s">
        <v>7529</v>
      </c>
      <c r="C5660" s="5" t="str">
        <f>IFERROR(__xludf.DUMMYFUNCTION("GOOGLETRANSLATE(A5660,""en"",""hy"")"),"Ո՞վ է Գերմանիայի ներկայիս կանցլերը:")</f>
        <v>Ո՞վ է Գերմանիայի ներկայիս կանցլերը:</v>
      </c>
      <c r="D5660" s="6" t="str">
        <f>IFERROR(__xludf.DUMMYFUNCTION("GOOGLETRANSLATE(B5660,""en"",""hy"")"),"Անգելա Մերկել.")</f>
        <v>Անգելա Մերկել.</v>
      </c>
    </row>
    <row r="5661">
      <c r="A5661" s="5" t="s">
        <v>8811</v>
      </c>
      <c r="B5661" s="5" t="s">
        <v>8812</v>
      </c>
      <c r="C5661" s="5" t="str">
        <f>IFERROR(__xludf.DUMMYFUNCTION("GOOGLETRANSLATE(A5661,""en"",""hy"")"),"Ո՞րն է բոլոր ժամանակների ամենաբարձր եկամուտ ունեցող երաժշտական ​​ալբոմը:")</f>
        <v>Ո՞րն է բոլոր ժամանակների ամենաբարձր եկամուտ ունեցող երաժշտական ​​ալբոմը:</v>
      </c>
      <c r="D5661" s="6" t="str">
        <f>IFERROR(__xludf.DUMMYFUNCTION("GOOGLETRANSLATE(B5661,""en"",""hy"")"),"Բոլոր ժամանակների ամենաբարձր եկամուտ ունեցող երաժշտական ​​ալբոմը Մայքլ Ջեքսոնի «Thriller»-ն է։")</f>
        <v>Բոլոր ժամանակների ամենաբարձր եկամուտ ունեցող երաժշտական ​​ալբոմը Մայքլ Ջեքսոնի «Thriller»-ն է։</v>
      </c>
    </row>
    <row r="5662">
      <c r="A5662" s="5" t="s">
        <v>8813</v>
      </c>
      <c r="B5662" s="5" t="s">
        <v>8814</v>
      </c>
      <c r="C5662" s="5" t="str">
        <f>IFERROR(__xludf.DUMMYFUNCTION("GOOGLETRANSLATE(A5662,""en"",""hy"")"),"Ո՞ր երկիրն է հայտնի որպես «Երկար սպիտակ ամպի երկիր»:")</f>
        <v>Ո՞ր երկիրն է հայտնի որպես «Երկար սպիտակ ամպի երկիր»:</v>
      </c>
      <c r="D5662" s="6" t="str">
        <f>IFERROR(__xludf.DUMMYFUNCTION("GOOGLETRANSLATE(B5662,""en"",""hy"")"),"Նոր Զելանդիա.")</f>
        <v>Նոր Զելանդիա.</v>
      </c>
    </row>
    <row r="5663">
      <c r="A5663" s="5" t="s">
        <v>7683</v>
      </c>
      <c r="B5663" s="5" t="s">
        <v>1016</v>
      </c>
      <c r="C5663" s="5" t="str">
        <f>IFERROR(__xludf.DUMMYFUNCTION("GOOGLETRANSLATE(A5663,""en"",""hy"")"),"Ո՞վ է գրել «Համլետ» պիեսը։")</f>
        <v>Ո՞վ է գրել «Համլետ» պիեսը։</v>
      </c>
      <c r="D5663" s="6" t="str">
        <f>IFERROR(__xludf.DUMMYFUNCTION("GOOGLETRANSLATE(B5663,""en"",""hy"")"),"Ուիլյամ Շեքսպիր.")</f>
        <v>Ուիլյամ Շեքսպիր.</v>
      </c>
    </row>
    <row r="5664">
      <c r="A5664" s="5" t="s">
        <v>8815</v>
      </c>
      <c r="B5664" s="5" t="s">
        <v>8816</v>
      </c>
      <c r="C5664" s="5" t="str">
        <f>IFERROR(__xludf.DUMMYFUNCTION("GOOGLETRANSLATE(A5664,""en"",""hy"")"),"Ո՞րն է պարբերական աղյուսակի թթվածնի քիմիական նշանը:")</f>
        <v>Ո՞րն է պարբերական աղյուսակի թթվածնի քիմիական նշանը:</v>
      </c>
      <c r="D5664" s="6" t="str">
        <f>IFERROR(__xludf.DUMMYFUNCTION("GOOGLETRANSLATE(B5664,""en"",""hy"")"),"Պարբերական աղյուսակում թթվածնի քիմիական նշանը O է:")</f>
        <v>Պարբերական աղյուսակում թթվածնի քիմիական նշանը O է:</v>
      </c>
    </row>
    <row r="5665">
      <c r="A5665" s="5" t="s">
        <v>8817</v>
      </c>
      <c r="B5665" s="5" t="s">
        <v>8818</v>
      </c>
      <c r="C5665" s="5" t="str">
        <f>IFERROR(__xludf.DUMMYFUNCTION("GOOGLETRANSLATE(A5665,""en"",""hy"")"),"Ինչպե՞ս է կոչվում աշխարհի ամենախորը օվկիանոսային խրամատը:")</f>
        <v>Ինչպե՞ս է կոչվում աշխարհի ամենախորը օվկիանոսային խրամատը:</v>
      </c>
      <c r="D5665" s="6" t="str">
        <f>IFERROR(__xludf.DUMMYFUNCTION("GOOGLETRANSLATE(B5665,""en"",""hy"")"),"Աշխարհի ամենախորը օվկիանոսային խրամատը կոչվում է Մարիանայի խրամատ:")</f>
        <v>Աշխարհի ամենախորը օվկիանոսային խրամատը կոչվում է Մարիանայի խրամատ:</v>
      </c>
    </row>
    <row r="5666">
      <c r="A5666" s="5" t="s">
        <v>7998</v>
      </c>
      <c r="B5666" s="5" t="s">
        <v>7967</v>
      </c>
      <c r="C5666" s="5" t="str">
        <f>IFERROR(__xludf.DUMMYFUNCTION("GOOGLETRANSLATE(A5666,""en"",""hy"")"),"Ո՞վ էր առաջին կինը, ով արժանացավ ֆիզիկայի Նոբելյան մրցանակի:")</f>
        <v>Ո՞վ էր առաջին կինը, ով արժանացավ ֆիզիկայի Նոբելյան մրցանակի:</v>
      </c>
      <c r="D5666" s="6" t="str">
        <f>IFERROR(__xludf.DUMMYFUNCTION("GOOGLETRANSLATE(B5666,""en"",""hy"")"),"Մարի Կյուրի.")</f>
        <v>Մարի Կյուրի.</v>
      </c>
    </row>
    <row r="5667">
      <c r="A5667" s="5" t="s">
        <v>8819</v>
      </c>
      <c r="B5667" s="5" t="s">
        <v>7512</v>
      </c>
      <c r="C5667" s="5" t="str">
        <f>IFERROR(__xludf.DUMMYFUNCTION("GOOGLETRANSLATE(A5667,""en"",""hy"")"),"Ո՞ր երկրում է գտնվում Գիզայի բուրգերը:")</f>
        <v>Ո՞ր երկրում է գտնվում Գիզայի բուրգերը:</v>
      </c>
      <c r="D5667" s="6" t="str">
        <f>IFERROR(__xludf.DUMMYFUNCTION("GOOGLETRANSLATE(B5667,""en"",""hy"")"),"Եգիպտոս.")</f>
        <v>Եգիպտոս.</v>
      </c>
    </row>
    <row r="5668">
      <c r="A5668" s="5" t="s">
        <v>7574</v>
      </c>
      <c r="B5668" s="5" t="s">
        <v>7525</v>
      </c>
      <c r="C5668" s="5" t="str">
        <f>IFERROR(__xludf.DUMMYFUNCTION("GOOGLETRANSLATE(A5668,""en"",""hy"")"),"Ո՞րն է Չինաստանի մայրաքաղաքը:")</f>
        <v>Ո՞րն է Չինաստանի մայրաքաղաքը:</v>
      </c>
      <c r="D5668" s="6" t="str">
        <f>IFERROR(__xludf.DUMMYFUNCTION("GOOGLETRANSLATE(B5668,""en"",""hy"")"),"Պեկին.")</f>
        <v>Պեկին.</v>
      </c>
    </row>
    <row r="5669">
      <c r="A5669" s="5" t="s">
        <v>8310</v>
      </c>
      <c r="B5669" s="5" t="s">
        <v>7585</v>
      </c>
      <c r="C5669" s="5" t="str">
        <f>IFERROR(__xludf.DUMMYFUNCTION("GOOGLETRANSLATE(A5669,""en"",""hy"")"),"Ո՞վ է նկարել հայտնի «Ճիչ»-ը:")</f>
        <v>Ո՞վ է նկարել հայտնի «Ճիչ»-ը:</v>
      </c>
      <c r="D5669" s="6" t="str">
        <f>IFERROR(__xludf.DUMMYFUNCTION("GOOGLETRANSLATE(B5669,""en"",""hy"")"),"Էդվարդ Մունկ.")</f>
        <v>Էդվարդ Մունկ.</v>
      </c>
    </row>
    <row r="5670">
      <c r="A5670" s="5" t="s">
        <v>8820</v>
      </c>
      <c r="B5670" s="5" t="s">
        <v>8821</v>
      </c>
      <c r="C5670" s="5" t="str">
        <f>IFERROR(__xludf.DUMMYFUNCTION("GOOGLETRANSLATE(A5670,""en"",""hy"")"),"Ո՞րն է աշխարհի ամենամեծ լիճն ըստ մակերեսի:")</f>
        <v>Ո՞րն է աշխարհի ամենամեծ լիճն ըստ մակերեսի:</v>
      </c>
      <c r="D5670" s="6" t="str">
        <f>IFERROR(__xludf.DUMMYFUNCTION("GOOGLETRANSLATE(B5670,""en"",""hy"")"),"Տարածքով աշխարհի ամենամեծ լիճը Կասպից ծովն է։")</f>
        <v>Տարածքով աշխարհի ամենամեծ լիճը Կասպից ծովն է։</v>
      </c>
    </row>
    <row r="5671">
      <c r="A5671" s="5" t="s">
        <v>8822</v>
      </c>
      <c r="B5671" s="7">
        <v>1989.0</v>
      </c>
      <c r="C5671" s="5" t="str">
        <f>IFERROR(__xludf.DUMMYFUNCTION("GOOGLETRANSLATE(A5671,""en"",""hy"")"),"Ո՞ր թվականին է փլվել Բեռլինի պատը:")</f>
        <v>Ո՞ր թվականին է փլվել Բեռլինի պատը:</v>
      </c>
      <c r="D5671" s="6" t="str">
        <f>IFERROR(__xludf.DUMMYFUNCTION("GOOGLETRANSLATE(B5671,""en"",""hy"")"),"1989 թ")</f>
        <v>1989 թ</v>
      </c>
    </row>
    <row r="5672">
      <c r="A5672" s="5" t="s">
        <v>8823</v>
      </c>
      <c r="B5672" s="5" t="s">
        <v>8824</v>
      </c>
      <c r="C5672" s="5" t="str">
        <f>IFERROR(__xludf.DUMMYFUNCTION("GOOGLETRANSLATE(A5672,""en"",""hy"")"),"Ինչպե՞ս է կոչվում բույսերի կողմից ջրային գոլորշի արտազատման գործընթացը:")</f>
        <v>Ինչպե՞ս է կոչվում բույսերի կողմից ջրային գոլորշի արտազատման գործընթացը:</v>
      </c>
      <c r="D5672" s="6" t="str">
        <f>IFERROR(__xludf.DUMMYFUNCTION("GOOGLETRANSLATE(B5672,""en"",""hy"")"),"Գործընթացը կոչվում է տրանսպիրացիա։")</f>
        <v>Գործընթացը կոչվում է տրանսպիրացիա։</v>
      </c>
    </row>
    <row r="5673">
      <c r="A5673" s="5" t="s">
        <v>7566</v>
      </c>
      <c r="B5673" s="5" t="s">
        <v>7567</v>
      </c>
      <c r="C5673" s="5" t="str">
        <f>IFERROR(__xludf.DUMMYFUNCTION("GOOGLETRANSLATE(A5673,""en"",""hy"")"),"Ո՞վ է Կանադայի ներկայիս վարչապետը:")</f>
        <v>Ո՞վ է Կանադայի ներկայիս վարչապետը:</v>
      </c>
      <c r="D5673" s="6" t="str">
        <f>IFERROR(__xludf.DUMMYFUNCTION("GOOGLETRANSLATE(B5673,""en"",""hy"")"),"Ջասթին Թրյուդո")</f>
        <v>Ջասթին Թրյուդո</v>
      </c>
    </row>
    <row r="5674">
      <c r="A5674" s="5" t="s">
        <v>8825</v>
      </c>
      <c r="B5674" s="5" t="s">
        <v>8826</v>
      </c>
      <c r="C5674" s="5" t="str">
        <f>IFERROR(__xludf.DUMMYFUNCTION("GOOGLETRANSLATE(A5674,""en"",""hy"")"),"Ո՞րն է Շոտլանդիայի ազգային կենդանին:")</f>
        <v>Ո՞րն է Շոտլանդիայի ազգային կենդանին:</v>
      </c>
      <c r="D5674" s="6" t="str">
        <f>IFERROR(__xludf.DUMMYFUNCTION("GOOGLETRANSLATE(B5674,""en"",""hy"")"),"Շոտլանդիայի ազգային կենդանին միաեղջյուրն է։")</f>
        <v>Շոտլանդիայի ազգային կենդանին միաեղջյուրն է։</v>
      </c>
    </row>
    <row r="5675">
      <c r="A5675" s="5" t="s">
        <v>7919</v>
      </c>
      <c r="B5675" s="5" t="s">
        <v>7556</v>
      </c>
      <c r="C5675" s="5" t="str">
        <f>IFERROR(__xludf.DUMMYFUNCTION("GOOGLETRANSLATE(A5675,""en"",""hy"")"),"Ո՞վ է հայտնաբերել հարաբերականության տեսությունը:")</f>
        <v>Ո՞վ է հայտնաբերել հարաբերականության տեսությունը:</v>
      </c>
      <c r="D5675" s="6" t="str">
        <f>IFERROR(__xludf.DUMMYFUNCTION("GOOGLETRANSLATE(B5675,""en"",""hy"")"),"Albert Einstein.")</f>
        <v>Albert Einstein.</v>
      </c>
    </row>
    <row r="5676">
      <c r="A5676" s="5" t="s">
        <v>7579</v>
      </c>
      <c r="B5676" s="5" t="s">
        <v>7580</v>
      </c>
      <c r="C5676" s="5" t="str">
        <f>IFERROR(__xludf.DUMMYFUNCTION("GOOGLETRANSLATE(A5676,""en"",""hy"")"),"Ո՞րն է Գերմանիայի արժույթը:")</f>
        <v>Ո՞րն է Գերմանիայի արժույթը:</v>
      </c>
      <c r="D5676" s="6" t="str">
        <f>IFERROR(__xludf.DUMMYFUNCTION("GOOGLETRANSLATE(B5676,""en"",""hy"")"),"Գերմանիայի արժույթը եվրոն է։")</f>
        <v>Գերմանիայի արժույթը եվրոն է։</v>
      </c>
    </row>
    <row r="5677">
      <c r="A5677" s="5" t="s">
        <v>8235</v>
      </c>
      <c r="B5677" s="5" t="s">
        <v>6334</v>
      </c>
      <c r="C5677" s="5" t="str">
        <f>IFERROR(__xludf.DUMMYFUNCTION("GOOGLETRANSLATE(A5677,""en"",""hy"")"),"Ո՞ր երկրում է գտնվում Կոլիզեյը:")</f>
        <v>Ո՞ր երկրում է գտնվում Կոլիզեյը:</v>
      </c>
      <c r="D5677" s="6" t="str">
        <f>IFERROR(__xludf.DUMMYFUNCTION("GOOGLETRANSLATE(B5677,""en"",""hy"")"),"Իտալիա.")</f>
        <v>Իտալիա.</v>
      </c>
    </row>
    <row r="5678">
      <c r="A5678" s="5" t="s">
        <v>7897</v>
      </c>
      <c r="B5678" s="5" t="s">
        <v>7898</v>
      </c>
      <c r="C5678" s="5" t="str">
        <f>IFERROR(__xludf.DUMMYFUNCTION("GOOGLETRANSLATE(A5678,""en"",""hy"")"),"Ո՞րն է Արգենտինայի մայրաքաղաքը:")</f>
        <v>Ո՞րն է Արգենտինայի մայրաքաղաքը:</v>
      </c>
      <c r="D5678" s="6" t="str">
        <f>IFERROR(__xludf.DUMMYFUNCTION("GOOGLETRANSLATE(B5678,""en"",""hy"")"),"Բուենոս Այրես.")</f>
        <v>Բուենոս Այրես.</v>
      </c>
    </row>
    <row r="5679">
      <c r="A5679" s="5" t="s">
        <v>8827</v>
      </c>
      <c r="B5679" s="5" t="s">
        <v>7578</v>
      </c>
      <c r="C5679" s="5" t="str">
        <f>IFERROR(__xludf.DUMMYFUNCTION("GOOGLETRANSLATE(A5679,""en"",""hy"")"),"Ո՞վ է գրել «Մոբի Դիկ» վեպը:")</f>
        <v>Ո՞վ է գրել «Մոբի Դիկ» վեպը:</v>
      </c>
      <c r="D5679" s="6" t="str">
        <f>IFERROR(__xludf.DUMMYFUNCTION("GOOGLETRANSLATE(B5679,""en"",""hy"")"),"Հերման Մելվիլ.")</f>
        <v>Հերման Մելվիլ.</v>
      </c>
    </row>
    <row r="5680">
      <c r="A5680" s="5" t="s">
        <v>8828</v>
      </c>
      <c r="B5680" s="5" t="s">
        <v>8829</v>
      </c>
      <c r="C5680" s="5" t="str">
        <f>IFERROR(__xludf.DUMMYFUNCTION("GOOGLETRANSLATE(A5680,""en"",""hy"")"),"Ո՞րն է ջրածնի քիմիական նշանը պարբերական աղյուսակում:")</f>
        <v>Ո՞րն է ջրածնի քիմիական նշանը պարբերական աղյուսակում:</v>
      </c>
      <c r="D5680" s="6" t="str">
        <f>IFERROR(__xludf.DUMMYFUNCTION("GOOGLETRANSLATE(B5680,""en"",""hy"")"),"Պարբերական աղյուսակում ջրածնի քիմիական նշանն է H.")</f>
        <v>Պարբերական աղյուսակում ջրածնի քիմիական նշանն է H.</v>
      </c>
    </row>
    <row r="5681">
      <c r="A5681" s="5" t="s">
        <v>7450</v>
      </c>
      <c r="B5681" s="5" t="s">
        <v>7451</v>
      </c>
      <c r="C5681" s="5" t="str">
        <f>IFERROR(__xludf.DUMMYFUNCTION("GOOGLETRANSLATE(A5681,""en"",""hy"")"),"Ո՞րն է Ավստրալիայի մայրաքաղաքը:")</f>
        <v>Ո՞րն է Ավստրալիայի մայրաքաղաքը:</v>
      </c>
      <c r="D5681" s="6" t="str">
        <f>IFERROR(__xludf.DUMMYFUNCTION("GOOGLETRANSLATE(B5681,""en"",""hy"")"),"Կանբերա.")</f>
        <v>Կանբերա.</v>
      </c>
    </row>
    <row r="5682">
      <c r="A5682" s="5" t="s">
        <v>7640</v>
      </c>
      <c r="B5682" s="5" t="s">
        <v>1016</v>
      </c>
      <c r="C5682" s="5" t="str">
        <f>IFERROR(__xludf.DUMMYFUNCTION("GOOGLETRANSLATE(A5682,""en"",""hy"")"),"Ո՞վ է գրել «Ռոմեո և Ջուլիետ» պիեսը:")</f>
        <v>Ո՞վ է գրել «Ռոմեո և Ջուլիետ» պիեսը:</v>
      </c>
      <c r="D5682" s="6" t="str">
        <f>IFERROR(__xludf.DUMMYFUNCTION("GOOGLETRANSLATE(B5682,""en"",""hy"")"),"Ուիլյամ Շեքսպիր.")</f>
        <v>Ուիլյամ Շեքսպիր.</v>
      </c>
    </row>
    <row r="5683">
      <c r="A5683" s="5" t="s">
        <v>7632</v>
      </c>
      <c r="B5683" s="5" t="s">
        <v>7633</v>
      </c>
      <c r="C5683" s="5" t="str">
        <f>IFERROR(__xludf.DUMMYFUNCTION("GOOGLETRANSLATE(A5683,""en"",""hy"")"),"Ո՞րն է մեր արեգակնային համակարգի ամենամեծ մոլորակը:")</f>
        <v>Ո՞րն է մեր արեգակնային համակարգի ամենամեծ մոլորակը:</v>
      </c>
      <c r="D5683" s="6" t="str">
        <f>IFERROR(__xludf.DUMMYFUNCTION("GOOGLETRANSLATE(B5683,""en"",""hy"")"),"Յուպիտեր.")</f>
        <v>Յուպիտեր.</v>
      </c>
    </row>
    <row r="5684">
      <c r="A5684" s="5" t="s">
        <v>8011</v>
      </c>
      <c r="B5684" s="7">
        <v>1945.0</v>
      </c>
      <c r="C5684" s="5" t="str">
        <f>IFERROR(__xludf.DUMMYFUNCTION("GOOGLETRANSLATE(A5684,""en"",""hy"")"),"Ո՞ր թվականին ավարտվեց Երկրորդ համաշխարհային պատերազմը:")</f>
        <v>Ո՞ր թվականին ավարտվեց Երկրորդ համաշխարհային պատերազմը:</v>
      </c>
      <c r="D5684" s="6" t="str">
        <f>IFERROR(__xludf.DUMMYFUNCTION("GOOGLETRANSLATE(B5684,""en"",""hy"")"),"1945 թ")</f>
        <v>1945 թ</v>
      </c>
    </row>
    <row r="5685">
      <c r="A5685" s="5" t="s">
        <v>7734</v>
      </c>
      <c r="B5685" s="5" t="s">
        <v>7448</v>
      </c>
      <c r="C5685" s="5" t="str">
        <f>IFERROR(__xludf.DUMMYFUNCTION("GOOGLETRANSLATE(A5685,""en"",""hy"")"),"Ո՞վ է նկարել հայտնի «Մոնա Լիզա» ստեղծագործությունը:")</f>
        <v>Ո՞վ է նկարել հայտնի «Մոնա Լիզա» ստեղծագործությունը:</v>
      </c>
      <c r="D5685" s="6" t="str">
        <f>IFERROR(__xludf.DUMMYFUNCTION("GOOGLETRANSLATE(B5685,""en"",""hy"")"),"Լեոնարդո դա Վինչի.")</f>
        <v>Լեոնարդո դա Վինչի.</v>
      </c>
    </row>
    <row r="5686">
      <c r="A5686" s="5" t="s">
        <v>8099</v>
      </c>
      <c r="B5686" s="5" t="s">
        <v>8100</v>
      </c>
      <c r="C5686" s="5" t="str">
        <f>IFERROR(__xludf.DUMMYFUNCTION("GOOGLETRANSLATE(A5686,""en"",""hy"")"),"Քանի՞ մոլորակ կա մեր արեգակնային համակարգում:")</f>
        <v>Քանի՞ մոլորակ կա մեր արեգակնային համակարգում:</v>
      </c>
      <c r="D5686" s="6" t="str">
        <f>IFERROR(__xludf.DUMMYFUNCTION("GOOGLETRANSLATE(B5686,""en"",""hy"")"),"Մեր Արեգակնային համակարգում կա ութ մոլորակ:")</f>
        <v>Մեր Արեգակնային համակարգում կա ութ մոլորակ:</v>
      </c>
    </row>
    <row r="5687">
      <c r="A5687" s="5" t="s">
        <v>7452</v>
      </c>
      <c r="B5687" s="5" t="s">
        <v>7453</v>
      </c>
      <c r="C5687" s="5" t="str">
        <f>IFERROR(__xludf.DUMMYFUNCTION("GOOGLETRANSLATE(A5687,""en"",""hy"")"),"Ո՞րն է ոսկու քիմիական նշանը:")</f>
        <v>Ո՞րն է ոսկու քիմիական նշանը:</v>
      </c>
      <c r="D5687" s="6" t="str">
        <f>IFERROR(__xludf.DUMMYFUNCTION("GOOGLETRANSLATE(B5687,""en"",""hy"")"),"Ոսկու քիմիական նշանը Au-ն է:")</f>
        <v>Ոսկու քիմիական նշանը Au-ն է:</v>
      </c>
    </row>
    <row r="5688">
      <c r="A5688" s="5" t="s">
        <v>8108</v>
      </c>
      <c r="B5688" s="5" t="s">
        <v>7499</v>
      </c>
      <c r="C5688" s="5" t="str">
        <f>IFERROR(__xludf.DUMMYFUNCTION("GOOGLETRANSLATE(A5688,""en"",""hy"")"),"Ո՞ր հայտնի գիտնականն է մշակել հարաբերականության տեսությունը:")</f>
        <v>Ո՞ր հայտնի գիտնականն է մշակել հարաբերականության տեսությունը:</v>
      </c>
      <c r="D5688" s="6" t="str">
        <f>IFERROR(__xludf.DUMMYFUNCTION("GOOGLETRANSLATE(B5688,""en"",""hy"")"),"Albert Einstein")</f>
        <v>Albert Einstein</v>
      </c>
    </row>
    <row r="5689">
      <c r="A5689" s="5" t="s">
        <v>8501</v>
      </c>
      <c r="B5689" s="5" t="s">
        <v>8830</v>
      </c>
      <c r="C5689" s="5" t="str">
        <f>IFERROR(__xludf.DUMMYFUNCTION("GOOGLETRANSLATE(A5689,""en"",""hy"")"),"Ո՞ր քաղաքն է ընդունել 2016 թվականի ամառային օլիմպիական խաղերը:")</f>
        <v>Ո՞ր քաղաքն է ընդունել 2016 թվականի ամառային օլիմպիական խաղերը:</v>
      </c>
      <c r="D5689" s="6" t="str">
        <f>IFERROR(__xludf.DUMMYFUNCTION("GOOGLETRANSLATE(B5689,""en"",""hy"")"),"Ռիո դե Ժանեյրո")</f>
        <v>Ռիո դե Ժանեյրո</v>
      </c>
    </row>
    <row r="5690">
      <c r="A5690" s="5" t="s">
        <v>7769</v>
      </c>
      <c r="B5690" s="5" t="s">
        <v>7486</v>
      </c>
      <c r="C5690" s="5" t="str">
        <f>IFERROR(__xludf.DUMMYFUNCTION("GOOGLETRANSLATE(A5690,""en"",""hy"")"),"Ո՞վ է Հարրի Փոթերի գրքերի շարքի հեղինակը:")</f>
        <v>Ո՞վ է Հարրի Փոթերի գրքերի շարքի հեղինակը:</v>
      </c>
      <c r="D5690" s="6" t="str">
        <f>IFERROR(__xludf.DUMMYFUNCTION("GOOGLETRANSLATE(B5690,""en"",""hy"")"),"Ջ.Կ. Ռոուլինգ.")</f>
        <v>Ջ.Կ. Ռոուլինգ.</v>
      </c>
    </row>
    <row r="5691">
      <c r="A5691" s="5" t="s">
        <v>8020</v>
      </c>
      <c r="B5691" s="5" t="s">
        <v>7961</v>
      </c>
      <c r="C5691" s="5" t="str">
        <f>IFERROR(__xludf.DUMMYFUNCTION("GOOGLETRANSLATE(A5691,""en"",""hy"")"),"Ո՞ր թվականին է խորտակվել Տիտանիկը:")</f>
        <v>Ո՞ր թվականին է խորտակվել Տիտանիկը:</v>
      </c>
      <c r="D5691" s="6" t="str">
        <f>IFERROR(__xludf.DUMMYFUNCTION("GOOGLETRANSLATE(B5691,""en"",""hy"")"),"Տիտանիկը խորտակվել է 1912 թվականին։")</f>
        <v>Տիտանիկը խորտակվել է 1912 թվականին։</v>
      </c>
    </row>
    <row r="5692">
      <c r="A5692" s="5" t="s">
        <v>8831</v>
      </c>
      <c r="B5692" s="5" t="s">
        <v>8832</v>
      </c>
      <c r="C5692" s="5" t="str">
        <f>IFERROR(__xludf.DUMMYFUNCTION("GOOGLETRANSLATE(A5692,""en"",""hy"")"),"Անվանե՛ք «Ընկերներ» հեռուստաշոուի չորս գլխավոր հերոսներին։")</f>
        <v>Անվանե՛ք «Ընկերներ» հեռուստաշոուի չորս գլխավոր հերոսներին։</v>
      </c>
      <c r="D5692" s="6" t="str">
        <f>IFERROR(__xludf.DUMMYFUNCTION("GOOGLETRANSLATE(B5692,""en"",""hy"")"),"«Ընկերներ» հեռուստաշոուի չորս գլխավոր հերոսներն են՝ Ռեյչելը, Ռոսը, Մոնիկան և Չենդլերը։")</f>
        <v>«Ընկերներ» հեռուստաշոուի չորս գլխավոր հերոսներն են՝ Ռեյչելը, Ռոսը, Մոնիկան և Չենդլերը։</v>
      </c>
    </row>
    <row r="5693">
      <c r="A5693" s="5" t="s">
        <v>7645</v>
      </c>
      <c r="B5693" s="5" t="s">
        <v>7646</v>
      </c>
      <c r="C5693" s="5" t="str">
        <f>IFERROR(__xludf.DUMMYFUNCTION("GOOGLETRANSLATE(A5693,""en"",""hy"")"),"Ո՞րն է Երկրի ամենամեծ օվկիանոսը:")</f>
        <v>Ո՞րն է Երկրի ամենամեծ օվկիանոսը:</v>
      </c>
      <c r="D5693" s="6" t="str">
        <f>IFERROR(__xludf.DUMMYFUNCTION("GOOGLETRANSLATE(B5693,""en"",""hy"")"),"Խաղաղ օվկիանոս.")</f>
        <v>Խաղաղ օվկիանոս.</v>
      </c>
    </row>
    <row r="5694">
      <c r="A5694" s="5" t="s">
        <v>7566</v>
      </c>
      <c r="B5694" s="5" t="s">
        <v>7567</v>
      </c>
      <c r="C5694" s="5" t="str">
        <f>IFERROR(__xludf.DUMMYFUNCTION("GOOGLETRANSLATE(A5694,""en"",""hy"")"),"Ո՞վ է Կանադայի ներկայիս վարչապետը:")</f>
        <v>Ո՞վ է Կանադայի ներկայիս վարչապետը:</v>
      </c>
      <c r="D5694" s="6" t="str">
        <f>IFERROR(__xludf.DUMMYFUNCTION("GOOGLETRANSLATE(B5694,""en"",""hy"")"),"Ջասթին Թրյուդո")</f>
        <v>Ջասթին Թրյուդո</v>
      </c>
    </row>
    <row r="5695">
      <c r="A5695" s="5" t="s">
        <v>7842</v>
      </c>
      <c r="B5695" s="5" t="s">
        <v>7767</v>
      </c>
      <c r="C5695" s="5" t="str">
        <f>IFERROR(__xludf.DUMMYFUNCTION("GOOGLETRANSLATE(A5695,""en"",""hy"")"),"Ո՞րն է աշխարհի ամենաերկար գետը:")</f>
        <v>Ո՞րն է աշխարհի ամենաերկար գետը:</v>
      </c>
      <c r="D5695" s="6" t="str">
        <f>IFERROR(__xludf.DUMMYFUNCTION("GOOGLETRANSLATE(B5695,""en"",""hy"")"),"Նեղոս.")</f>
        <v>Նեղոս.</v>
      </c>
    </row>
    <row r="5696">
      <c r="A5696" s="5" t="s">
        <v>8833</v>
      </c>
      <c r="B5696" s="5" t="s">
        <v>2790</v>
      </c>
      <c r="C5696" s="5" t="str">
        <f>IFERROR(__xludf.DUMMYFUNCTION("GOOGLETRANSLATE(A5696,""en"",""hy"")"),"Ո՞ր երկիրն է հայտնի իր հայտնի տեսարժան վայրերով, ինչպիսիք են Մեծ պատը և տերակոտայի ռազմիկները:")</f>
        <v>Ո՞ր երկիրն է հայտնի իր հայտնի տեսարժան վայրերով, ինչպիսիք են Մեծ պատը և տերակոտայի ռազմիկները:</v>
      </c>
      <c r="D5696" s="6" t="str">
        <f>IFERROR(__xludf.DUMMYFUNCTION("GOOGLETRANSLATE(B5696,""en"",""hy"")"),"Չինաստան.")</f>
        <v>Չինաստան.</v>
      </c>
    </row>
    <row r="5697">
      <c r="A5697" s="5" t="s">
        <v>7845</v>
      </c>
      <c r="B5697" s="5" t="s">
        <v>3533</v>
      </c>
      <c r="C5697" s="5" t="str">
        <f>IFERROR(__xludf.DUMMYFUNCTION("GOOGLETRANSLATE(A5697,""en"",""hy"")"),"Ո՞րն է Բրազիլիայի պաշտոնական լեզուն:")</f>
        <v>Ո՞րն է Բրազիլիայի պաշտոնական լեզուն:</v>
      </c>
      <c r="D5697" s="6" t="str">
        <f>IFERROR(__xludf.DUMMYFUNCTION("GOOGLETRANSLATE(B5697,""en"",""hy"")"),"Բրազիլիայի պաշտոնական լեզուն պորտուգալերենն է։")</f>
        <v>Բրազիլիայի պաշտոնական լեզուն պորտուգալերենն է։</v>
      </c>
    </row>
    <row r="5698">
      <c r="A5698" s="5" t="s">
        <v>8105</v>
      </c>
      <c r="B5698" s="5" t="s">
        <v>7635</v>
      </c>
      <c r="C5698" s="5" t="str">
        <f>IFERROR(__xludf.DUMMYFUNCTION("GOOGLETRANSLATE(A5698,""en"",""hy"")"),"Ո՞վ էր առաջին մարդը, ով քայլեց լուսնի վրա:")</f>
        <v>Ո՞վ էր առաջին մարդը, ով քայլեց լուսնի վրա:</v>
      </c>
      <c r="D5698" s="6" t="str">
        <f>IFERROR(__xludf.DUMMYFUNCTION("GOOGLETRANSLATE(B5698,""en"",""hy"")"),"Նիլ Արմսթրոնգ.")</f>
        <v>Նիլ Արմսթրոնգ.</v>
      </c>
    </row>
    <row r="5699">
      <c r="A5699" s="5" t="s">
        <v>7592</v>
      </c>
      <c r="B5699" s="5" t="s">
        <v>7593</v>
      </c>
      <c r="C5699" s="5" t="str">
        <f>IFERROR(__xludf.DUMMYFUNCTION("GOOGLETRANSLATE(A5699,""en"",""hy"")"),"Ո՞րն է թթվածնի քիմիական նշանը:")</f>
        <v>Ո՞րն է թթվածնի քիմիական նշանը:</v>
      </c>
      <c r="D5699" s="6" t="str">
        <f>IFERROR(__xludf.DUMMYFUNCTION("GOOGLETRANSLATE(B5699,""en"",""hy"")"),"Թթվածնի քիմիական նշանը O է:")</f>
        <v>Թթվածնի քիմիական նշանը O է:</v>
      </c>
    </row>
    <row r="5700">
      <c r="A5700" s="5" t="s">
        <v>8834</v>
      </c>
      <c r="B5700" s="7">
        <v>1776.0</v>
      </c>
      <c r="C5700" s="5" t="str">
        <f>IFERROR(__xludf.DUMMYFUNCTION("GOOGLETRANSLATE(A5700,""en"",""hy"")"),"Ո՞ր թվականին է Միացյալ Նահանգները անկախացել Մեծ Բրիտանիայից.")</f>
        <v>Ո՞ր թվականին է Միացյալ Նահանգները անկախացել Մեծ Բրիտանիայից.</v>
      </c>
      <c r="D5700" s="6" t="str">
        <f>IFERROR(__xludf.DUMMYFUNCTION("GOOGLETRANSLATE(B5700,""en"",""hy"")"),"1776 թ")</f>
        <v>1776 թ</v>
      </c>
    </row>
    <row r="5701">
      <c r="A5701" s="5" t="s">
        <v>8835</v>
      </c>
      <c r="B5701" s="5" t="s">
        <v>8836</v>
      </c>
      <c r="C5701" s="5" t="str">
        <f>IFERROR(__xludf.DUMMYFUNCTION("GOOGLETRANSLATE(A5701,""en"",""hy"")"),"Անվանեք չորս Beatles-ը:")</f>
        <v>Անվանեք չորս Beatles-ը:</v>
      </c>
      <c r="D5701" s="6" t="str">
        <f>IFERROR(__xludf.DUMMYFUNCTION("GOOGLETRANSLATE(B5701,""en"",""hy"")"),"Ջոն Լենոն, Փոլ Մաքքարթնի, Ջորջ Հարիսոն, Ռինգո Սթար։")</f>
        <v>Ջոն Լենոն, Փոլ Մաքքարթնի, Ջորջ Հարիսոն, Ռինգո Սթար։</v>
      </c>
    </row>
    <row r="5702">
      <c r="A5702" s="5" t="s">
        <v>7789</v>
      </c>
      <c r="B5702" s="5" t="s">
        <v>8258</v>
      </c>
      <c r="C5702" s="5" t="str">
        <f>IFERROR(__xludf.DUMMYFUNCTION("GOOGLETRANSLATE(A5702,""en"",""hy"")"),"Ո՞վ է հունական ամպրոպի աստվածը:")</f>
        <v>Ո՞վ է հունական ամպրոպի աստվածը:</v>
      </c>
      <c r="D5702" s="6" t="str">
        <f>IFERROR(__xludf.DUMMYFUNCTION("GOOGLETRANSLATE(B5702,""en"",""hy"")"),"Զևս")</f>
        <v>Զևս</v>
      </c>
    </row>
    <row r="5703">
      <c r="A5703" s="5" t="s">
        <v>7553</v>
      </c>
      <c r="B5703" s="5" t="s">
        <v>7554</v>
      </c>
      <c r="C5703" s="5" t="str">
        <f>IFERROR(__xludf.DUMMYFUNCTION("GOOGLETRANSLATE(A5703,""en"",""hy"")"),"Ո՞րն է Հարավային Աֆրիկայի մայրաքաղաքը:")</f>
        <v>Ո՞րն է Հարավային Աֆրիկայի մայրաքաղաքը:</v>
      </c>
      <c r="D5703" s="6" t="str">
        <f>IFERROR(__xludf.DUMMYFUNCTION("GOOGLETRANSLATE(B5703,""en"",""hy"")"),"Պրետորիա.")</f>
        <v>Պրետորիա.</v>
      </c>
    </row>
    <row r="5704">
      <c r="A5704" s="5" t="s">
        <v>8246</v>
      </c>
      <c r="B5704" s="5" t="s">
        <v>7648</v>
      </c>
      <c r="C5704" s="5" t="str">
        <f>IFERROR(__xludf.DUMMYFUNCTION("GOOGLETRANSLATE(A5704,""en"",""hy"")"),"Ո՞վ է նկարել հայտնի «Աստղային գիշերը» արվեստի գործը:")</f>
        <v>Ո՞վ է նկարել հայտնի «Աստղային գիշերը» արվեստի գործը:</v>
      </c>
      <c r="D5704" s="6" t="str">
        <f>IFERROR(__xludf.DUMMYFUNCTION("GOOGLETRANSLATE(B5704,""en"",""hy"")"),"Վինսենթ վան Գոգ.")</f>
        <v>Վինսենթ վան Գոգ.</v>
      </c>
    </row>
    <row r="5705">
      <c r="A5705" s="5" t="s">
        <v>7463</v>
      </c>
      <c r="B5705" s="5" t="s">
        <v>7464</v>
      </c>
      <c r="C5705" s="5" t="str">
        <f>IFERROR(__xludf.DUMMYFUNCTION("GOOGLETRANSLATE(A5705,""en"",""hy"")"),"Ո՞րն է աշխարհի ամենաբարձր լեռը:")</f>
        <v>Ո՞րն է աշխարհի ամենաբարձր լեռը:</v>
      </c>
      <c r="D5705" s="6" t="str">
        <f>IFERROR(__xludf.DUMMYFUNCTION("GOOGLETRANSLATE(B5705,""en"",""hy"")"),"Էվերեստ լեռ.")</f>
        <v>Էվերեստ լեռ.</v>
      </c>
    </row>
    <row r="5706">
      <c r="A5706" s="5" t="s">
        <v>8622</v>
      </c>
      <c r="B5706" s="5" t="s">
        <v>7921</v>
      </c>
      <c r="C5706" s="5" t="str">
        <f>IFERROR(__xludf.DUMMYFUNCTION("GOOGLETRANSLATE(A5706,""en"",""hy"")"),"Ո՞ր երկրում է գտնվում Թաջ Մահալը:")</f>
        <v>Ո՞ր երկրում է գտնվում Թաջ Մահալը:</v>
      </c>
      <c r="D5706" s="6" t="str">
        <f>IFERROR(__xludf.DUMMYFUNCTION("GOOGLETRANSLATE(B5706,""en"",""hy"")"),"Հնդկաստան.")</f>
        <v>Հնդկաստան.</v>
      </c>
    </row>
    <row r="5707">
      <c r="A5707" s="5" t="s">
        <v>7644</v>
      </c>
      <c r="B5707" s="5" t="s">
        <v>7541</v>
      </c>
      <c r="C5707" s="5" t="str">
        <f>IFERROR(__xludf.DUMMYFUNCTION("GOOGLETRANSLATE(A5707,""en"",""hy"")"),"Ո՞վ է «Սպանել ծաղրող թռչունին» գրքի հեղինակը.")</f>
        <v>Ո՞վ է «Սպանել ծաղրող թռչունին» գրքի հեղինակը.</v>
      </c>
      <c r="D5707" s="6" t="str">
        <f>IFERROR(__xludf.DUMMYFUNCTION("GOOGLETRANSLATE(B5707,""en"",""hy"")"),"Հարփեր Լի.")</f>
        <v>Հարփեր Լի.</v>
      </c>
    </row>
    <row r="5708">
      <c r="A5708" s="5" t="s">
        <v>8298</v>
      </c>
      <c r="B5708" s="7">
        <v>1989.0</v>
      </c>
      <c r="C5708" s="5" t="str">
        <f>IFERROR(__xludf.DUMMYFUNCTION("GOOGLETRANSLATE(A5708,""en"",""hy"")"),"Ո՞ր թվականին է փլվել Բեռլինի պատը:")</f>
        <v>Ո՞ր թվականին է փլվել Բեռլինի պատը:</v>
      </c>
      <c r="D5708" s="6" t="str">
        <f>IFERROR(__xludf.DUMMYFUNCTION("GOOGLETRANSLATE(B5708,""en"",""hy"")"),"1989 թ")</f>
        <v>1989 թ</v>
      </c>
    </row>
    <row r="5709">
      <c r="A5709" s="5" t="s">
        <v>8262</v>
      </c>
      <c r="B5709" s="5" t="s">
        <v>8837</v>
      </c>
      <c r="C5709" s="5" t="str">
        <f>IFERROR(__xludf.DUMMYFUNCTION("GOOGLETRANSLATE(A5709,""en"",""hy"")"),"Ո՞րն է Ճապոնիայի պաշտոնական լեզուն:")</f>
        <v>Ո՞րն է Ճապոնիայի պաշտոնական լեզուն:</v>
      </c>
      <c r="D5709" s="6" t="str">
        <f>IFERROR(__xludf.DUMMYFUNCTION("GOOGLETRANSLATE(B5709,""en"",""hy"")"),"Ճապոնիայի պաշտոնական լեզուն ճապոներենն է։")</f>
        <v>Ճապոնիայի պաշտոնական լեզուն ճապոներենն է։</v>
      </c>
    </row>
    <row r="5710">
      <c r="A5710" s="5" t="s">
        <v>7601</v>
      </c>
      <c r="B5710" s="5" t="s">
        <v>8838</v>
      </c>
      <c r="C5710" s="5" t="str">
        <f>IFERROR(__xludf.DUMMYFUNCTION("GOOGLETRANSLATE(A5710,""en"",""hy"")"),"Ո՞վ է Ֆրանսիայի ներկայիս նախագահը.")</f>
        <v>Ո՞վ է Ֆրանսիայի ներկայիս նախագահը.</v>
      </c>
      <c r="D5710" s="6" t="str">
        <f>IFERROR(__xludf.DUMMYFUNCTION("GOOGLETRANSLATE(B5710,""en"",""hy"")"),"Ֆրանսիայի ներկայիս նախագահը Էմանուել Մակրոնն է։")</f>
        <v>Ֆրանսիայի ներկայիս նախագահը Էմանուել Մակրոնն է։</v>
      </c>
    </row>
    <row r="5711">
      <c r="A5711" s="5" t="s">
        <v>7699</v>
      </c>
      <c r="B5711" s="5" t="s">
        <v>8615</v>
      </c>
      <c r="C5711" s="5" t="str">
        <f>IFERROR(__xludf.DUMMYFUNCTION("GOOGLETRANSLATE(A5711,""en"",""hy"")"),"Ո՞րն է ածխածնի քիմիական նշանը:")</f>
        <v>Ո՞րն է ածխածնի քիմիական նշանը:</v>
      </c>
      <c r="D5711" s="6" t="str">
        <f>IFERROR(__xludf.DUMMYFUNCTION("GOOGLETRANSLATE(B5711,""en"",""hy"")"),"Գ")</f>
        <v>Գ</v>
      </c>
    </row>
    <row r="5712">
      <c r="A5712" s="5" t="s">
        <v>8839</v>
      </c>
      <c r="B5712" s="5" t="s">
        <v>8840</v>
      </c>
      <c r="C5712" s="5" t="str">
        <f>IFERROR(__xludf.DUMMYFUNCTION("GOOGLETRANSLATE(A5712,""en"",""hy"")"),"Անվանե՛ք «Սիմփսոնները» հեռուստաշոուի չորս գլխավոր հերոսներին։")</f>
        <v>Անվանե՛ք «Սիմփսոնները» հեռուստաշոուի չորս գլխավոր հերոսներին։</v>
      </c>
      <c r="D5712" s="6" t="str">
        <f>IFERROR(__xludf.DUMMYFUNCTION("GOOGLETRANSLATE(B5712,""en"",""hy"")"),"Հոմեր, Մարջ, Բարտ, Լիզա:")</f>
        <v>Հոմեր, Մարջ, Բարտ, Լիզա:</v>
      </c>
    </row>
    <row r="5713">
      <c r="A5713" s="5" t="s">
        <v>7513</v>
      </c>
      <c r="B5713" s="5" t="s">
        <v>7783</v>
      </c>
      <c r="C5713" s="5" t="str">
        <f>IFERROR(__xludf.DUMMYFUNCTION("GOOGLETRANSLATE(A5713,""en"",""hy"")"),"Ո՞րն է աշխարհի ամենամեծ անապատը:")</f>
        <v>Ո՞րն է աշխարհի ամենամեծ անապատը:</v>
      </c>
      <c r="D5713" s="6" t="str">
        <f>IFERROR(__xludf.DUMMYFUNCTION("GOOGLETRANSLATE(B5713,""en"",""hy"")"),"Սահարա անապատ.")</f>
        <v>Սահարա անապատ.</v>
      </c>
    </row>
    <row r="5714">
      <c r="A5714" s="5" t="s">
        <v>7443</v>
      </c>
      <c r="B5714" s="5" t="s">
        <v>7444</v>
      </c>
      <c r="C5714" s="5" t="str">
        <f>IFERROR(__xludf.DUMMYFUNCTION("GOOGLETRANSLATE(A5714,""en"",""hy"")"),"Ո՞վ է գրել «1984» վեպը։")</f>
        <v>Ո՞վ է գրել «1984» վեպը։</v>
      </c>
      <c r="D5714" s="6" t="str">
        <f>IFERROR(__xludf.DUMMYFUNCTION("GOOGLETRANSLATE(B5714,""en"",""hy"")"),"Ջորջ Օրուել.")</f>
        <v>Ջորջ Օրուել.</v>
      </c>
    </row>
    <row r="5715">
      <c r="A5715" s="5" t="s">
        <v>8841</v>
      </c>
      <c r="B5715" s="5" t="s">
        <v>6334</v>
      </c>
      <c r="C5715" s="5" t="str">
        <f>IFERROR(__xludf.DUMMYFUNCTION("GOOGLETRANSLATE(A5715,""en"",""hy"")"),"Ո՞ր երկրում է հիմնականում տեղի ունեցել Վերածնունդը:")</f>
        <v>Ո՞ր երկրում է հիմնականում տեղի ունեցել Վերածնունդը:</v>
      </c>
      <c r="D5715" s="6" t="str">
        <f>IFERROR(__xludf.DUMMYFUNCTION("GOOGLETRANSLATE(B5715,""en"",""hy"")"),"Իտալիա.")</f>
        <v>Իտալիա.</v>
      </c>
    </row>
    <row r="5716">
      <c r="A5716" s="5" t="s">
        <v>7780</v>
      </c>
      <c r="B5716" s="5" t="s">
        <v>2951</v>
      </c>
      <c r="C5716" s="5" t="str">
        <f>IFERROR(__xludf.DUMMYFUNCTION("GOOGLETRANSLATE(A5716,""en"",""hy"")"),"Ո՞րն է Կանադայի մայրաքաղաքը:")</f>
        <v>Ո՞րն է Կանադայի մայրաքաղաքը:</v>
      </c>
      <c r="D5716" s="6" t="str">
        <f>IFERROR(__xludf.DUMMYFUNCTION("GOOGLETRANSLATE(B5716,""en"",""hy"")"),"Օտտավա.")</f>
        <v>Օտտավա.</v>
      </c>
    </row>
    <row r="5717">
      <c r="A5717" s="5" t="s">
        <v>8123</v>
      </c>
      <c r="B5717" s="5" t="s">
        <v>7828</v>
      </c>
      <c r="C5717" s="5" t="str">
        <f>IFERROR(__xludf.DUMMYFUNCTION("GOOGLETRANSLATE(A5717,""en"",""hy"")"),"Ո՞վ է նկարել հայտնի «Վերջին ընթրիքը» ստեղծագործությունը:")</f>
        <v>Ո՞վ է նկարել հայտնի «Վերջին ընթրիքը» ստեղծագործությունը:</v>
      </c>
      <c r="D5717" s="6" t="str">
        <f>IFERROR(__xludf.DUMMYFUNCTION("GOOGLETRANSLATE(B5717,""en"",""hy"")"),"Լեոնարդո դա Վինչի")</f>
        <v>Լեոնարդո դա Վինչի</v>
      </c>
    </row>
    <row r="5718">
      <c r="A5718" s="5" t="s">
        <v>7953</v>
      </c>
      <c r="B5718" s="5" t="s">
        <v>7954</v>
      </c>
      <c r="C5718" s="5" t="str">
        <f>IFERROR(__xludf.DUMMYFUNCTION("GOOGLETRANSLATE(A5718,""en"",""hy"")"),"Ո՞րն է աշխարհի երկրորդ ամենամեծ երկիրը ցամաքային տարածքով:")</f>
        <v>Ո՞րն է աշխարհի երկրորդ ամենամեծ երկիրը ցամաքային տարածքով:</v>
      </c>
      <c r="D5718" s="6" t="str">
        <f>IFERROR(__xludf.DUMMYFUNCTION("GOOGLETRANSLATE(B5718,""en"",""hy"")"),"Կանադա")</f>
        <v>Կանադա</v>
      </c>
    </row>
    <row r="5719">
      <c r="A5719" s="5" t="s">
        <v>8842</v>
      </c>
      <c r="B5719" s="5" t="s">
        <v>7656</v>
      </c>
      <c r="C5719" s="5" t="str">
        <f>IFERROR(__xludf.DUMMYFUNCTION("GOOGLETRANSLATE(A5719,""en"",""hy"")"),"Ո՞վ է բանաստեղծը հայտնի ստեղծագործությունների հետևում, ինչպիսիք են «Ագռավը» և «Աննաբել Լին»:")</f>
        <v>Ո՞վ է բանաստեղծը հայտնի ստեղծագործությունների հետևում, ինչպիսիք են «Ագռավը» և «Աննաբել Լին»:</v>
      </c>
      <c r="D5719" s="6" t="str">
        <f>IFERROR(__xludf.DUMMYFUNCTION("GOOGLETRANSLATE(B5719,""en"",""hy"")"),"Էդգար Ալան Պո.")</f>
        <v>Էդգար Ալան Պո.</v>
      </c>
    </row>
    <row r="5720">
      <c r="A5720" s="5" t="s">
        <v>8314</v>
      </c>
      <c r="B5720" s="5" t="s">
        <v>8315</v>
      </c>
      <c r="C5720" s="5" t="str">
        <f>IFERROR(__xludf.DUMMYFUNCTION("GOOGLETRANSLATE(A5720,""en"",""hy"")"),"Ո՞ր տարում ավարտվեց Սառը պատերազմը:")</f>
        <v>Ո՞ր տարում ավարտվեց Սառը պատերազմը:</v>
      </c>
      <c r="D5720" s="6" t="str">
        <f>IFERROR(__xludf.DUMMYFUNCTION("GOOGLETRANSLATE(B5720,""en"",""hy"")"),"Սառը պատերազմն ավարտվեց 1991թ.")</f>
        <v>Սառը պատերազմն ավարտվեց 1991թ.</v>
      </c>
    </row>
    <row r="5721">
      <c r="A5721" s="5" t="s">
        <v>8270</v>
      </c>
      <c r="B5721" s="5" t="s">
        <v>4928</v>
      </c>
      <c r="C5721" s="5" t="str">
        <f>IFERROR(__xludf.DUMMYFUNCTION("GOOGLETRANSLATE(A5721,""en"",""hy"")"),"Ո՞րն է Գերմանիայի պաշտոնական լեզուն:")</f>
        <v>Ո՞րն է Գերմանիայի պաշտոնական լեզուն:</v>
      </c>
      <c r="D5721" s="6" t="str">
        <f>IFERROR(__xludf.DUMMYFUNCTION("GOOGLETRANSLATE(B5721,""en"",""hy"")"),"գերմաներեն.")</f>
        <v>գերմաներեն.</v>
      </c>
    </row>
    <row r="5722">
      <c r="A5722" s="5" t="s">
        <v>8843</v>
      </c>
      <c r="B5722" s="5" t="s">
        <v>8844</v>
      </c>
      <c r="C5722" s="5" t="str">
        <f>IFERROR(__xludf.DUMMYFUNCTION("GOOGLETRANSLATE(A5722,""en"",""hy"")"),"Ո՞վ է Հնդկաստանի ներկայիս վարչապետը:")</f>
        <v>Ո՞վ է Հնդկաստանի ներկայիս վարչապետը:</v>
      </c>
      <c r="D5722" s="6" t="str">
        <f>IFERROR(__xludf.DUMMYFUNCTION("GOOGLETRANSLATE(B5722,""en"",""hy"")"),"Հնդկաստանի ներկայիս վարչապետը Նարենդրա Մոդին է։")</f>
        <v>Հնդկաստանի ներկայիս վարչապետը Նարենդրա Մոդին է։</v>
      </c>
    </row>
    <row r="5723">
      <c r="A5723" s="5" t="s">
        <v>7509</v>
      </c>
      <c r="B5723" s="5" t="s">
        <v>7510</v>
      </c>
      <c r="C5723" s="5" t="str">
        <f>IFERROR(__xludf.DUMMYFUNCTION("GOOGLETRANSLATE(A5723,""en"",""hy"")"),"Ո՞րն է արծաթի քիմիական նշանը:")</f>
        <v>Ո՞րն է արծաթի քիմիական նշանը:</v>
      </c>
      <c r="D5723" s="6" t="str">
        <f>IFERROR(__xludf.DUMMYFUNCTION("GOOGLETRANSLATE(B5723,""en"",""hy"")"),"Ագ")</f>
        <v>Ագ</v>
      </c>
    </row>
    <row r="5724">
      <c r="A5724" s="5" t="s">
        <v>8845</v>
      </c>
      <c r="B5724" s="5" t="s">
        <v>8846</v>
      </c>
      <c r="C5724" s="5" t="str">
        <f>IFERROR(__xludf.DUMMYFUNCTION("GOOGLETRANSLATE(A5724,""en"",""hy"")"),"Անվանե՛ք «Մեծ պայթյունի տեսություն» հեռուստաշոուի չորս գլխավոր հերոսներին։")</f>
        <v>Անվանե՛ք «Մեծ պայթյունի տեսություն» հեռուստաշոուի չորս գլխավոր հերոսներին։</v>
      </c>
      <c r="D5724" s="6" t="str">
        <f>IFERROR(__xludf.DUMMYFUNCTION("GOOGLETRANSLATE(B5724,""en"",""hy"")"),"Շելդոնը, Լեոնարդը, Փեննին և Հովարդը:")</f>
        <v>Շելդոնը, Լեոնարդը, Փեննին և Հովարդը:</v>
      </c>
    </row>
    <row r="5725">
      <c r="A5725" s="5" t="s">
        <v>7497</v>
      </c>
      <c r="B5725" s="5" t="s">
        <v>1299</v>
      </c>
      <c r="C5725" s="5" t="str">
        <f>IFERROR(__xludf.DUMMYFUNCTION("GOOGLETRANSLATE(A5725,""en"",""hy"")"),"Ո՞րն է աշխարհի ամենամեծ մայրցամաքը:")</f>
        <v>Ո՞րն է աշխարհի ամենամեծ մայրցամաքը:</v>
      </c>
      <c r="D5725" s="6" t="str">
        <f>IFERROR(__xludf.DUMMYFUNCTION("GOOGLETRANSLATE(B5725,""en"",""hy"")"),"Ասիա.")</f>
        <v>Ասիա.</v>
      </c>
    </row>
    <row r="5726">
      <c r="A5726" s="5" t="s">
        <v>7698</v>
      </c>
      <c r="B5726" s="5" t="s">
        <v>7630</v>
      </c>
      <c r="C5726" s="5" t="str">
        <f>IFERROR(__xludf.DUMMYFUNCTION("GOOGLETRANSLATE(A5726,""en"",""hy"")"),"Ո՞վ է գրել «Հպարտություն և նախապաշարմունք» վեպը:")</f>
        <v>Ո՞վ է գրել «Հպարտություն և նախապաշարմունք» վեպը:</v>
      </c>
      <c r="D5726" s="6" t="str">
        <f>IFERROR(__xludf.DUMMYFUNCTION("GOOGLETRANSLATE(B5726,""en"",""hy"")"),"Ջեյն Օսթին.")</f>
        <v>Ջեյն Օսթին.</v>
      </c>
    </row>
    <row r="5727">
      <c r="A5727" s="5" t="s">
        <v>8508</v>
      </c>
      <c r="B5727" s="7">
        <v>1789.0</v>
      </c>
      <c r="C5727" s="5" t="str">
        <f>IFERROR(__xludf.DUMMYFUNCTION("GOOGLETRANSLATE(A5727,""en"",""hy"")"),"Ո՞ր թվականին սկսվեց Ֆրանսիական հեղափոխությունը:")</f>
        <v>Ո՞ր թվականին սկսվեց Ֆրանսիական հեղափոխությունը:</v>
      </c>
      <c r="D5727" s="6" t="str">
        <f>IFERROR(__xludf.DUMMYFUNCTION("GOOGLETRANSLATE(B5727,""en"",""hy"")"),"1789 թ")</f>
        <v>1789 թ</v>
      </c>
    </row>
    <row r="5728">
      <c r="A5728" s="5" t="s">
        <v>7589</v>
      </c>
      <c r="B5728" s="5" t="s">
        <v>7545</v>
      </c>
      <c r="C5728" s="5" t="str">
        <f>IFERROR(__xludf.DUMMYFUNCTION("GOOGLETRANSLATE(A5728,""en"",""hy"")"),"Ո՞րն է Իտալիայի մայրաքաղաքը:")</f>
        <v>Ո՞րն է Իտալիայի մայրաքաղաքը:</v>
      </c>
      <c r="D5728" s="6" t="str">
        <f>IFERROR(__xludf.DUMMYFUNCTION("GOOGLETRANSLATE(B5728,""en"",""hy"")"),"Հռոմ.")</f>
        <v>Հռոմ.</v>
      </c>
    </row>
    <row r="5729">
      <c r="A5729" s="5" t="s">
        <v>8310</v>
      </c>
      <c r="B5729" s="5" t="s">
        <v>7585</v>
      </c>
      <c r="C5729" s="5" t="str">
        <f>IFERROR(__xludf.DUMMYFUNCTION("GOOGLETRANSLATE(A5729,""en"",""hy"")"),"Ո՞վ է նկարել հայտնի «Ճիչ»-ը:")</f>
        <v>Ո՞վ է նկարել հայտնի «Ճիչ»-ը:</v>
      </c>
      <c r="D5729" s="6" t="str">
        <f>IFERROR(__xludf.DUMMYFUNCTION("GOOGLETRANSLATE(B5729,""en"",""hy"")"),"Էդվարդ Մունկ.")</f>
        <v>Էդվարդ Մունկ.</v>
      </c>
    </row>
    <row r="5730">
      <c r="A5730" s="5" t="s">
        <v>8127</v>
      </c>
      <c r="B5730" s="5" t="s">
        <v>6556</v>
      </c>
      <c r="C5730" s="5" t="str">
        <f>IFERROR(__xludf.DUMMYFUNCTION("GOOGLETRANSLATE(A5730,""en"",""hy"")"),"Ո՞րն է Ռուսաստանի պաշտոնական լեզուն:")</f>
        <v>Ո՞րն է Ռուսաստանի պաշտոնական լեզուն:</v>
      </c>
      <c r="D5730" s="6" t="str">
        <f>IFERROR(__xludf.DUMMYFUNCTION("GOOGLETRANSLATE(B5730,""en"",""hy"")"),"Ռուսաստանի պաշտոնական լեզուն ռուսերենն է։")</f>
        <v>Ռուսաստանի պաշտոնական լեզուն ռուսերենն է։</v>
      </c>
    </row>
    <row r="5731">
      <c r="A5731" s="5" t="s">
        <v>7893</v>
      </c>
      <c r="B5731" s="5" t="s">
        <v>7894</v>
      </c>
      <c r="C5731" s="5" t="str">
        <f>IFERROR(__xludf.DUMMYFUNCTION("GOOGLETRANSLATE(A5731,""en"",""hy"")"),"Ո՞րն է կալիումի քիմիական նշանը:")</f>
        <v>Ո՞րն է կալիումի քիմիական նշանը:</v>
      </c>
      <c r="D5731" s="6" t="str">
        <f>IFERROR(__xludf.DUMMYFUNCTION("GOOGLETRANSLATE(B5731,""en"",""hy"")"),"Կալիումի քիմիական նշանը Կ.")</f>
        <v>Կալիումի քիմիական նշանը Կ.</v>
      </c>
    </row>
    <row r="5732">
      <c r="A5732" s="5" t="s">
        <v>8847</v>
      </c>
      <c r="B5732" s="5" t="s">
        <v>8848</v>
      </c>
      <c r="C5732" s="5" t="str">
        <f>IFERROR(__xludf.DUMMYFUNCTION("GOOGLETRANSLATE(A5732,""en"",""hy"")"),"Անվանե՛ք «Գահերի խաղը» հեռուստաշոուի չորս գլխավոր հերոսներին։")</f>
        <v>Անվանե՛ք «Գահերի խաղը» հեռուստաշոուի չորս գլխավոր հերոսներին։</v>
      </c>
      <c r="D5732" s="6" t="str">
        <f>IFERROR(__xludf.DUMMYFUNCTION("GOOGLETRANSLATE(B5732,""en"",""hy"")"),"Ջոն Սնոու, Դեյներիս Տարգարիեն, Արյա Սթարք, Տիրիոն Լանիստեր։")</f>
        <v>Ջոն Սնոու, Դեյներիս Տարգարիեն, Արյա Սթարք, Տիրիոն Լանիստեր։</v>
      </c>
    </row>
    <row r="5733">
      <c r="A5733" s="5" t="s">
        <v>7618</v>
      </c>
      <c r="B5733" s="5" t="s">
        <v>8849</v>
      </c>
      <c r="C5733" s="5" t="str">
        <f>IFERROR(__xludf.DUMMYFUNCTION("GOOGLETRANSLATE(A5733,""en"",""hy"")"),"Ո՞րն է աշխարհի ամենամեծ ջրվեժը:")</f>
        <v>Ո՞րն է աշխարհի ամենամեծ ջրվեժը:</v>
      </c>
      <c r="D5733" s="6" t="str">
        <f>IFERROR(__xludf.DUMMYFUNCTION("GOOGLETRANSLATE(B5733,""en"",""hy"")"),"Վենեսուելայում գտնվող Angel Falls-ը աշխարհի ամենամեծ ջրվեժն է:")</f>
        <v>Վենեսուելայում գտնվող Angel Falls-ը աշխարհի ամենամեծ ջրվեժն է:</v>
      </c>
    </row>
    <row r="5734">
      <c r="A5734" s="5" t="s">
        <v>7504</v>
      </c>
      <c r="B5734" s="5" t="s">
        <v>7505</v>
      </c>
      <c r="C5734" s="5" t="str">
        <f>IFERROR(__xludf.DUMMYFUNCTION("GOOGLETRANSLATE(A5734,""en"",""hy"")"),"Ո՞վ է Միացյալ Նահանգների ներկայիս նախագահը:")</f>
        <v>Ո՞վ է Միացյալ Նահանգների ներկայիս նախագահը:</v>
      </c>
      <c r="D5734" s="6" t="str">
        <f>IFERROR(__xludf.DUMMYFUNCTION("GOOGLETRANSLATE(B5734,""en"",""hy"")"),"Ջո Բայդեն.")</f>
        <v>Ջո Բայդեն.</v>
      </c>
    </row>
    <row r="5735">
      <c r="A5735" s="5" t="s">
        <v>8850</v>
      </c>
      <c r="B5735" s="5" t="s">
        <v>7972</v>
      </c>
      <c r="C5735" s="5" t="str">
        <f>IFERROR(__xludf.DUMMYFUNCTION("GOOGLETRANSLATE(A5735,""en"",""hy"")"),"Ո՞ր երկիրն է հայտնի իր հայտնի տեսարժան վայրերով, ինչպիսիք են Էյֆելյան աշտարակը և Լուվրի թանգարանը:")</f>
        <v>Ո՞ր երկիրն է հայտնի իր հայտնի տեսարժան վայրերով, ինչպիսիք են Էյֆելյան աշտարակը և Լուվրի թանգարանը:</v>
      </c>
      <c r="D5735" s="6" t="str">
        <f>IFERROR(__xludf.DUMMYFUNCTION("GOOGLETRANSLATE(B5735,""en"",""hy"")"),"Ֆրանսիա.")</f>
        <v>Ֆրանսիա.</v>
      </c>
    </row>
    <row r="5736">
      <c r="A5736" s="5" t="s">
        <v>8025</v>
      </c>
      <c r="B5736" s="5" t="s">
        <v>8595</v>
      </c>
      <c r="C5736" s="5" t="str">
        <f>IFERROR(__xludf.DUMMYFUNCTION("GOOGLETRANSLATE(A5736,""en"",""hy"")"),"Ո՞րն է Չինաստանի պաշտոնական լեզուն:")</f>
        <v>Ո՞րն է Չինաստանի պաշտոնական լեզուն:</v>
      </c>
      <c r="D5736" s="6" t="str">
        <f>IFERROR(__xludf.DUMMYFUNCTION("GOOGLETRANSLATE(B5736,""en"",""hy"")"),"Չինաստանի պաշտոնական լեզուն մանդարինն է։")</f>
        <v>Չինաստանի պաշտոնական լեզուն մանդարինն է։</v>
      </c>
    </row>
    <row r="5737">
      <c r="A5737" s="5" t="s">
        <v>7854</v>
      </c>
      <c r="B5737" s="5" t="s">
        <v>7458</v>
      </c>
      <c r="C5737" s="5" t="str">
        <f>IFERROR(__xludf.DUMMYFUNCTION("GOOGLETRANSLATE(A5737,""en"",""hy"")"),"Ո՞վ էր Միացյալ Նահանգների առաջին նախագահը:")</f>
        <v>Ո՞վ էր Միացյալ Նահանգների առաջին նախագահը:</v>
      </c>
      <c r="D5737" s="6" t="str">
        <f>IFERROR(__xludf.DUMMYFUNCTION("GOOGLETRANSLATE(B5737,""en"",""hy"")"),"Ջորջ Վաշինգտոն.")</f>
        <v>Ջորջ Վաշինգտոն.</v>
      </c>
    </row>
    <row r="5738">
      <c r="A5738" s="5" t="s">
        <v>7557</v>
      </c>
      <c r="B5738" s="5" t="s">
        <v>7857</v>
      </c>
      <c r="C5738" s="5" t="str">
        <f>IFERROR(__xludf.DUMMYFUNCTION("GOOGLETRANSLATE(A5738,""en"",""hy"")"),"Ո՞րն է երկաթի քիմիական նշանը:")</f>
        <v>Ո՞րն է երկաթի քիմիական նշանը:</v>
      </c>
      <c r="D5738" s="6" t="str">
        <f>IFERROR(__xludf.DUMMYFUNCTION("GOOGLETRANSLATE(B5738,""en"",""hy"")"),"Երկաթի քիմիական նշանը Fe է:")</f>
        <v>Երկաթի քիմիական նշանը Fe է:</v>
      </c>
    </row>
    <row r="5739">
      <c r="A5739" s="5" t="s">
        <v>8327</v>
      </c>
      <c r="B5739" s="5" t="s">
        <v>7837</v>
      </c>
      <c r="C5739" s="5" t="str">
        <f>IFERROR(__xludf.DUMMYFUNCTION("GOOGLETRANSLATE(A5739,""en"",""hy"")"),"Ո՞ր թվականին սկսվեց Առաջին համաշխարհային պատերազմը:")</f>
        <v>Ո՞ր թվականին սկսվեց Առաջին համաշխարհային պատերազմը:</v>
      </c>
      <c r="D5739" s="6" t="str">
        <f>IFERROR(__xludf.DUMMYFUNCTION("GOOGLETRANSLATE(B5739,""en"",""hy"")"),"Առաջին համաշխարհային պատերազմը սկսվել է 1914 թ.")</f>
        <v>Առաջին համաշխարհային պատերազմը սկսվել է 1914 թ.</v>
      </c>
    </row>
    <row r="5740">
      <c r="A5740" s="5" t="s">
        <v>8851</v>
      </c>
      <c r="B5740" s="5" t="s">
        <v>8852</v>
      </c>
      <c r="C5740" s="5" t="str">
        <f>IFERROR(__xludf.DUMMYFUNCTION("GOOGLETRANSLATE(A5740,""en"",""hy"")"),"Անվանե՛ք «Breaking Bad» հեռուստաշոուի չորս գլխավոր հերոսներին։")</f>
        <v>Անվանե՛ք «Breaking Bad» հեռուստաշոուի չորս գլխավոր հերոսներին։</v>
      </c>
      <c r="D5740" s="6" t="str">
        <f>IFERROR(__xludf.DUMMYFUNCTION("GOOGLETRANSLATE(B5740,""en"",""hy"")"),"Ուոլթեր Ուայթ, Ջեսսի Փինքման, Սքայլեր Ուայթ, Հենք Շրեյդեր")</f>
        <v>Ուոլթեր Ուայթ, Ջեսսի Փինքման, Սքայլեր Ուայթ, Հենք Շրեյդեր</v>
      </c>
    </row>
    <row r="5741">
      <c r="A5741" s="5" t="s">
        <v>8853</v>
      </c>
      <c r="B5741" s="5" t="s">
        <v>8854</v>
      </c>
      <c r="C5741" s="5" t="str">
        <f>IFERROR(__xludf.DUMMYFUNCTION("GOOGLETRANSLATE(A5741,""en"",""hy"")"),"Ո՞րն է Երկրի ամենախոր օվկիանոսային խրամատը:")</f>
        <v>Ո՞րն է Երկրի ամենախոր օվկիանոսային խրամատը:</v>
      </c>
      <c r="D5741" s="6" t="str">
        <f>IFERROR(__xludf.DUMMYFUNCTION("GOOGLETRANSLATE(B5741,""en"",""hy"")"),"Երկրի ամենախորը օվկիանոսային խրամատը Մարիանայի խրամատն է:")</f>
        <v>Երկրի ամենախորը օվկիանոսային խրամատը Մարիանայի խրամատն է:</v>
      </c>
    </row>
    <row r="5742">
      <c r="A5742" s="5" t="s">
        <v>7660</v>
      </c>
      <c r="B5742" s="5" t="s">
        <v>7661</v>
      </c>
      <c r="C5742" s="5" t="str">
        <f>IFERROR(__xludf.DUMMYFUNCTION("GOOGLETRANSLATE(A5742,""en"",""hy"")"),"Ո՞վ է «Մեծն Գեթսբիի» հեղինակը.")</f>
        <v>Ո՞վ է «Մեծն Գեթսբիի» հեղինակը.</v>
      </c>
      <c r="D5742" s="6" t="str">
        <f>IFERROR(__xludf.DUMMYFUNCTION("GOOGLETRANSLATE(B5742,""en"",""hy"")"),"F. Scott Fitzgerald.")</f>
        <v>F. Scott Fitzgerald.</v>
      </c>
    </row>
    <row r="5743">
      <c r="A5743" s="5" t="s">
        <v>8855</v>
      </c>
      <c r="B5743" s="5" t="s">
        <v>8856</v>
      </c>
      <c r="C5743" s="5" t="str">
        <f>IFERROR(__xludf.DUMMYFUNCTION("GOOGLETRANSLATE(A5743,""en"",""hy"")"),"Ո՞ր երկրում սկսվեց արդյունաբերական հեղափոխությունը:")</f>
        <v>Ո՞ր երկրում սկսվեց արդյունաբերական հեղափոխությունը:</v>
      </c>
      <c r="D5743" s="6" t="str">
        <f>IFERROR(__xludf.DUMMYFUNCTION("GOOGLETRANSLATE(B5743,""en"",""hy"")"),"Անգլիայում սկսվեց արդյունաբերական հեղափոխությունը։")</f>
        <v>Անգլիայում սկսվեց արդյունաբերական հեղափոխությունը։</v>
      </c>
    </row>
    <row r="5744">
      <c r="A5744" s="5" t="s">
        <v>7903</v>
      </c>
      <c r="B5744" s="5" t="s">
        <v>8261</v>
      </c>
      <c r="C5744" s="5" t="str">
        <f>IFERROR(__xludf.DUMMYFUNCTION("GOOGLETRANSLATE(A5744,""en"",""hy"")"),"Ո՞րն է Մեքսիկայի մայրաքաղաքը:")</f>
        <v>Ո՞րն է Մեքսիկայի մայրաքաղաքը:</v>
      </c>
      <c r="D5744" s="6" t="str">
        <f>IFERROR(__xludf.DUMMYFUNCTION("GOOGLETRANSLATE(B5744,""en"",""hy"")"),"Մեխիկո Սիթի.")</f>
        <v>Մեխիկո Սիթի.</v>
      </c>
    </row>
    <row r="5745">
      <c r="A5745" s="5" t="s">
        <v>7709</v>
      </c>
      <c r="B5745" s="5" t="s">
        <v>7710</v>
      </c>
      <c r="C5745" s="5" t="str">
        <f>IFERROR(__xludf.DUMMYFUNCTION("GOOGLETRANSLATE(A5745,""en"",""hy"")"),"Ո՞վ է նկարել հայտնի «Գերնիկա» արվեստի գործը:")</f>
        <v>Ո՞վ է նկարել հայտնի «Գերնիկա» արվեստի գործը:</v>
      </c>
      <c r="D5745" s="6" t="str">
        <f>IFERROR(__xludf.DUMMYFUNCTION("GOOGLETRANSLATE(B5745,""en"",""hy"")"),"Պաբլո Պիկասո.")</f>
        <v>Պաբլո Պիկասո.</v>
      </c>
    </row>
    <row r="5746">
      <c r="A5746" s="5" t="s">
        <v>8857</v>
      </c>
      <c r="B5746" s="5" t="s">
        <v>8858</v>
      </c>
      <c r="C5746" s="5" t="str">
        <f>IFERROR(__xludf.DUMMYFUNCTION("GOOGLETRANSLATE(A5746,""en"",""hy"")"),"Ո՞րն է աշխարհի ամենամեծ երկիրը, որը դեպի ծով ելք չունի:")</f>
        <v>Ո՞րն է աշխարհի ամենամեծ երկիրը, որը դեպի ծով ելք չունի:</v>
      </c>
      <c r="D5746" s="6" t="str">
        <f>IFERROR(__xludf.DUMMYFUNCTION("GOOGLETRANSLATE(B5746,""en"",""hy"")"),"Ղազախստան.")</f>
        <v>Ղազախստան.</v>
      </c>
    </row>
    <row r="5747">
      <c r="A5747" s="5" t="s">
        <v>8859</v>
      </c>
      <c r="B5747" s="5" t="s">
        <v>7714</v>
      </c>
      <c r="C5747" s="5" t="str">
        <f>IFERROR(__xludf.DUMMYFUNCTION("GOOGLETRANSLATE(A5747,""en"",""hy"")"),"Ո՞վ է բանաստեղծը հայտնի ստեղծագործությունների հետևում, ինչպիսիք են «The Waste Land» և «The Love Song of J. Alfred Prufrock»-ը:")</f>
        <v>Ո՞վ է բանաստեղծը հայտնի ստեղծագործությունների հետևում, ինչպիսիք են «The Waste Land» և «The Love Song of J. Alfred Prufrock»-ը:</v>
      </c>
      <c r="D5747" s="6" t="str">
        <f>IFERROR(__xludf.DUMMYFUNCTION("GOOGLETRANSLATE(B5747,""en"",""hy"")"),"Տ.Ս. Էլիոթ.")</f>
        <v>Տ.Ս. Էլիոթ.</v>
      </c>
    </row>
    <row r="5748">
      <c r="A5748" s="5" t="s">
        <v>8860</v>
      </c>
      <c r="B5748" s="5" t="s">
        <v>8861</v>
      </c>
      <c r="C5748" s="5" t="str">
        <f>IFERROR(__xludf.DUMMYFUNCTION("GOOGLETRANSLATE(A5748,""en"",""hy"")"),"Ո՞ր թվականին ավարտվեց Ամերիկայի քաղաքացիական պատերազմը:")</f>
        <v>Ո՞ր թվականին ավարտվեց Ամերիկայի քաղաքացիական պատերազմը:</v>
      </c>
      <c r="D5748" s="6" t="str">
        <f>IFERROR(__xludf.DUMMYFUNCTION("GOOGLETRANSLATE(B5748,""en"",""hy"")"),"Ամերիկյան քաղաքացիական պատերազմն ավարտվեց 1865 թվականին։")</f>
        <v>Ամերիկյան քաղաքացիական պատերազմն ավարտվեց 1865 թվականին։</v>
      </c>
    </row>
    <row r="5749">
      <c r="A5749" s="5" t="s">
        <v>8144</v>
      </c>
      <c r="B5749" s="5" t="s">
        <v>8145</v>
      </c>
      <c r="C5749" s="5" t="str">
        <f>IFERROR(__xludf.DUMMYFUNCTION("GOOGLETRANSLATE(A5749,""en"",""hy"")"),"Ո՞րն է Իսպանիայի պաշտոնական լեզուն:")</f>
        <v>Ո՞րն է Իսպանիայի պաշտոնական լեզուն:</v>
      </c>
      <c r="D5749" s="6" t="str">
        <f>IFERROR(__xludf.DUMMYFUNCTION("GOOGLETRANSLATE(B5749,""en"",""hy"")"),"Իսպանիայի պաշտոնական լեզուն իսպաներենն է։")</f>
        <v>Իսպանիայի պաշտոնական լեզուն իսպաներենն է։</v>
      </c>
    </row>
    <row r="5750">
      <c r="A5750" s="5" t="s">
        <v>7479</v>
      </c>
      <c r="B5750" s="5" t="s">
        <v>8862</v>
      </c>
      <c r="C5750" s="5" t="str">
        <f>IFERROR(__xludf.DUMMYFUNCTION("GOOGLETRANSLATE(A5750,""en"",""hy"")"),"Ո՞վ է Միացյալ Թագավորության ներկայիս վարչապետը:")</f>
        <v>Ո՞վ է Միացյալ Թագավորության ներկայիս վարչապետը:</v>
      </c>
      <c r="D5750" s="6" t="str">
        <f>IFERROR(__xludf.DUMMYFUNCTION("GOOGLETRANSLATE(B5750,""en"",""hy"")"),"Իմ տեղեկություններով՝ Միացյալ Թագավորության ներկայիս վարչապետը Բորիս Ջոնսոնն է։")</f>
        <v>Իմ տեղեկություններով՝ Միացյալ Թագավորության ներկայիս վարչապետը Բորիս Ջոնսոնն է։</v>
      </c>
    </row>
    <row r="5751">
      <c r="A5751" s="5" t="s">
        <v>7761</v>
      </c>
      <c r="B5751" s="5" t="s">
        <v>7762</v>
      </c>
      <c r="C5751" s="5" t="str">
        <f>IFERROR(__xludf.DUMMYFUNCTION("GOOGLETRANSLATE(A5751,""en"",""hy"")"),"Ո՞րն է ջրածնի քիմիական նշանը:")</f>
        <v>Ո՞րն է ջրածնի քիմիական նշանը:</v>
      </c>
      <c r="D5751" s="6" t="str">
        <f>IFERROR(__xludf.DUMMYFUNCTION("GOOGLETRANSLATE(B5751,""en"",""hy"")"),"Հ")</f>
        <v>Հ</v>
      </c>
    </row>
    <row r="5752">
      <c r="A5752" s="5" t="s">
        <v>8863</v>
      </c>
      <c r="B5752" s="5" t="s">
        <v>8864</v>
      </c>
      <c r="C5752" s="5" t="str">
        <f>IFERROR(__xludf.DUMMYFUNCTION("GOOGLETRANSLATE(A5752,""en"",""hy"")"),"Անվանե՛ք «Stranger Things» հեռուստաշոուի չորս գլխավոր հերոսներին։")</f>
        <v>Անվանե՛ք «Stranger Things» հեռուստաշոուի չորս գլխավոր հերոսներին։</v>
      </c>
      <c r="D5752" s="6" t="str">
        <f>IFERROR(__xludf.DUMMYFUNCTION("GOOGLETRANSLATE(B5752,""en"",""hy"")"),"«Stranger Things»-ի չորս գլխավոր հերոսներն են Ելեվենը, Մայք Ուիլերը, Լուկաս Սինքլերը և Դասթին Հենդերսոնը։")</f>
        <v>«Stranger Things»-ի չորս գլխավոր հերոսներն են Ելեվենը, Մայք Ուիլերը, Լուկաս Սինքլերը և Դասթին Հենդերսոնը։</v>
      </c>
    </row>
    <row r="5753">
      <c r="A5753" s="5" t="s">
        <v>8753</v>
      </c>
      <c r="B5753" s="5" t="s">
        <v>8754</v>
      </c>
      <c r="C5753" s="5" t="str">
        <f>IFERROR(__xludf.DUMMYFUNCTION("GOOGLETRANSLATE(A5753,""en"",""hy"")"),"Ո՞րն է Հյուսիսային Ամերիկայի ամենաբարձր լեռը:")</f>
        <v>Ո՞րն է Հյուսիսային Ամերիկայի ամենաբարձր լեռը:</v>
      </c>
      <c r="D5753" s="6" t="str">
        <f>IFERROR(__xludf.DUMMYFUNCTION("GOOGLETRANSLATE(B5753,""en"",""hy"")"),"Դենալի լեռ.")</f>
        <v>Դենալի լեռ.</v>
      </c>
    </row>
    <row r="5754">
      <c r="A5754" s="5" t="s">
        <v>7737</v>
      </c>
      <c r="B5754" s="5" t="s">
        <v>7560</v>
      </c>
      <c r="C5754" s="5" t="str">
        <f>IFERROR(__xludf.DUMMYFUNCTION("GOOGLETRANSLATE(A5754,""en"",""hy"")"),"Ո՞վ է գրել «Շորայի մեջ բռնողը» վեպը:")</f>
        <v>Ո՞վ է գրել «Շորայի մեջ բռնողը» վեպը:</v>
      </c>
      <c r="D5754" s="6" t="str">
        <f>IFERROR(__xludf.DUMMYFUNCTION("GOOGLETRANSLATE(B5754,""en"",""hy"")"),"Ջ.Դ.Սելինջեր.")</f>
        <v>Ջ.Դ.Սելինջեր.</v>
      </c>
    </row>
    <row r="5755">
      <c r="A5755" s="5" t="s">
        <v>8865</v>
      </c>
      <c r="B5755" s="5" t="s">
        <v>8866</v>
      </c>
      <c r="C5755" s="5" t="str">
        <f>IFERROR(__xludf.DUMMYFUNCTION("GOOGLETRANSLATE(A5755,""en"",""hy"")"),"Ո՞ր թվականին է տեղի ունեցել ռուսական հեղափոխությունը:")</f>
        <v>Ո՞ր թվականին է տեղի ունեցել ռուսական հեղափոխությունը:</v>
      </c>
      <c r="D5755" s="6" t="str">
        <f>IFERROR(__xludf.DUMMYFUNCTION("GOOGLETRANSLATE(B5755,""en"",""hy"")"),"Ռուսական հեղափոխությունը տեղի ունեցավ 1917թ.")</f>
        <v>Ռուսական հեղափոխությունը տեղի ունեցավ 1917թ.</v>
      </c>
    </row>
    <row r="5756">
      <c r="A5756" s="5" t="s">
        <v>7574</v>
      </c>
      <c r="B5756" s="5" t="s">
        <v>8618</v>
      </c>
      <c r="C5756" s="5" t="str">
        <f>IFERROR(__xludf.DUMMYFUNCTION("GOOGLETRANSLATE(A5756,""en"",""hy"")"),"Ո՞րն է Չինաստանի մայրաքաղաքը:")</f>
        <v>Ո՞րն է Չինաստանի մայրաքաղաքը:</v>
      </c>
      <c r="D5756" s="6" t="str">
        <f>IFERROR(__xludf.DUMMYFUNCTION("GOOGLETRANSLATE(B5756,""en"",""hy"")"),"Պեկին")</f>
        <v>Պեկին</v>
      </c>
    </row>
    <row r="5757">
      <c r="A5757" s="5" t="s">
        <v>7744</v>
      </c>
      <c r="B5757" s="5" t="s">
        <v>8642</v>
      </c>
      <c r="C5757" s="5" t="str">
        <f>IFERROR(__xludf.DUMMYFUNCTION("GOOGLETRANSLATE(A5757,""en"",""hy"")"),"Ո՞վ է նկարել հայտնի «Հիշողության համառությունը» ստեղծագործությունը:")</f>
        <v>Ո՞վ է նկարել հայտնի «Հիշողության համառությունը» ստեղծագործությունը:</v>
      </c>
      <c r="D5757" s="6" t="str">
        <f>IFERROR(__xludf.DUMMYFUNCTION("GOOGLETRANSLATE(B5757,""en"",""hy"")"),"Սալվադոր Դալի")</f>
        <v>Սալվադոր Դալի</v>
      </c>
    </row>
    <row r="5758">
      <c r="A5758" s="5" t="s">
        <v>7983</v>
      </c>
      <c r="B5758" s="5" t="s">
        <v>7725</v>
      </c>
      <c r="C5758" s="5" t="str">
        <f>IFERROR(__xludf.DUMMYFUNCTION("GOOGLETRANSLATE(A5758,""en"",""hy"")"),"Ո՞րն է աշխարհի ամենամեծ անձրևային անտառը:")</f>
        <v>Ո՞րն է աշխարհի ամենամեծ անձրևային անտառը:</v>
      </c>
      <c r="D5758" s="6" t="str">
        <f>IFERROR(__xludf.DUMMYFUNCTION("GOOGLETRANSLATE(B5758,""en"",""hy"")"),"Ամազոնի անձրևային անտառ.")</f>
        <v>Ամազոնի անձրևային անտառ.</v>
      </c>
    </row>
    <row r="5759">
      <c r="A5759" s="5" t="s">
        <v>8142</v>
      </c>
      <c r="B5759" s="5" t="s">
        <v>8867</v>
      </c>
      <c r="C5759" s="5" t="str">
        <f>IFERROR(__xludf.DUMMYFUNCTION("GOOGLETRANSLATE(A5759,""en"",""hy"")"),"Ո՞վ է Ավստրալիայի ներկայիս վարչապետը:")</f>
        <v>Ո՞վ է Ավստրալիայի ներկայիս վարչապետը:</v>
      </c>
      <c r="D5759" s="6" t="str">
        <f>IFERROR(__xludf.DUMMYFUNCTION("GOOGLETRANSLATE(B5759,""en"",""hy"")"),"Սքոթ Մորիսոն")</f>
        <v>Սքոթ Մորիսոն</v>
      </c>
    </row>
    <row r="5760">
      <c r="A5760" s="5" t="s">
        <v>8049</v>
      </c>
      <c r="B5760" s="5" t="s">
        <v>2267</v>
      </c>
      <c r="C5760" s="5" t="str">
        <f>IFERROR(__xludf.DUMMYFUNCTION("GOOGLETRANSLATE(A5760,""en"",""hy"")"),"Ո՞րն է Մեքսիկայի պաշտոնական լեզուն:")</f>
        <v>Ո՞րն է Մեքսիկայի պաշտոնական լեզուն:</v>
      </c>
      <c r="D5760" s="6" t="str">
        <f>IFERROR(__xludf.DUMMYFUNCTION("GOOGLETRANSLATE(B5760,""en"",""hy"")"),"իսպաներեն.")</f>
        <v>իսպաներեն.</v>
      </c>
    </row>
    <row r="5761">
      <c r="A5761" s="5" t="s">
        <v>7665</v>
      </c>
      <c r="B5761" s="5" t="s">
        <v>7781</v>
      </c>
      <c r="C5761" s="5" t="str">
        <f>IFERROR(__xludf.DUMMYFUNCTION("GOOGLETRANSLATE(A5761,""en"",""hy"")"),"Ո՞րն է նատրիումի քիմիական նշանը:")</f>
        <v>Ո՞րն է նատրիումի քիմիական նշանը:</v>
      </c>
      <c r="D5761" s="6" t="str">
        <f>IFERROR(__xludf.DUMMYFUNCTION("GOOGLETRANSLATE(B5761,""en"",""hy"")"),"Նատրիումի քիմիական նշանը Na է:")</f>
        <v>Նատրիումի քիմիական նշանը Na է:</v>
      </c>
    </row>
    <row r="5762">
      <c r="A5762" s="5" t="s">
        <v>8868</v>
      </c>
      <c r="B5762" s="5" t="s">
        <v>8869</v>
      </c>
      <c r="C5762" s="5" t="str">
        <f>IFERROR(__xludf.DUMMYFUNCTION("GOOGLETRANSLATE(A5762,""en"",""hy"")"),"Նշե՛ք «Գրասենյակը» հեռուստաշոուի չորս գլխավոր հերոսներին։")</f>
        <v>Նշե՛ք «Գրասենյակը» հեռուստաշոուի չորս գլխավոր հերոսներին։</v>
      </c>
      <c r="D5762" s="6" t="str">
        <f>IFERROR(__xludf.DUMMYFUNCTION("GOOGLETRANSLATE(B5762,""en"",""hy"")"),"Մայքլ Սքոթ, Ջիմ Հալպերտ, Պեմ Բիսլի, Դուայթ Շրուտ։")</f>
        <v>Մայքլ Սքոթ, Ջիմ Հալպերտ, Պեմ Բիսլի, Դուայթ Շրուտ։</v>
      </c>
    </row>
    <row r="5763">
      <c r="A5763" s="5" t="s">
        <v>8378</v>
      </c>
      <c r="B5763" s="5" t="s">
        <v>8870</v>
      </c>
      <c r="C5763" s="5" t="str">
        <f>IFERROR(__xludf.DUMMYFUNCTION("GOOGLETRANSLATE(A5763,""en"",""hy"")"),"Ո՞րն է աշխարհի ամենամեծ ձորը:")</f>
        <v>Ո՞րն է աշխարհի ամենամեծ ձորը:</v>
      </c>
      <c r="D5763" s="6" t="str">
        <f>IFERROR(__xludf.DUMMYFUNCTION("GOOGLETRANSLATE(B5763,""en"",""hy"")"),"Գրանդ կիրճը.")</f>
        <v>Գրանդ կիրճը.</v>
      </c>
    </row>
    <row r="5764">
      <c r="A5764" s="5" t="s">
        <v>8871</v>
      </c>
      <c r="B5764" s="5" t="s">
        <v>7867</v>
      </c>
      <c r="C5764" s="5" t="str">
        <f>IFERROR(__xludf.DUMMYFUNCTION("GOOGLETRANSLATE(A5764,""en"",""hy"")"),"Ո՞վ է «Մատանիների տիրակալը» եռերգության հեղինակը.")</f>
        <v>Ո՞վ է «Մատանիների տիրակալը» եռերգության հեղինակը.</v>
      </c>
      <c r="D5764" s="6" t="str">
        <f>IFERROR(__xludf.DUMMYFUNCTION("GOOGLETRANSLATE(B5764,""en"",""hy"")"),"Ջ.Ռ.Ռ. Թոլքինը։")</f>
        <v>Ջ.Ռ.Ռ. Թոլքինը։</v>
      </c>
    </row>
    <row r="5765">
      <c r="A5765" s="5" t="s">
        <v>8872</v>
      </c>
      <c r="B5765" s="5" t="s">
        <v>8201</v>
      </c>
      <c r="C5765" s="5" t="str">
        <f>IFERROR(__xludf.DUMMYFUNCTION("GOOGLETRANSLATE(A5765,""en"",""hy"")"),"Ո՞ր երկրում են ծագել Օլիմպիական խաղերը:")</f>
        <v>Ո՞ր երկրում են ծագել Օլիմպիական խաղերը:</v>
      </c>
      <c r="D5765" s="6" t="str">
        <f>IFERROR(__xludf.DUMMYFUNCTION("GOOGLETRANSLATE(B5765,""en"",""hy"")"),"Հունաստան.")</f>
        <v>Հունաստան.</v>
      </c>
    </row>
    <row r="5766">
      <c r="A5766" s="5" t="s">
        <v>7795</v>
      </c>
      <c r="B5766" s="5" t="s">
        <v>7796</v>
      </c>
      <c r="C5766" s="5" t="str">
        <f>IFERROR(__xludf.DUMMYFUNCTION("GOOGLETRANSLATE(A5766,""en"",""hy"")"),"Ո՞րն է Եգիպտոսի մայրաքաղաքը:")</f>
        <v>Ո՞րն է Եգիպտոսի մայրաքաղաքը:</v>
      </c>
      <c r="D5766" s="6" t="str">
        <f>IFERROR(__xludf.DUMMYFUNCTION("GOOGLETRANSLATE(B5766,""en"",""hy"")"),"Կահիրե.")</f>
        <v>Կահիրե.</v>
      </c>
    </row>
    <row r="5767">
      <c r="A5767" s="5" t="s">
        <v>8318</v>
      </c>
      <c r="B5767" s="5" t="s">
        <v>8873</v>
      </c>
      <c r="C5767" s="5" t="str">
        <f>IFERROR(__xludf.DUMMYFUNCTION("GOOGLETRANSLATE(A5767,""en"",""hy"")"),"Ո՞վ է նկարել հայտնի «Մարգարտյա ականջօղով աղջիկը» ստեղծագործությունը:")</f>
        <v>Ո՞վ է նկարել հայտնի «Մարգարտյա ականջօղով աղջիկը» ստեղծագործությունը:</v>
      </c>
      <c r="D5767" s="6" t="str">
        <f>IFERROR(__xludf.DUMMYFUNCTION("GOOGLETRANSLATE(B5767,""en"",""hy"")"),"Յոհաննես Վերմեեր")</f>
        <v>Յոհաննես Վերմեեր</v>
      </c>
    </row>
    <row r="5768">
      <c r="A5768" s="5" t="s">
        <v>7691</v>
      </c>
      <c r="B5768" s="5" t="s">
        <v>8421</v>
      </c>
      <c r="C5768" s="5" t="str">
        <f>IFERROR(__xludf.DUMMYFUNCTION("GOOGLETRANSLATE(A5768,""en"",""hy"")"),"Ո՞րն է Աֆրիկայի ամենամեծ լիճը:")</f>
        <v>Ո՞րն է Աֆրիկայի ամենամեծ լիճը:</v>
      </c>
      <c r="D5768" s="6" t="str">
        <f>IFERROR(__xludf.DUMMYFUNCTION("GOOGLETRANSLATE(B5768,""en"",""hy"")"),"Աֆրիկայի ամենամեծ լիճը Վիկտորիա լիճն է:")</f>
        <v>Աֆրիկայի ամենամեծ լիճը Վիկտորիա լիճն է:</v>
      </c>
    </row>
    <row r="5769">
      <c r="A5769" s="5" t="s">
        <v>8134</v>
      </c>
      <c r="B5769" s="5" t="s">
        <v>8135</v>
      </c>
      <c r="C5769" s="5" t="str">
        <f>IFERROR(__xludf.DUMMYFUNCTION("GOOGLETRANSLATE(A5769,""en"",""hy"")"),"Ո՞վ է Չինաստանի ներկայիս նախագահը.")</f>
        <v>Ո՞վ է Չինաստանի ներկայիս նախագահը.</v>
      </c>
      <c r="D5769" s="6" t="str">
        <f>IFERROR(__xludf.DUMMYFUNCTION("GOOGLETRANSLATE(B5769,""en"",""hy"")"),"Չինաստանի ներկայիս նախագահը Սի Ցզինպինն է։")</f>
        <v>Չինաստանի ներկայիս նախագահը Սի Ցզինպինն է։</v>
      </c>
    </row>
    <row r="5770">
      <c r="A5770" s="5" t="s">
        <v>7875</v>
      </c>
      <c r="B5770" s="5" t="s">
        <v>7876</v>
      </c>
      <c r="C5770" s="5" t="str">
        <f>IFERROR(__xludf.DUMMYFUNCTION("GOOGLETRANSLATE(A5770,""en"",""hy"")"),"Ո՞րն է ազոտի քիմիական նշանը:")</f>
        <v>Ո՞րն է ազոտի քիմիական նշանը:</v>
      </c>
      <c r="D5770" s="6" t="str">
        <f>IFERROR(__xludf.DUMMYFUNCTION("GOOGLETRANSLATE(B5770,""en"",""hy"")"),"Ազոտի քիմիական նշանն է N.")</f>
        <v>Ազոտի քիմիական նշանն է N.</v>
      </c>
    </row>
    <row r="5771">
      <c r="A5771" s="5" t="s">
        <v>8863</v>
      </c>
      <c r="B5771" s="5" t="s">
        <v>8874</v>
      </c>
      <c r="C5771" s="5" t="str">
        <f>IFERROR(__xludf.DUMMYFUNCTION("GOOGLETRANSLATE(A5771,""en"",""hy"")"),"Անվանե՛ք «Stranger Things» հեռուստաշոուի չորս գլխավոր հերոսներին։")</f>
        <v>Անվանե՛ք «Stranger Things» հեռուստաշոուի չորս գլխավոր հերոսներին։</v>
      </c>
      <c r="D5771" s="6" t="str">
        <f>IFERROR(__xludf.DUMMYFUNCTION("GOOGLETRANSLATE(B5771,""en"",""hy"")"),"«Stranger Things»-ի չորս գլխավոր հերոսներն են տասնմեկը, Մայքը, Դասթինը և Լուկասը։")</f>
        <v>«Stranger Things»-ի չորս գլխավոր հերոսներն են տասնմեկը, Մայքը, Դասթինը և Լուկասը։</v>
      </c>
    </row>
    <row r="5772">
      <c r="A5772" s="5" t="s">
        <v>7489</v>
      </c>
      <c r="B5772" s="5" t="s">
        <v>7490</v>
      </c>
      <c r="C5772" s="5" t="str">
        <f>IFERROR(__xludf.DUMMYFUNCTION("GOOGLETRANSLATE(A5772,""en"",""hy"")"),"Ո՞րն է աշխարհի ամենաբարձր շենքը:")</f>
        <v>Ո՞րն է աշխարհի ամենաբարձր շենքը:</v>
      </c>
      <c r="D5772" s="6" t="str">
        <f>IFERROR(__xludf.DUMMYFUNCTION("GOOGLETRANSLATE(B5772,""en"",""hy"")"),"Աշխարհի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5773">
      <c r="A5773" s="5" t="s">
        <v>7890</v>
      </c>
      <c r="B5773" s="5" t="s">
        <v>7661</v>
      </c>
      <c r="C5773" s="5" t="str">
        <f>IFERROR(__xludf.DUMMYFUNCTION("GOOGLETRANSLATE(A5773,""en"",""hy"")"),"Ո՞վ է գրել «Մեծն Գեթսբի» վեպը:")</f>
        <v>Ո՞վ է գրել «Մեծն Գեթսբի» վեպը:</v>
      </c>
      <c r="D5773" s="6" t="str">
        <f>IFERROR(__xludf.DUMMYFUNCTION("GOOGLETRANSLATE(B5773,""en"",""hy"")"),"F. Scott Fitzgerald.")</f>
        <v>F. Scott Fitzgerald.</v>
      </c>
    </row>
    <row r="5774">
      <c r="A5774" s="5" t="s">
        <v>8855</v>
      </c>
      <c r="B5774" s="5" t="s">
        <v>8856</v>
      </c>
      <c r="C5774" s="5" t="str">
        <f>IFERROR(__xludf.DUMMYFUNCTION("GOOGLETRANSLATE(A5774,""en"",""hy"")"),"Ո՞ր երկրում սկսվեց արդյունաբերական հեղափոխությունը:")</f>
        <v>Ո՞ր երկրում սկսվեց արդյունաբերական հեղափոխությունը:</v>
      </c>
      <c r="D5774" s="6" t="str">
        <f>IFERROR(__xludf.DUMMYFUNCTION("GOOGLETRANSLATE(B5774,""en"",""hy"")"),"Անգլիայում սկսվեց արդյունաբերական հեղափոխությունը։")</f>
        <v>Անգլիայում սկսվեց արդյունաբերական հեղափոխությունը։</v>
      </c>
    </row>
    <row r="5775">
      <c r="A5775" s="5" t="s">
        <v>7903</v>
      </c>
      <c r="B5775" s="5" t="s">
        <v>8261</v>
      </c>
      <c r="C5775" s="5" t="str">
        <f>IFERROR(__xludf.DUMMYFUNCTION("GOOGLETRANSLATE(A5775,""en"",""hy"")"),"Ո՞րն է Մեքսիկայի մայրաքաղաքը:")</f>
        <v>Ո՞րն է Մեքսիկայի մայրաքաղաքը:</v>
      </c>
      <c r="D5775" s="6" t="str">
        <f>IFERROR(__xludf.DUMMYFUNCTION("GOOGLETRANSLATE(B5775,""en"",""hy"")"),"Մեխիկո Սիթի.")</f>
        <v>Մեխիկո Սիթի.</v>
      </c>
    </row>
    <row r="5776">
      <c r="A5776" s="5" t="s">
        <v>7709</v>
      </c>
      <c r="B5776" s="5" t="s">
        <v>7710</v>
      </c>
      <c r="C5776" s="5" t="str">
        <f>IFERROR(__xludf.DUMMYFUNCTION("GOOGLETRANSLATE(A5776,""en"",""hy"")"),"Ո՞վ է նկարել հայտնի «Գերնիկա» արվեստի գործը:")</f>
        <v>Ո՞վ է նկարել հայտնի «Գերնիկա» արվեստի գործը:</v>
      </c>
      <c r="D5776" s="6" t="str">
        <f>IFERROR(__xludf.DUMMYFUNCTION("GOOGLETRANSLATE(B5776,""en"",""hy"")"),"Պաբլո Պիկասո.")</f>
        <v>Պաբլո Պիկասո.</v>
      </c>
    </row>
    <row r="5777">
      <c r="A5777" s="5" t="s">
        <v>8857</v>
      </c>
      <c r="B5777" s="5" t="s">
        <v>8858</v>
      </c>
      <c r="C5777" s="5" t="str">
        <f>IFERROR(__xludf.DUMMYFUNCTION("GOOGLETRANSLATE(A5777,""en"",""hy"")"),"Ո՞րն է աշխարհի ամենամեծ երկիրը, որը դեպի ծով ելք չունի:")</f>
        <v>Ո՞րն է աշխարհի ամենամեծ երկիրը, որը դեպի ծով ելք չունի:</v>
      </c>
      <c r="D5777" s="6" t="str">
        <f>IFERROR(__xludf.DUMMYFUNCTION("GOOGLETRANSLATE(B5777,""en"",""hy"")"),"Ղազախստան.")</f>
        <v>Ղազախստան.</v>
      </c>
    </row>
    <row r="5778">
      <c r="A5778" s="5" t="s">
        <v>8859</v>
      </c>
      <c r="B5778" s="5" t="s">
        <v>7714</v>
      </c>
      <c r="C5778" s="5" t="str">
        <f>IFERROR(__xludf.DUMMYFUNCTION("GOOGLETRANSLATE(A5778,""en"",""hy"")"),"Ո՞վ է բանաստեղծը հայտնի ստեղծագործությունների հետևում, ինչպիսիք են «The Waste Land» և «The Love Song of J. Alfred Prufrock»-ը:")</f>
        <v>Ո՞վ է բանաստեղծը հայտնի ստեղծագործությունների հետևում, ինչպիսիք են «The Waste Land» և «The Love Song of J. Alfred Prufrock»-ը:</v>
      </c>
      <c r="D5778" s="6" t="str">
        <f>IFERROR(__xludf.DUMMYFUNCTION("GOOGLETRANSLATE(B5778,""en"",""hy"")"),"Տ.Ս. Էլիոթ.")</f>
        <v>Տ.Ս. Էլիոթ.</v>
      </c>
    </row>
    <row r="5779">
      <c r="A5779" s="5" t="s">
        <v>8860</v>
      </c>
      <c r="B5779" s="7">
        <v>1865.0</v>
      </c>
      <c r="C5779" s="5" t="str">
        <f>IFERROR(__xludf.DUMMYFUNCTION("GOOGLETRANSLATE(A5779,""en"",""hy"")"),"Ո՞ր թվականին ավարտվեց Ամերիկայի քաղաքացիական պատերազմը:")</f>
        <v>Ո՞ր թվականին ավարտվեց Ամերիկայի քաղաքացիական պատերազմը:</v>
      </c>
      <c r="D5779" s="6" t="str">
        <f>IFERROR(__xludf.DUMMYFUNCTION("GOOGLETRANSLATE(B5779,""en"",""hy"")"),"1865 թ")</f>
        <v>1865 թ</v>
      </c>
    </row>
    <row r="5780">
      <c r="A5780" s="5" t="s">
        <v>8144</v>
      </c>
      <c r="B5780" s="5" t="s">
        <v>2267</v>
      </c>
      <c r="C5780" s="5" t="str">
        <f>IFERROR(__xludf.DUMMYFUNCTION("GOOGLETRANSLATE(A5780,""en"",""hy"")"),"Ո՞րն է Իսպանիայի պաշտոնական լեզուն:")</f>
        <v>Ո՞րն է Իսպանիայի պաշտոնական լեզուն:</v>
      </c>
      <c r="D5780" s="6" t="str">
        <f>IFERROR(__xludf.DUMMYFUNCTION("GOOGLETRANSLATE(B5780,""en"",""hy"")"),"իսպաներեն.")</f>
        <v>իսպաներեն.</v>
      </c>
    </row>
    <row r="5781">
      <c r="A5781" s="5" t="s">
        <v>7500</v>
      </c>
      <c r="B5781" s="5" t="s">
        <v>7501</v>
      </c>
      <c r="C5781" s="5" t="str">
        <f>IFERROR(__xludf.DUMMYFUNCTION("GOOGLETRANSLATE(A5781,""en"",""hy"")"),"Ո՞րն է Ֆրանսիայի մայրաքաղաքը:")</f>
        <v>Ո՞րն է Ֆրանսիայի մայրաքաղաքը:</v>
      </c>
      <c r="D5781" s="6" t="str">
        <f>IFERROR(__xludf.DUMMYFUNCTION("GOOGLETRANSLATE(B5781,""en"",""hy"")"),"Փարիզ.")</f>
        <v>Փարիզ.</v>
      </c>
    </row>
    <row r="5782">
      <c r="A5782" s="5" t="s">
        <v>7447</v>
      </c>
      <c r="B5782" s="5" t="s">
        <v>7448</v>
      </c>
      <c r="C5782" s="5" t="str">
        <f>IFERROR(__xludf.DUMMYFUNCTION("GOOGLETRANSLATE(A5782,""en"",""hy"")"),"Ո՞վ է նկարել Մոնա Լիզան:")</f>
        <v>Ո՞վ է նկարել Մոնա Լիզան:</v>
      </c>
      <c r="D5782" s="6" t="str">
        <f>IFERROR(__xludf.DUMMYFUNCTION("GOOGLETRANSLATE(B5782,""en"",""hy"")"),"Լեոնարդո դա Վինչի.")</f>
        <v>Լեոնարդո դա Վինչի.</v>
      </c>
    </row>
    <row r="5783">
      <c r="A5783" s="5" t="s">
        <v>7455</v>
      </c>
      <c r="B5783" s="5" t="s">
        <v>8875</v>
      </c>
      <c r="C5783" s="5" t="str">
        <f>IFERROR(__xludf.DUMMYFUNCTION("GOOGLETRANSLATE(A5783,""en"",""hy"")"),"Ո՞րն է աշխարհի ամենամեծ օվկիանոսը:")</f>
        <v>Ո՞րն է աշխարհի ամենամեծ օվկիանոսը:</v>
      </c>
      <c r="D5783" s="6" t="str">
        <f>IFERROR(__xludf.DUMMYFUNCTION("GOOGLETRANSLATE(B5783,""en"",""hy"")"),"Խաղաղ օվկիանոսը աշխարհի ամենամեծ օվկիանոսն է։")</f>
        <v>Խաղաղ օվկիանոսը աշխարհի ամենամեծ օվկիանոսն է։</v>
      </c>
    </row>
    <row r="5784">
      <c r="A5784" s="5" t="s">
        <v>8876</v>
      </c>
      <c r="B5784" s="5" t="s">
        <v>7486</v>
      </c>
      <c r="C5784" s="5" t="str">
        <f>IFERROR(__xludf.DUMMYFUNCTION("GOOGLETRANSLATE(A5784,""en"",""hy"")"),"Ո՞վ է գրել Հարրի Փոթերի շարքը:")</f>
        <v>Ո՞վ է գրել Հարրի Փոթերի շարքը:</v>
      </c>
      <c r="D5784" s="6" t="str">
        <f>IFERROR(__xludf.DUMMYFUNCTION("GOOGLETRANSLATE(B5784,""en"",""hy"")"),"Ջ.Կ. Ռոուլինգ.")</f>
        <v>Ջ.Կ. Ռոուլինգ.</v>
      </c>
    </row>
    <row r="5785">
      <c r="A5785" s="5" t="s">
        <v>7920</v>
      </c>
      <c r="B5785" s="5" t="s">
        <v>8040</v>
      </c>
      <c r="C5785" s="5" t="str">
        <f>IFERROR(__xludf.DUMMYFUNCTION("GOOGLETRANSLATE(A5785,""en"",""hy"")"),"Ո՞ր երկրում է գտնվում Թաջ Մահալը:")</f>
        <v>Ո՞ր երկրում է գտնվում Թաջ Մահալը:</v>
      </c>
      <c r="D5785" s="6" t="str">
        <f>IFERROR(__xludf.DUMMYFUNCTION("GOOGLETRANSLATE(B5785,""en"",""hy"")"),"Հնդկաստան")</f>
        <v>Հնդկաստան</v>
      </c>
    </row>
    <row r="5786">
      <c r="A5786" s="5" t="s">
        <v>7452</v>
      </c>
      <c r="B5786" s="5" t="s">
        <v>7631</v>
      </c>
      <c r="C5786" s="5" t="str">
        <f>IFERROR(__xludf.DUMMYFUNCTION("GOOGLETRANSLATE(A5786,""en"",""hy"")"),"Ո՞րն է ոսկու քիմիական նշանը:")</f>
        <v>Ո՞րն է ոսկու քիմիական նշանը:</v>
      </c>
      <c r="D5786" s="6" t="str">
        <f>IFERROR(__xludf.DUMMYFUNCTION("GOOGLETRANSLATE(B5786,""en"",""hy"")"),"Ավ")</f>
        <v>Ավ</v>
      </c>
    </row>
    <row r="5787">
      <c r="A5787" s="5" t="s">
        <v>7926</v>
      </c>
      <c r="B5787" s="5" t="s">
        <v>7635</v>
      </c>
      <c r="C5787" s="5" t="str">
        <f>IFERROR(__xludf.DUMMYFUNCTION("GOOGLETRANSLATE(A5787,""en"",""hy"")"),"Ո՞վ էր առաջին մարդը, ով քայլեց լուսնի վրա:")</f>
        <v>Ո՞վ էր առաջին մարդը, ով քայլեց լուսնի վրա:</v>
      </c>
      <c r="D5787" s="6" t="str">
        <f>IFERROR(__xludf.DUMMYFUNCTION("GOOGLETRANSLATE(B5787,""en"",""hy"")"),"Նիլ Արմսթրոնգ.")</f>
        <v>Նիլ Արմսթրոնգ.</v>
      </c>
    </row>
    <row r="5788">
      <c r="A5788" s="5" t="s">
        <v>7467</v>
      </c>
      <c r="B5788" s="5" t="s">
        <v>7468</v>
      </c>
      <c r="C5788" s="5" t="str">
        <f>IFERROR(__xludf.DUMMYFUNCTION("GOOGLETRANSLATE(A5788,""en"",""hy"")"),"Ո՞րն է Ճապոնիայի արժույթը:")</f>
        <v>Ո՞րն է Ճապոնիայի արժույթը:</v>
      </c>
      <c r="D5788" s="6" t="str">
        <f>IFERROR(__xludf.DUMMYFUNCTION("GOOGLETRANSLATE(B5788,""en"",""hy"")"),"Ճապոնիայի արժույթը ճապոնական իենն է։")</f>
        <v>Ճապոնիայի արժույթը ճապոնական իենն է։</v>
      </c>
    </row>
    <row r="5789">
      <c r="A5789" s="5" t="s">
        <v>8062</v>
      </c>
      <c r="B5789" s="5" t="s">
        <v>8063</v>
      </c>
      <c r="C5789" s="5" t="str">
        <f>IFERROR(__xludf.DUMMYFUNCTION("GOOGLETRANSLATE(A5789,""en"",""hy"")"),"Քանի՞ խաղացող կա ֆուտբոլային թիմում:")</f>
        <v>Քանի՞ խաղացող կա ֆուտբոլային թիմում:</v>
      </c>
      <c r="D5789" s="6" t="str">
        <f>IFERROR(__xludf.DUMMYFUNCTION("GOOGLETRANSLATE(B5789,""en"",""hy"")"),"Ֆուտբոլային թիմում կա 11 խաղացող։")</f>
        <v>Ֆուտբոլային թիմում կա 11 խաղացող։</v>
      </c>
    </row>
    <row r="5790">
      <c r="A5790" s="5" t="s">
        <v>7463</v>
      </c>
      <c r="B5790" s="5" t="s">
        <v>7464</v>
      </c>
      <c r="C5790" s="5" t="str">
        <f>IFERROR(__xludf.DUMMYFUNCTION("GOOGLETRANSLATE(A5790,""en"",""hy"")"),"Ո՞րն է աշխարհի ամենաբարձր լեռը:")</f>
        <v>Ո՞րն է աշխարհի ամենաբարձր լեռը:</v>
      </c>
      <c r="D5790" s="6" t="str">
        <f>IFERROR(__xludf.DUMMYFUNCTION("GOOGLETRANSLATE(B5790,""en"",""hy"")"),"Էվերեստ լեռ.")</f>
        <v>Էվերեստ լեռ.</v>
      </c>
    </row>
    <row r="5791">
      <c r="A5791" s="5" t="s">
        <v>7534</v>
      </c>
      <c r="B5791" s="5" t="s">
        <v>7535</v>
      </c>
      <c r="C5791" s="5" t="str">
        <f>IFERROR(__xludf.DUMMYFUNCTION("GOOGLETRANSLATE(A5791,""en"",""hy"")"),"Ո՞վ է հորինել հեռախոսը:")</f>
        <v>Ո՞վ է հորինել հեռախոսը:</v>
      </c>
      <c r="D5791" s="6" t="str">
        <f>IFERROR(__xludf.DUMMYFUNCTION("GOOGLETRANSLATE(B5791,""en"",""hy"")"),"Ալեքսանդր Գրեհեմ Բել.")</f>
        <v>Ալեքսանդր Գրեհեմ Բել.</v>
      </c>
    </row>
    <row r="5792">
      <c r="A5792" s="5" t="s">
        <v>7632</v>
      </c>
      <c r="B5792" s="5" t="s">
        <v>7633</v>
      </c>
      <c r="C5792" s="5" t="str">
        <f>IFERROR(__xludf.DUMMYFUNCTION("GOOGLETRANSLATE(A5792,""en"",""hy"")"),"Ո՞րն է մեր արեգակնային համակարգի ամենամեծ մոլորակը:")</f>
        <v>Ո՞րն է մեր արեգակնային համակարգի ամենամեծ մոլորակը:</v>
      </c>
      <c r="D5792" s="6" t="str">
        <f>IFERROR(__xludf.DUMMYFUNCTION("GOOGLETRANSLATE(B5792,""en"",""hy"")"),"Յուպիտեր.")</f>
        <v>Յուպիտեր.</v>
      </c>
    </row>
    <row r="5793">
      <c r="A5793" s="5" t="s">
        <v>7480</v>
      </c>
      <c r="B5793" s="5" t="s">
        <v>7481</v>
      </c>
      <c r="C5793" s="5" t="str">
        <f>IFERROR(__xludf.DUMMYFUNCTION("GOOGLETRANSLATE(A5793,""en"",""hy"")"),"Ո՞րն է Միացյալ Նահանգների ազգային թռչունը:")</f>
        <v>Ո՞րն է Միացյալ Նահանգների ազգային թռչունը:</v>
      </c>
      <c r="D5793" s="6" t="str">
        <f>IFERROR(__xludf.DUMMYFUNCTION("GOOGLETRANSLATE(B5793,""en"",""hy"")"),"Միացյալ Նահանգների ազգային թռչունը ճաղատ արծիվն է։")</f>
        <v>Միացյալ Նահանգների ազգային թռչունը ճաղատ արծիվն է։</v>
      </c>
    </row>
    <row r="5794">
      <c r="A5794" s="5" t="s">
        <v>8877</v>
      </c>
      <c r="B5794" s="5" t="s">
        <v>2790</v>
      </c>
      <c r="C5794" s="5" t="str">
        <f>IFERROR(__xludf.DUMMYFUNCTION("GOOGLETRANSLATE(A5794,""en"",""hy"")"),"Ո՞ր երկրում է գտնվում Մեծ պարիսպը:")</f>
        <v>Ո՞ր երկրում է գտնվում Մեծ պարիսպը:</v>
      </c>
      <c r="D5794" s="6" t="str">
        <f>IFERROR(__xludf.DUMMYFUNCTION("GOOGLETRANSLATE(B5794,""en"",""hy"")"),"Չինաստան.")</f>
        <v>Չինաստան.</v>
      </c>
    </row>
    <row r="5795">
      <c r="A5795" s="5" t="s">
        <v>7454</v>
      </c>
      <c r="B5795" s="5" t="s">
        <v>1016</v>
      </c>
      <c r="C5795" s="5" t="str">
        <f>IFERROR(__xludf.DUMMYFUNCTION("GOOGLETRANSLATE(A5795,""en"",""hy"")"),"Ո՞վ է գրել Ռոմեո և Ջուլիետ պիեսը:")</f>
        <v>Ո՞վ է գրել Ռոմեո և Ջուլիետ պիեսը:</v>
      </c>
      <c r="D5795" s="6" t="str">
        <f>IFERROR(__xludf.DUMMYFUNCTION("GOOGLETRANSLATE(B5795,""en"",""hy"")"),"Ուիլյամ Շեքսպիր.")</f>
        <v>Ուիլյամ Շեքսպիր.</v>
      </c>
    </row>
    <row r="5796">
      <c r="A5796" s="5" t="s">
        <v>7575</v>
      </c>
      <c r="B5796" s="5" t="s">
        <v>7576</v>
      </c>
      <c r="C5796" s="5" t="str">
        <f>IFERROR(__xludf.DUMMYFUNCTION("GOOGLETRANSLATE(A5796,""en"",""hy"")"),"Քանի՞ գույն կա ծիածանի մեջ:")</f>
        <v>Քանի՞ գույն կա ծիածանի մեջ:</v>
      </c>
      <c r="D5796" s="6" t="str">
        <f>IFERROR(__xludf.DUMMYFUNCTION("GOOGLETRANSLATE(B5796,""en"",""hy"")"),"Ծիածանի մեջ յոթ գույն կա:")</f>
        <v>Ծիածանի մեջ յոթ գույն կա:</v>
      </c>
    </row>
    <row r="5797">
      <c r="A5797" s="5" t="s">
        <v>7473</v>
      </c>
      <c r="B5797" s="5" t="s">
        <v>7474</v>
      </c>
      <c r="C5797" s="5" t="str">
        <f>IFERROR(__xludf.DUMMYFUNCTION("GOOGLETRANSLATE(A5797,""en"",""hy"")"),"Ո՞վ է նկարել Սիքստինյան կապելլայի առաստաղը:")</f>
        <v>Ո՞վ է նկարել Սիքստինյան կապելլայի առաստաղը:</v>
      </c>
      <c r="D5797" s="6" t="str">
        <f>IFERROR(__xludf.DUMMYFUNCTION("GOOGLETRANSLATE(B5797,""en"",""hy"")"),"Միքելանջելո.")</f>
        <v>Միքելանջելո.</v>
      </c>
    </row>
    <row r="5798">
      <c r="A5798" s="5" t="s">
        <v>7513</v>
      </c>
      <c r="B5798" s="5" t="s">
        <v>8337</v>
      </c>
      <c r="C5798" s="5" t="str">
        <f>IFERROR(__xludf.DUMMYFUNCTION("GOOGLETRANSLATE(A5798,""en"",""hy"")"),"Ո՞րն է աշխարհի ամենամեծ անապատը:")</f>
        <v>Ո՞րն է աշխարհի ամենամեծ անապատը:</v>
      </c>
      <c r="D5798" s="6" t="str">
        <f>IFERROR(__xludf.DUMMYFUNCTION("GOOGLETRANSLATE(B5798,""en"",""hy"")"),"Աշխարհի ամենամեծ անապատը Անտարկտիդայի անապատն է։")</f>
        <v>Աշխարհի ամենամեծ անապատը Անտարկտիդայի անապատն է։</v>
      </c>
    </row>
    <row r="5799">
      <c r="A5799" s="5" t="s">
        <v>8878</v>
      </c>
      <c r="B5799" s="5" t="s">
        <v>7541</v>
      </c>
      <c r="C5799" s="5" t="str">
        <f>IFERROR(__xludf.DUMMYFUNCTION("GOOGLETRANSLATE(A5799,""en"",""hy"")"),"Ո՞վ է «Սպանել ծաղրածուին» վեպի հեղինակը.")</f>
        <v>Ո՞վ է «Սպանել ծաղրածուին» վեպի հեղինակը.</v>
      </c>
      <c r="D5799" s="6" t="str">
        <f>IFERROR(__xludf.DUMMYFUNCTION("GOOGLETRANSLATE(B5799,""en"",""hy"")"),"Հարփեր Լի.")</f>
        <v>Հարփեր Լի.</v>
      </c>
    </row>
    <row r="5800">
      <c r="A5800" s="5" t="s">
        <v>7461</v>
      </c>
      <c r="B5800" s="5" t="s">
        <v>7462</v>
      </c>
      <c r="C5800" s="5" t="str">
        <f>IFERROR(__xludf.DUMMYFUNCTION("GOOGLETRANSLATE(A5800,""en"",""hy"")"),"Ո՞րն է մարդու մարմնի ամենամեծ օրգանը:")</f>
        <v>Ո՞րն է մարդու մարմնի ամենամեծ օրգանը:</v>
      </c>
      <c r="D5800" s="6" t="str">
        <f>IFERROR(__xludf.DUMMYFUNCTION("GOOGLETRANSLATE(B5800,""en"",""hy"")"),"Մաշկը.")</f>
        <v>Մաշկը.</v>
      </c>
    </row>
    <row r="5801">
      <c r="A5801" s="5" t="s">
        <v>7450</v>
      </c>
      <c r="B5801" s="5" t="s">
        <v>7451</v>
      </c>
      <c r="C5801" s="5" t="str">
        <f>IFERROR(__xludf.DUMMYFUNCTION("GOOGLETRANSLATE(A5801,""en"",""hy"")"),"Ո՞րն է Ավստրալիայի մայրաքաղաքը:")</f>
        <v>Ո՞րն է Ավստրալիայի մայրաքաղաքը:</v>
      </c>
      <c r="D5801" s="6" t="str">
        <f>IFERROR(__xludf.DUMMYFUNCTION("GOOGLETRANSLATE(B5801,""en"",""hy"")"),"Կանբերա.")</f>
        <v>Կանբերա.</v>
      </c>
    </row>
    <row r="5802">
      <c r="A5802" s="5" t="s">
        <v>7773</v>
      </c>
      <c r="B5802" s="5" t="s">
        <v>7774</v>
      </c>
      <c r="C5802" s="5" t="str">
        <f>IFERROR(__xludf.DUMMYFUNCTION("GOOGLETRANSLATE(A5802,""en"",""hy"")"),"Ո՞վ է հայտնաբերել պենիցիլինը:")</f>
        <v>Ո՞վ է հայտնաբերել պենիցիլինը:</v>
      </c>
      <c r="D5802" s="6" t="str">
        <f>IFERROR(__xludf.DUMMYFUNCTION("GOOGLETRANSLATE(B5802,""en"",""hy"")"),"Ալեքսանդր Ֆլեմինգը հայտնաբերել է պենիցիլին:")</f>
        <v>Ալեքսանդր Ֆլեմինգը հայտնաբերել է պենիցիլին:</v>
      </c>
    </row>
    <row r="5803">
      <c r="A5803" s="5" t="s">
        <v>8103</v>
      </c>
      <c r="B5803" s="5" t="s">
        <v>7671</v>
      </c>
      <c r="C5803" s="5" t="str">
        <f>IFERROR(__xludf.DUMMYFUNCTION("GOOGLETRANSLATE(A5803,""en"",""hy"")"),"Ո՞րն է Աֆրիկայի ամենաերկար գետը:")</f>
        <v>Ո՞րն է Աֆրիկայի ամենաերկար գետը:</v>
      </c>
      <c r="D5803" s="6" t="str">
        <f>IFERROR(__xludf.DUMMYFUNCTION("GOOGLETRANSLATE(B5803,""en"",""hy"")"),"Նեղոս գետ.")</f>
        <v>Նեղոս գետ.</v>
      </c>
    </row>
    <row r="5804">
      <c r="A5804" s="5" t="s">
        <v>7483</v>
      </c>
      <c r="B5804" s="5" t="s">
        <v>8295</v>
      </c>
      <c r="C5804" s="5" t="str">
        <f>IFERROR(__xludf.DUMMYFUNCTION("GOOGLETRANSLATE(A5804,""en"",""hy"")"),"Ո՞րն է ջրի քիմիական բանաձևը:")</f>
        <v>Ո՞րն է ջրի քիմիական բանաձևը:</v>
      </c>
      <c r="D5804" s="6" t="str">
        <f>IFERROR(__xludf.DUMMYFUNCTION("GOOGLETRANSLATE(B5804,""en"",""hy"")"),"H2O")</f>
        <v>H2O</v>
      </c>
    </row>
    <row r="5805">
      <c r="A5805" s="5" t="s">
        <v>7504</v>
      </c>
      <c r="B5805" s="5" t="s">
        <v>7505</v>
      </c>
      <c r="C5805" s="5" t="str">
        <f>IFERROR(__xludf.DUMMYFUNCTION("GOOGLETRANSLATE(A5805,""en"",""hy"")"),"Ո՞վ է Միացյալ Նահանգների ներկայիս նախագահը:")</f>
        <v>Ո՞վ է Միացյալ Նահանգների ներկայիս նախագահը:</v>
      </c>
      <c r="D5805" s="6" t="str">
        <f>IFERROR(__xludf.DUMMYFUNCTION("GOOGLETRANSLATE(B5805,""en"",""hy"")"),"Ջո Բայդեն.")</f>
        <v>Ջո Բայդեն.</v>
      </c>
    </row>
    <row r="5806">
      <c r="A5806" s="5" t="s">
        <v>7915</v>
      </c>
      <c r="B5806" s="5" t="s">
        <v>7916</v>
      </c>
      <c r="C5806" s="5" t="str">
        <f>IFERROR(__xludf.DUMMYFUNCTION("GOOGLETRANSLATE(A5806,""en"",""hy"")"),"Քանի՞ ոսկոր կա մարդու մարմնում:")</f>
        <v>Քանի՞ ոսկոր կա մարդու մարմնում:</v>
      </c>
      <c r="D5806" s="6" t="str">
        <f>IFERROR(__xludf.DUMMYFUNCTION("GOOGLETRANSLATE(B5806,""en"",""hy"")"),"Մարդու մարմնում կա 206 ոսկոր։")</f>
        <v>Մարդու մարմնում կա 206 ոսկոր։</v>
      </c>
    </row>
    <row r="5807">
      <c r="A5807" s="5" t="s">
        <v>8016</v>
      </c>
      <c r="B5807" s="5" t="s">
        <v>8017</v>
      </c>
      <c r="C5807" s="5" t="str">
        <f>IFERROR(__xludf.DUMMYFUNCTION("GOOGLETRANSLATE(A5807,""en"",""hy"")"),"Ո՞րն է Անգլիայի ազգային ծաղիկը:")</f>
        <v>Ո՞րն է Անգլիայի ազգային ծաղիկը:</v>
      </c>
      <c r="D5807" s="6" t="str">
        <f>IFERROR(__xludf.DUMMYFUNCTION("GOOGLETRANSLATE(B5807,""en"",""hy"")"),"Անգլիայի ազգային ծաղիկը վարդն է։")</f>
        <v>Անգլիայի ազգային ծաղիկը վարդն է։</v>
      </c>
    </row>
    <row r="5808">
      <c r="A5808" s="5" t="s">
        <v>8798</v>
      </c>
      <c r="B5808" s="5" t="s">
        <v>7972</v>
      </c>
      <c r="C5808" s="5" t="str">
        <f>IFERROR(__xludf.DUMMYFUNCTION("GOOGLETRANSLATE(A5808,""en"",""hy"")"),"Ո՞ր երկրում է գտնվում Էյֆելյան աշտարակը:")</f>
        <v>Ո՞ր երկրում է գտնվում Էյֆելյան աշտարակը:</v>
      </c>
      <c r="D5808" s="6" t="str">
        <f>IFERROR(__xludf.DUMMYFUNCTION("GOOGLETRANSLATE(B5808,""en"",""hy"")"),"Ֆրանսիա.")</f>
        <v>Ֆրանսիա.</v>
      </c>
    </row>
    <row r="5809">
      <c r="A5809" s="5" t="s">
        <v>8879</v>
      </c>
      <c r="B5809" s="5" t="s">
        <v>8880</v>
      </c>
      <c r="C5809" s="5" t="str">
        <f>IFERROR(__xludf.DUMMYFUNCTION("GOOGLETRANSLATE(A5809,""en"",""hy"")"),"Ո՞վ է «Մատանիների տիրակալի» եռերգության գլխավոր հերոսը:")</f>
        <v>Ո՞վ է «Մատանիների տիրակալի» եռերգության գլխավոր հերոսը:</v>
      </c>
      <c r="D5809" s="6" t="str">
        <f>IFERROR(__xludf.DUMMYFUNCTION("GOOGLETRANSLATE(B5809,""en"",""hy"")"),"Ֆրոդո Բեգինս.")</f>
        <v>Ֆրոդո Բեգինս.</v>
      </c>
    </row>
    <row r="5810">
      <c r="A5810" s="5" t="s">
        <v>7449</v>
      </c>
      <c r="B5810" s="5" t="s">
        <v>7343</v>
      </c>
      <c r="C5810" s="5" t="str">
        <f>IFERROR(__xludf.DUMMYFUNCTION("GOOGLETRANSLATE(A5810,""en"",""hy"")"),"Ո՞րն է աշխարհի ամենամեծ երկիրը ցամաքային տարածքով:")</f>
        <v>Ո՞րն է աշխարհի ամենամեծ երկիրը ցամաքային տարածքով:</v>
      </c>
      <c r="D5810" s="6" t="str">
        <f>IFERROR(__xludf.DUMMYFUNCTION("GOOGLETRANSLATE(B5810,""en"",""hy"")"),"Ռուսաստան.")</f>
        <v>Ռուսաստան.</v>
      </c>
    </row>
    <row r="5811">
      <c r="A5811" s="5" t="s">
        <v>7966</v>
      </c>
      <c r="B5811" s="5" t="s">
        <v>7967</v>
      </c>
      <c r="C5811" s="5" t="str">
        <f>IFERROR(__xludf.DUMMYFUNCTION("GOOGLETRANSLATE(A5811,""en"",""hy"")"),"Ո՞վ է եղել առաջին կինը, ով Նոբելյան մրցանակ է ստացել:")</f>
        <v>Ո՞վ է եղել առաջին կինը, ով Նոբելյան մրցանակ է ստացել:</v>
      </c>
      <c r="D5811" s="6" t="str">
        <f>IFERROR(__xludf.DUMMYFUNCTION("GOOGLETRANSLATE(B5811,""en"",""hy"")"),"Մարի Կյուրի.")</f>
        <v>Մարի Կյուրի.</v>
      </c>
    </row>
    <row r="5812">
      <c r="A5812" s="5" t="s">
        <v>7557</v>
      </c>
      <c r="B5812" s="5" t="s">
        <v>7857</v>
      </c>
      <c r="C5812" s="5" t="str">
        <f>IFERROR(__xludf.DUMMYFUNCTION("GOOGLETRANSLATE(A5812,""en"",""hy"")"),"Ո՞րն է երկաթի քիմիական նշանը:")</f>
        <v>Ո՞րն է երկաթի քիմիական նշանը:</v>
      </c>
      <c r="D5812" s="6" t="str">
        <f>IFERROR(__xludf.DUMMYFUNCTION("GOOGLETRANSLATE(B5812,""en"",""hy"")"),"Երկաթի քիմիական նշանը Fe է:")</f>
        <v>Երկաթի քիմիական նշանը Fe է:</v>
      </c>
    </row>
    <row r="5813">
      <c r="A5813" s="5" t="s">
        <v>8246</v>
      </c>
      <c r="B5813" s="5" t="s">
        <v>7648</v>
      </c>
      <c r="C5813" s="5" t="str">
        <f>IFERROR(__xludf.DUMMYFUNCTION("GOOGLETRANSLATE(A5813,""en"",""hy"")"),"Ո՞վ է նկարել հայտնի «Աստղային գիշերը» արվեստի գործը:")</f>
        <v>Ո՞վ է նկարել հայտնի «Աստղային գիշերը» արվեստի գործը:</v>
      </c>
      <c r="D5813" s="6" t="str">
        <f>IFERROR(__xludf.DUMMYFUNCTION("GOOGLETRANSLATE(B5813,""en"",""hy"")"),"Վինսենթ վան Գոգ.")</f>
        <v>Վինսենթ վան Գոգ.</v>
      </c>
    </row>
    <row r="5814">
      <c r="A5814" s="5" t="s">
        <v>7780</v>
      </c>
      <c r="B5814" s="5" t="s">
        <v>2951</v>
      </c>
      <c r="C5814" s="5" t="str">
        <f>IFERROR(__xludf.DUMMYFUNCTION("GOOGLETRANSLATE(A5814,""en"",""hy"")"),"Ո՞րն է Կանադայի մայրաքաղաքը:")</f>
        <v>Ո՞րն է Կանադայի մայրաքաղաքը:</v>
      </c>
      <c r="D5814" s="6" t="str">
        <f>IFERROR(__xludf.DUMMYFUNCTION("GOOGLETRANSLATE(B5814,""en"",""hy"")"),"Օտտավա.")</f>
        <v>Օտտավա.</v>
      </c>
    </row>
    <row r="5815">
      <c r="A5815" s="5" t="s">
        <v>8410</v>
      </c>
      <c r="B5815" s="5" t="s">
        <v>8881</v>
      </c>
      <c r="C5815" s="5" t="str">
        <f>IFERROR(__xludf.DUMMYFUNCTION("GOOGLETRANSLATE(A5815,""en"",""hy"")"),"Ո՞րն է բոլոր ժամանակների ամենաշատ եկամուտ ստացած ֆիլմը:")</f>
        <v>Ո՞րն է բոլոր ժամանակների ամենաշատ եկամուտ ստացած ֆիլմը:</v>
      </c>
      <c r="D5815" s="6" t="str">
        <f>IFERROR(__xludf.DUMMYFUNCTION("GOOGLETRANSLATE(B5815,""en"",""hy"")"),"Անձնանշան")</f>
        <v>Անձնանշան</v>
      </c>
    </row>
    <row r="5816">
      <c r="A5816" s="5" t="s">
        <v>7939</v>
      </c>
      <c r="B5816" s="5" t="s">
        <v>7940</v>
      </c>
      <c r="C5816" s="5" t="str">
        <f>IFERROR(__xludf.DUMMYFUNCTION("GOOGLETRANSLATE(A5816,""en"",""hy"")"),"Քանի՞ մայրցամաք կա աշխարհում:")</f>
        <v>Քանի՞ մայրցամաք կա աշխարհում:</v>
      </c>
      <c r="D5816" s="6" t="str">
        <f>IFERROR(__xludf.DUMMYFUNCTION("GOOGLETRANSLATE(B5816,""en"",""hy"")"),"Աշխարհում կան յոթ մայրցամաքներ։")</f>
        <v>Աշխարհում կան յոթ մայրցամաքներ։</v>
      </c>
    </row>
    <row r="5817">
      <c r="A5817" s="5" t="s">
        <v>7789</v>
      </c>
      <c r="B5817" s="5" t="s">
        <v>7790</v>
      </c>
      <c r="C5817" s="5" t="str">
        <f>IFERROR(__xludf.DUMMYFUNCTION("GOOGLETRANSLATE(A5817,""en"",""hy"")"),"Ո՞վ է հունական ամպրոպի աստվածը:")</f>
        <v>Ո՞վ է հունական ամպրոպի աստվածը:</v>
      </c>
      <c r="D5817" s="6" t="str">
        <f>IFERROR(__xludf.DUMMYFUNCTION("GOOGLETRANSLATE(B5817,""en"",""hy"")"),"Հունական ամպրոպի աստվածը Զևսն է:")</f>
        <v>Հունական ամպրոպի աստվածը Զևսն է:</v>
      </c>
    </row>
    <row r="5818">
      <c r="A5818" s="5" t="s">
        <v>7856</v>
      </c>
      <c r="B5818" s="5" t="s">
        <v>7472</v>
      </c>
      <c r="C5818" s="5" t="str">
        <f>IFERROR(__xludf.DUMMYFUNCTION("GOOGLETRANSLATE(A5818,""en"",""hy"")"),"Ո՞րն է աշխարհի ամենամեծ կենդանին:")</f>
        <v>Ո՞րն է աշխարհի ամենամեծ կենդանին:</v>
      </c>
      <c r="D5818" s="6" t="str">
        <f>IFERROR(__xludf.DUMMYFUNCTION("GOOGLETRANSLATE(B5818,""en"",""hy"")"),"Կապույտ կետը.")</f>
        <v>Կապույտ կետը.</v>
      </c>
    </row>
    <row r="5819">
      <c r="A5819" s="5" t="s">
        <v>8028</v>
      </c>
      <c r="B5819" s="5" t="s">
        <v>8882</v>
      </c>
      <c r="C5819" s="5" t="str">
        <f>IFERROR(__xludf.DUMMYFUNCTION("GOOGLETRANSLATE(A5819,""en"",""hy"")"),"Ո՞րն է Կանադայի ազգային սպորտը:")</f>
        <v>Ո՞րն է Կանադայի ազգային սպորտը:</v>
      </c>
      <c r="D5819" s="6" t="str">
        <f>IFERROR(__xludf.DUMMYFUNCTION("GOOGLETRANSLATE(B5819,""en"",""hy"")"),"Հոկեյ")</f>
        <v>Հոկեյ</v>
      </c>
    </row>
    <row r="5820">
      <c r="A5820" s="5" t="s">
        <v>8883</v>
      </c>
      <c r="B5820" s="5" t="s">
        <v>7444</v>
      </c>
      <c r="C5820" s="5" t="str">
        <f>IFERROR(__xludf.DUMMYFUNCTION("GOOGLETRANSLATE(A5820,""en"",""hy"")"),"Ո՞վ է «1984» վեպի հեղինակը.")</f>
        <v>Ո՞վ է «1984» վեպի հեղինակը.</v>
      </c>
      <c r="D5820" s="6" t="str">
        <f>IFERROR(__xludf.DUMMYFUNCTION("GOOGLETRANSLATE(B5820,""en"",""hy"")"),"Ջորջ Օրուել.")</f>
        <v>Ջորջ Օրուել.</v>
      </c>
    </row>
    <row r="5821">
      <c r="A5821" s="5" t="s">
        <v>8325</v>
      </c>
      <c r="B5821" s="5" t="s">
        <v>8326</v>
      </c>
      <c r="C5821" s="5" t="str">
        <f>IFERROR(__xludf.DUMMYFUNCTION("GOOGLETRANSLATE(A5821,""en"",""hy"")"),"Ո՞վ է հունական սիրո և գեղեցկության աստվածուհին:")</f>
        <v>Ո՞վ է հունական սիրո և գեղեցկության աստվածուհին:</v>
      </c>
      <c r="D5821" s="6" t="str">
        <f>IFERROR(__xludf.DUMMYFUNCTION("GOOGLETRANSLATE(B5821,""en"",""hy"")"),"Աֆրոդիտե.")</f>
        <v>Աֆրոդիտե.</v>
      </c>
    </row>
    <row r="5822">
      <c r="A5822" s="5" t="s">
        <v>7665</v>
      </c>
      <c r="B5822" s="5" t="s">
        <v>7781</v>
      </c>
      <c r="C5822" s="5" t="str">
        <f>IFERROR(__xludf.DUMMYFUNCTION("GOOGLETRANSLATE(A5822,""en"",""hy"")"),"Ո՞րն է նատրիումի քիմիական նշանը:")</f>
        <v>Ո՞րն է նատրիումի քիմիական նշանը:</v>
      </c>
      <c r="D5822" s="6" t="str">
        <f>IFERROR(__xludf.DUMMYFUNCTION("GOOGLETRANSLATE(B5822,""en"",""hy"")"),"Նատրիումի քիմիական նշանը Na է:")</f>
        <v>Նատրիումի քիմիական նշանը Na է:</v>
      </c>
    </row>
    <row r="5823">
      <c r="A5823" s="5" t="s">
        <v>8388</v>
      </c>
      <c r="B5823" s="5" t="s">
        <v>8884</v>
      </c>
      <c r="C5823" s="5" t="str">
        <f>IFERROR(__xludf.DUMMYFUNCTION("GOOGLETRANSLATE(A5823,""en"",""hy"")"),"Ո՞րն է աշխարհի ամենաբարձր ծառատեսակը:")</f>
        <v>Ո՞րն է աշխարհի ամենաբարձր ծառատեսակը:</v>
      </c>
      <c r="D5823" s="6" t="str">
        <f>IFERROR(__xludf.DUMMYFUNCTION("GOOGLETRANSLATE(B5823,""en"",""hy"")"),"Աշխարհի ամենաբարձր ծառատեսակը Կալիֆորնիայի կարմիր փայտն է (Sequoia sempervirens):")</f>
        <v>Աշխարհի ամենաբարձր ծառատեսակը Կալիֆորնիայի կարմիր փայտն է (Sequoia sempervirens):</v>
      </c>
    </row>
    <row r="5824">
      <c r="A5824" s="5" t="s">
        <v>8198</v>
      </c>
      <c r="B5824" s="5" t="s">
        <v>8199</v>
      </c>
      <c r="C5824" s="5" t="str">
        <f>IFERROR(__xludf.DUMMYFUNCTION("GOOGLETRANSLATE(A5824,""en"",""hy"")"),"Ո՞րն է Չինաստանի ազգային կենդանին:")</f>
        <v>Ո՞րն է Չինաստանի ազգային կենդանին:</v>
      </c>
      <c r="D5824" s="6" t="str">
        <f>IFERROR(__xludf.DUMMYFUNCTION("GOOGLETRANSLATE(B5824,""en"",""hy"")"),"Չինաստանի ազգային կենդանին հսկա պանդան է։")</f>
        <v>Չինաստանի ազգային կենդանին հսկա պանդան է։</v>
      </c>
    </row>
    <row r="5825">
      <c r="A5825" s="5" t="s">
        <v>8885</v>
      </c>
      <c r="B5825" s="5" t="s">
        <v>8038</v>
      </c>
      <c r="C5825" s="5" t="str">
        <f>IFERROR(__xludf.DUMMYFUNCTION("GOOGLETRANSLATE(A5825,""en"",""hy"")"),"Ո՞վ է հորինել «Ode to Joy» սիմֆոնիան:")</f>
        <v>Ո՞վ է հորինել «Ode to Joy» սիմֆոնիան:</v>
      </c>
      <c r="D5825" s="6" t="str">
        <f>IFERROR(__xludf.DUMMYFUNCTION("GOOGLETRANSLATE(B5825,""en"",""hy"")"),"Լյուդվիգ վան Բեթհովեն.")</f>
        <v>Լյուդվիգ վան Բեթհովեն.</v>
      </c>
    </row>
    <row r="5826">
      <c r="A5826" s="5" t="s">
        <v>8886</v>
      </c>
      <c r="B5826" s="5" t="s">
        <v>7630</v>
      </c>
      <c r="C5826" s="5" t="str">
        <f>IFERROR(__xludf.DUMMYFUNCTION("GOOGLETRANSLATE(A5826,""en"",""hy"")"),"Ո՞վ է «Հպարտություն և նախապաշարմունք» վեպի հեղինակը.")</f>
        <v>Ո՞վ է «Հպարտություն և նախապաշարմունք» վեպի հեղինակը.</v>
      </c>
      <c r="D5826" s="6" t="str">
        <f>IFERROR(__xludf.DUMMYFUNCTION("GOOGLETRANSLATE(B5826,""en"",""hy"")"),"Ջեյն Օսթին.")</f>
        <v>Ջեյն Օսթին.</v>
      </c>
    </row>
    <row r="5827">
      <c r="A5827" s="5" t="s">
        <v>7515</v>
      </c>
      <c r="B5827" s="5" t="s">
        <v>7516</v>
      </c>
      <c r="C5827" s="5" t="str">
        <f>IFERROR(__xludf.DUMMYFUNCTION("GOOGLETRANSLATE(A5827,""en"",""hy"")"),"Ո՞րն է Բրազիլիայի մայրաքաղաքը:")</f>
        <v>Ո՞րն է Բրազիլիայի մայրաքաղաքը:</v>
      </c>
      <c r="D5827" s="6" t="str">
        <f>IFERROR(__xludf.DUMMYFUNCTION("GOOGLETRANSLATE(B5827,""en"",""hy"")"),"Բրազիլիա.")</f>
        <v>Բրազիլիա.</v>
      </c>
    </row>
    <row r="5828">
      <c r="A5828" s="5" t="s">
        <v>7502</v>
      </c>
      <c r="B5828" s="5" t="s">
        <v>8458</v>
      </c>
      <c r="C5828" s="5" t="str">
        <f>IFERROR(__xludf.DUMMYFUNCTION("GOOGLETRANSLATE(A5828,""en"",""hy"")"),"Քանի՞ կողմ ունի վեցանկյունը:")</f>
        <v>Քանի՞ կողմ ունի վեցանկյունը:</v>
      </c>
      <c r="D5828" s="6" t="str">
        <f>IFERROR(__xludf.DUMMYFUNCTION("GOOGLETRANSLATE(B5828,""en"",""hy"")"),"Վեցանկյունն ունի 6 կողմ։")</f>
        <v>Վեցանկյունն ունի 6 կողմ։</v>
      </c>
    </row>
    <row r="5829">
      <c r="A5829" s="5" t="s">
        <v>8161</v>
      </c>
      <c r="B5829" s="5" t="s">
        <v>8612</v>
      </c>
      <c r="C5829" s="5" t="str">
        <f>IFERROR(__xludf.DUMMYFUNCTION("GOOGLETRANSLATE(A5829,""en"",""hy"")"),"Ո՞րն է Ճապոնիայի ազգային ծաղիկը:")</f>
        <v>Ո՞րն է Ճապոնիայի ազգային ծաղիկը:</v>
      </c>
      <c r="D5829" s="6" t="str">
        <f>IFERROR(__xludf.DUMMYFUNCTION("GOOGLETRANSLATE(B5829,""en"",""hy"")"),"Բալի ծաղիկ.")</f>
        <v>Բալի ծաղիկ.</v>
      </c>
    </row>
    <row r="5830">
      <c r="A5830" s="5" t="s">
        <v>8641</v>
      </c>
      <c r="B5830" s="5" t="s">
        <v>8642</v>
      </c>
      <c r="C5830" s="5" t="str">
        <f>IFERROR(__xludf.DUMMYFUNCTION("GOOGLETRANSLATE(A5830,""en"",""hy"")"),"Ո՞վ է նկարել «Հիշողության համառությունը» ստեղծագործությունը:")</f>
        <v>Ո՞վ է նկարել «Հիշողության համառությունը» ստեղծագործությունը:</v>
      </c>
      <c r="D5830" s="6" t="str">
        <f>IFERROR(__xludf.DUMMYFUNCTION("GOOGLETRANSLATE(B5830,""en"",""hy"")"),"Սալվադոր Դալի")</f>
        <v>Սալվադոր Դալի</v>
      </c>
    </row>
    <row r="5831">
      <c r="A5831" s="5" t="s">
        <v>7592</v>
      </c>
      <c r="B5831" s="5" t="s">
        <v>7593</v>
      </c>
      <c r="C5831" s="5" t="str">
        <f>IFERROR(__xludf.DUMMYFUNCTION("GOOGLETRANSLATE(A5831,""en"",""hy"")"),"Ո՞րն է թթվածնի քիմիական նշանը:")</f>
        <v>Ո՞րն է թթվածնի քիմիական նշանը:</v>
      </c>
      <c r="D5831" s="6" t="str">
        <f>IFERROR(__xludf.DUMMYFUNCTION("GOOGLETRANSLATE(B5831,""en"",""hy"")"),"Թթվածնի քիմիական նշանը O է:")</f>
        <v>Թթվածնի քիմիական նշանը O է:</v>
      </c>
    </row>
    <row r="5832">
      <c r="A5832" s="5" t="s">
        <v>7479</v>
      </c>
      <c r="B5832" s="5" t="s">
        <v>8887</v>
      </c>
      <c r="C5832" s="5" t="str">
        <f>IFERROR(__xludf.DUMMYFUNCTION("GOOGLETRANSLATE(A5832,""en"",""hy"")"),"Ո՞վ է Միացյալ Թագավորության ներկայիս վարչապետը:")</f>
        <v>Ո՞վ է Միացյալ Թագավորության ներկայիս վարչապետը:</v>
      </c>
      <c r="D5832" s="6" t="str">
        <f>IFERROR(__xludf.DUMMYFUNCTION("GOOGLETRANSLATE(B5832,""en"",""hy"")"),"Բորիս Ջոնսոն")</f>
        <v>Բորիս Ջոնսոն</v>
      </c>
    </row>
    <row r="5833">
      <c r="A5833" s="5" t="s">
        <v>8753</v>
      </c>
      <c r="B5833" s="5" t="s">
        <v>8888</v>
      </c>
      <c r="C5833" s="5" t="str">
        <f>IFERROR(__xludf.DUMMYFUNCTION("GOOGLETRANSLATE(A5833,""en"",""hy"")"),"Ո՞րն է Հյուսիսային Ամերիկայի ամենաբարձր լեռը:")</f>
        <v>Ո՞րն է Հյուսիսային Ամերիկայի ամենաբարձր լեռը:</v>
      </c>
      <c r="D5833" s="6" t="str">
        <f>IFERROR(__xludf.DUMMYFUNCTION("GOOGLETRANSLATE(B5833,""en"",""hy"")"),"Հյուսիսային Ամերիկայի ամենաբարձր լեռը Դենալի լեռն է։")</f>
        <v>Հյուսիսային Ամերիկայի ամենաբարձր լեռը Դենալի լեռն է։</v>
      </c>
    </row>
    <row r="5834">
      <c r="A5834" s="5" t="s">
        <v>7568</v>
      </c>
      <c r="B5834" s="5" t="s">
        <v>8889</v>
      </c>
      <c r="C5834" s="5" t="str">
        <f>IFERROR(__xludf.DUMMYFUNCTION("GOOGLETRANSLATE(A5834,""en"",""hy"")"),"Ո՞րն է Ավստրալիայի ազգային թռչունը:")</f>
        <v>Ո՞րն է Ավստրալիայի ազգային թռչունը:</v>
      </c>
      <c r="D5834" s="6" t="str">
        <f>IFERROR(__xludf.DUMMYFUNCTION("GOOGLETRANSLATE(B5834,""en"",""hy"")"),"Ավստրալիայի ազգային թռչունը Էմուն է:")</f>
        <v>Ավստրալիայի ազգային թռչունը Էմուն է:</v>
      </c>
    </row>
    <row r="5835">
      <c r="A5835" s="5" t="s">
        <v>8518</v>
      </c>
      <c r="B5835" s="5" t="s">
        <v>8201</v>
      </c>
      <c r="C5835" s="5" t="str">
        <f>IFERROR(__xludf.DUMMYFUNCTION("GOOGLETRANSLATE(A5835,""en"",""hy"")"),"Ո՞ր երկրում են ծագել Օլիմպիական խաղերը:")</f>
        <v>Ո՞ր երկրում են ծագել Օլիմպիական խաղերը:</v>
      </c>
      <c r="D5835" s="6" t="str">
        <f>IFERROR(__xludf.DUMMYFUNCTION("GOOGLETRANSLATE(B5835,""en"",""hy"")"),"Հունաստան.")</f>
        <v>Հունաստան.</v>
      </c>
    </row>
    <row r="5836">
      <c r="A5836" s="5" t="s">
        <v>8890</v>
      </c>
      <c r="B5836" s="5" t="s">
        <v>8891</v>
      </c>
      <c r="C5836" s="5" t="str">
        <f>IFERROR(__xludf.DUMMYFUNCTION("GOOGLETRANSLATE(A5836,""en"",""hy"")"),"Ո՞վ է Հարի Փոթերի սերիալի գլխավոր հակառակորդը:")</f>
        <v>Ո՞վ է Հարի Փոթերի սերիալի գլխավոր հակառակորդը:</v>
      </c>
      <c r="D5836" s="6" t="str">
        <f>IFERROR(__xludf.DUMMYFUNCTION("GOOGLETRANSLATE(B5836,""en"",""hy"")"),"Լորդ Վոլդեմորթ.")</f>
        <v>Լորդ Վոլդեմորթ.</v>
      </c>
    </row>
    <row r="5837">
      <c r="A5837" s="5" t="s">
        <v>7872</v>
      </c>
      <c r="B5837" s="5" t="s">
        <v>6011</v>
      </c>
      <c r="C5837" s="5" t="str">
        <f>IFERROR(__xludf.DUMMYFUNCTION("GOOGLETRANSLATE(A5837,""en"",""hy"")"),"Ո՞րն է Իսպանիայի մայրաքաղաքը:")</f>
        <v>Ո՞րն է Իսպանիայի մայրաքաղաքը:</v>
      </c>
      <c r="D5837" s="6" t="str">
        <f>IFERROR(__xludf.DUMMYFUNCTION("GOOGLETRANSLATE(B5837,""en"",""hy"")"),"Մադրիդ")</f>
        <v>Մադրիդ</v>
      </c>
    </row>
    <row r="5838">
      <c r="A5838" s="5" t="s">
        <v>7737</v>
      </c>
      <c r="B5838" s="5" t="s">
        <v>8273</v>
      </c>
      <c r="C5838" s="5" t="str">
        <f>IFERROR(__xludf.DUMMYFUNCTION("GOOGLETRANSLATE(A5838,""en"",""hy"")"),"Ո՞վ է գրել «Շորայի մեջ բռնողը» վեպը:")</f>
        <v>Ո՞վ է գրել «Շորայի մեջ բռնողը» վեպը:</v>
      </c>
      <c r="D5838" s="6" t="str">
        <f>IFERROR(__xludf.DUMMYFUNCTION("GOOGLETRANSLATE(B5838,""en"",""hy"")"),"Ջ.Դ.Սելինջեր")</f>
        <v>Ջ.Դ.Սելինջեր</v>
      </c>
    </row>
    <row r="5839">
      <c r="A5839" s="5" t="s">
        <v>7632</v>
      </c>
      <c r="B5839" s="5" t="s">
        <v>7633</v>
      </c>
      <c r="C5839" s="5" t="str">
        <f>IFERROR(__xludf.DUMMYFUNCTION("GOOGLETRANSLATE(A5839,""en"",""hy"")"),"Ո՞րն է մեր արեգակնային համակարգի ամենամեծ մոլորակը:")</f>
        <v>Ո՞րն է մեր արեգակնային համակարգի ամենամեծ մոլորակը:</v>
      </c>
      <c r="D5839" s="6" t="str">
        <f>IFERROR(__xludf.DUMMYFUNCTION("GOOGLETRANSLATE(B5839,""en"",""hy"")"),"Յուպիտեր.")</f>
        <v>Յուպիտեր.</v>
      </c>
    </row>
    <row r="5840">
      <c r="A5840" s="5" t="s">
        <v>7699</v>
      </c>
      <c r="B5840" s="5" t="s">
        <v>7700</v>
      </c>
      <c r="C5840" s="5" t="str">
        <f>IFERROR(__xludf.DUMMYFUNCTION("GOOGLETRANSLATE(A5840,""en"",""hy"")"),"Ո՞րն է ածխածնի քիմիական նշանը:")</f>
        <v>Ո՞րն է ածխածնի քիմիական նշանը:</v>
      </c>
      <c r="D5840" s="6" t="str">
        <f>IFERROR(__xludf.DUMMYFUNCTION("GOOGLETRANSLATE(B5840,""en"",""hy"")"),"Ածխածնի քիմիական նշանը C է:")</f>
        <v>Ածխածնի քիմիական նշանը C է:</v>
      </c>
    </row>
    <row r="5841">
      <c r="A5841" s="5" t="s">
        <v>8599</v>
      </c>
      <c r="B5841" s="5" t="s">
        <v>7613</v>
      </c>
      <c r="C5841" s="5" t="str">
        <f>IFERROR(__xludf.DUMMYFUNCTION("GOOGLETRANSLATE(A5841,""en"",""hy"")"),"Ո՞վ է «Մեծն Գեթսբի» վեպի հեղինակը.")</f>
        <v>Ո՞վ է «Մեծն Գեթսբի» վեպի հեղինակը.</v>
      </c>
      <c r="D5841" s="6" t="str">
        <f>IFERROR(__xludf.DUMMYFUNCTION("GOOGLETRANSLATE(B5841,""en"",""hy"")"),"F. Scott Fitzgerald")</f>
        <v>F. Scott Fitzgerald</v>
      </c>
    </row>
    <row r="5842">
      <c r="A5842" s="5" t="s">
        <v>7608</v>
      </c>
      <c r="B5842" s="5" t="s">
        <v>8413</v>
      </c>
      <c r="C5842" s="5" t="str">
        <f>IFERROR(__xludf.DUMMYFUNCTION("GOOGLETRANSLATE(A5842,""en"",""hy"")"),"Ո՞րն է Հնդկաստանի մայրաքաղաքը:")</f>
        <v>Ո՞րն է Հնդկաստանի մայրաքաղաքը:</v>
      </c>
      <c r="D5842" s="6" t="str">
        <f>IFERROR(__xludf.DUMMYFUNCTION("GOOGLETRANSLATE(B5842,""en"",""hy"")"),"Հնդկաստանի մայրաքաղաքը Նյու Դելին է։")</f>
        <v>Հնդկաստանի մայրաքաղաքը Նյու Դելին է։</v>
      </c>
    </row>
    <row r="5843">
      <c r="A5843" s="5" t="s">
        <v>7955</v>
      </c>
      <c r="B5843" s="5" t="s">
        <v>8759</v>
      </c>
      <c r="C5843" s="5" t="str">
        <f>IFERROR(__xludf.DUMMYFUNCTION("GOOGLETRANSLATE(A5843,""en"",""hy"")"),"Ո՞վ է հայտնաբերել գրավիտացիան:")</f>
        <v>Ո՞վ է հայտնաբերել գրավիտացիան:</v>
      </c>
      <c r="D5843" s="6" t="str">
        <f>IFERROR(__xludf.DUMMYFUNCTION("GOOGLETRANSLATE(B5843,""en"",""hy"")"),"Սըր Իսահակ Նյուտոն.")</f>
        <v>Սըր Իսահակ Նյուտոն.</v>
      </c>
    </row>
    <row r="5844">
      <c r="A5844" s="5" t="s">
        <v>7526</v>
      </c>
      <c r="B5844" s="5" t="s">
        <v>8117</v>
      </c>
      <c r="C5844" s="5" t="str">
        <f>IFERROR(__xludf.DUMMYFUNCTION("GOOGLETRANSLATE(A5844,""en"",""hy"")"),"Ո՞րն է աշխարհի ամենամեծ կղզին:")</f>
        <v>Ո՞րն է աշխարհի ամենամեծ կղզին:</v>
      </c>
      <c r="D5844" s="6" t="str">
        <f>IFERROR(__xludf.DUMMYFUNCTION("GOOGLETRANSLATE(B5844,""en"",""hy"")"),"Գրենլանդիա")</f>
        <v>Գրենլանդիա</v>
      </c>
    </row>
    <row r="5845">
      <c r="A5845" s="5" t="s">
        <v>8136</v>
      </c>
      <c r="B5845" s="5" t="s">
        <v>8892</v>
      </c>
      <c r="C5845" s="5" t="str">
        <f>IFERROR(__xludf.DUMMYFUNCTION("GOOGLETRANSLATE(A5845,""en"",""hy"")"),"Ո՞րն է Ֆրանսիայի ազգային ծաղիկը:")</f>
        <v>Ո՞րն է Ֆրանսիայի ազգային ծաղիկը:</v>
      </c>
      <c r="D5845" s="6" t="str">
        <f>IFERROR(__xludf.DUMMYFUNCTION("GOOGLETRANSLATE(B5845,""en"",""hy"")"),"Ֆրանսիայի ազգային ծաղիկը Շուշանն է (Fleur-de-lis):")</f>
        <v>Ֆրանսիայի ազգային ծաղիկը Շուշանն է (Fleur-de-lis):</v>
      </c>
    </row>
    <row r="5846">
      <c r="A5846" s="5" t="s">
        <v>7528</v>
      </c>
      <c r="B5846" s="5" t="s">
        <v>7529</v>
      </c>
      <c r="C5846" s="5" t="str">
        <f>IFERROR(__xludf.DUMMYFUNCTION("GOOGLETRANSLATE(A5846,""en"",""hy"")"),"Ո՞վ է Գերմանիայի ներկայիս կանցլերը:")</f>
        <v>Ո՞վ է Գերմանիայի ներկայիս կանցլերը:</v>
      </c>
      <c r="D5846" s="6" t="str">
        <f>IFERROR(__xludf.DUMMYFUNCTION("GOOGLETRANSLATE(B5846,""en"",""hy"")"),"Անգելա Մերկել.")</f>
        <v>Անգելա Մերկել.</v>
      </c>
    </row>
    <row r="5847">
      <c r="A5847" s="5" t="s">
        <v>8893</v>
      </c>
      <c r="B5847" s="5" t="s">
        <v>8122</v>
      </c>
      <c r="C5847" s="5" t="str">
        <f>IFERROR(__xludf.DUMMYFUNCTION("GOOGLETRANSLATE(A5847,""en"",""hy"")"),"Քանի՞ աստղ կա ամերիկյան դրոշի վրա:")</f>
        <v>Քանի՞ աստղ կա ամերիկյան դրոշի վրա:</v>
      </c>
      <c r="D5847" s="6" t="str">
        <f>IFERROR(__xludf.DUMMYFUNCTION("GOOGLETRANSLATE(B5847,""en"",""hy"")"),"Ամերիկյան դրոշի վրա 50 աստղ կա։")</f>
        <v>Ամերիկյան դրոշի վրա 50 աստղ կա։</v>
      </c>
    </row>
    <row r="5848">
      <c r="A5848" s="5" t="s">
        <v>7691</v>
      </c>
      <c r="B5848" s="5" t="s">
        <v>7692</v>
      </c>
      <c r="C5848" s="5" t="str">
        <f>IFERROR(__xludf.DUMMYFUNCTION("GOOGLETRANSLATE(A5848,""en"",""hy"")"),"Ո՞րն է Աֆրիկայի ամենամեծ լիճը:")</f>
        <v>Ո՞րն է Աֆրիկայի ամենամեծ լիճը:</v>
      </c>
      <c r="D5848" s="6" t="str">
        <f>IFERROR(__xludf.DUMMYFUNCTION("GOOGLETRANSLATE(B5848,""en"",""hy"")"),"Վիկտորիա լիճ.")</f>
        <v>Վիկտորիա լիճ.</v>
      </c>
    </row>
    <row r="5849">
      <c r="A5849" s="5" t="s">
        <v>8634</v>
      </c>
      <c r="B5849" s="5" t="s">
        <v>7448</v>
      </c>
      <c r="C5849" s="5" t="str">
        <f>IFERROR(__xludf.DUMMYFUNCTION("GOOGLETRANSLATE(A5849,""en"",""hy"")"),"Ո՞վ է նկարել «Վերջին ընթրիքը» նկարը:")</f>
        <v>Ո՞վ է նկարել «Վերջին ընթրիքը» նկարը:</v>
      </c>
      <c r="D5849" s="6" t="str">
        <f>IFERROR(__xludf.DUMMYFUNCTION("GOOGLETRANSLATE(B5849,""en"",""hy"")"),"Լեոնարդո դա Վինչի.")</f>
        <v>Լեոնարդո դա Վինչի.</v>
      </c>
    </row>
    <row r="5850">
      <c r="A5850" s="5" t="s">
        <v>7509</v>
      </c>
      <c r="B5850" s="5" t="s">
        <v>7684</v>
      </c>
      <c r="C5850" s="5" t="str">
        <f>IFERROR(__xludf.DUMMYFUNCTION("GOOGLETRANSLATE(A5850,""en"",""hy"")"),"Ո՞րն է արծաթի քիմիական նշանը:")</f>
        <v>Ո՞րն է արծաթի քիմիական նշանը:</v>
      </c>
      <c r="D5850" s="6" t="str">
        <f>IFERROR(__xludf.DUMMYFUNCTION("GOOGLETRANSLATE(B5850,""en"",""hy"")"),"Արծաթի քիմիական խորհրդանիշն է Ag.")</f>
        <v>Արծաթի քիմիական խորհրդանիշն է Ag.</v>
      </c>
    </row>
    <row r="5851">
      <c r="A5851" s="5" t="s">
        <v>8894</v>
      </c>
      <c r="B5851" s="5" t="s">
        <v>8895</v>
      </c>
      <c r="C5851" s="5" t="str">
        <f>IFERROR(__xludf.DUMMYFUNCTION("GOOGLETRANSLATE(A5851,""en"",""hy"")"),"Ո՞վ է «Քաղցած խաղեր» եռերգության գլխավոր հերոսը:")</f>
        <v>Ո՞վ է «Քաղցած խաղեր» եռերգության գլխավոր հերոսը:</v>
      </c>
      <c r="D5851" s="6" t="str">
        <f>IFERROR(__xludf.DUMMYFUNCTION("GOOGLETRANSLATE(B5851,""en"",""hy"")"),"Քեթնիս Էվերդին.")</f>
        <v>Քեթնիս Էվերդին.</v>
      </c>
    </row>
    <row r="5852">
      <c r="A5852" s="5" t="s">
        <v>7672</v>
      </c>
      <c r="B5852" s="5" t="s">
        <v>7673</v>
      </c>
      <c r="C5852" s="5" t="str">
        <f>IFERROR(__xludf.DUMMYFUNCTION("GOOGLETRANSLATE(A5852,""en"",""hy"")"),"Ո՞րն է Հարավային Ամերիկայի ամենամեծ երկիրը:")</f>
        <v>Ո՞րն է Հարավային Ամերիկայի ամենամեծ երկիրը:</v>
      </c>
      <c r="D5852" s="6" t="str">
        <f>IFERROR(__xludf.DUMMYFUNCTION("GOOGLETRANSLATE(B5852,""en"",""hy"")"),"Բրազիլիա.")</f>
        <v>Բրազիլիա.</v>
      </c>
    </row>
    <row r="5853">
      <c r="A5853" s="5" t="s">
        <v>7791</v>
      </c>
      <c r="B5853" s="5" t="s">
        <v>8896</v>
      </c>
      <c r="C5853" s="5" t="str">
        <f>IFERROR(__xludf.DUMMYFUNCTION("GOOGLETRANSLATE(A5853,""en"",""hy"")"),"Ո՞րն է Ավստրալիայի ազգային կենդանին:")</f>
        <v>Ո՞րն է Ավստրալիայի ազգային կենդանին:</v>
      </c>
      <c r="D5853" s="6" t="str">
        <f>IFERROR(__xludf.DUMMYFUNCTION("GOOGLETRANSLATE(B5853,""en"",""hy"")"),"Ավստրալիայի ազգային կենդանին կարմիր կենգուրուն է։")</f>
        <v>Ավստրալիայի ազգային կենդանին կարմիր կենգուրուն է։</v>
      </c>
    </row>
    <row r="5854">
      <c r="A5854" s="5" t="s">
        <v>8897</v>
      </c>
      <c r="B5854" s="5" t="s">
        <v>8038</v>
      </c>
      <c r="C5854" s="5" t="str">
        <f>IFERROR(__xludf.DUMMYFUNCTION("GOOGLETRANSLATE(A5854,""en"",""hy"")"),"Ո՞վ է հորինել «Սիմֆոնիա թիվ 5» սիմֆոնիան:")</f>
        <v>Ո՞վ է հորինել «Սիմֆոնիա թիվ 5» սիմֆոնիան:</v>
      </c>
      <c r="D5854" s="6" t="str">
        <f>IFERROR(__xludf.DUMMYFUNCTION("GOOGLETRANSLATE(B5854,""en"",""hy"")"),"Լյուդվիգ վան Բեթհովեն.")</f>
        <v>Լյուդվիգ վան Բեթհովեն.</v>
      </c>
    </row>
    <row r="5855">
      <c r="A5855" s="5" t="s">
        <v>7574</v>
      </c>
      <c r="B5855" s="5" t="s">
        <v>7525</v>
      </c>
      <c r="C5855" s="5" t="str">
        <f>IFERROR(__xludf.DUMMYFUNCTION("GOOGLETRANSLATE(A5855,""en"",""hy"")"),"Ո՞րն է Չինաստանի մայրաքաղաքը:")</f>
        <v>Ո՞րն է Չինաստանի մայրաքաղաքը:</v>
      </c>
      <c r="D5855" s="6" t="str">
        <f>IFERROR(__xludf.DUMMYFUNCTION("GOOGLETRANSLATE(B5855,""en"",""hy"")"),"Պեկին.")</f>
        <v>Պեկին.</v>
      </c>
    </row>
    <row r="5856">
      <c r="A5856" s="5" t="s">
        <v>8426</v>
      </c>
      <c r="B5856" s="5" t="s">
        <v>7970</v>
      </c>
      <c r="C5856" s="5" t="str">
        <f>IFERROR(__xludf.DUMMYFUNCTION("GOOGLETRANSLATE(A5856,""en"",""hy"")"),"Քանի՞ ոսկոր կա մարդու գանգում:")</f>
        <v>Քանի՞ ոսկոր կա մարդու գանգում:</v>
      </c>
      <c r="D5856" s="6" t="str">
        <f>IFERROR(__xludf.DUMMYFUNCTION("GOOGLETRANSLATE(B5856,""en"",""hy"")"),"Մարդու գանգում կա 22 ոսկոր։")</f>
        <v>Մարդու գանգում կա 22 ոսկոր։</v>
      </c>
    </row>
    <row r="5857">
      <c r="A5857" s="5" t="s">
        <v>8898</v>
      </c>
      <c r="B5857" s="5" t="s">
        <v>7867</v>
      </c>
      <c r="C5857" s="5" t="str">
        <f>IFERROR(__xludf.DUMMYFUNCTION("GOOGLETRANSLATE(A5857,""en"",""hy"")"),"Ո՞վ է «Հոբիթ» վեպի հեղինակը.")</f>
        <v>Ո՞վ է «Հոբիթ» վեպի հեղինակը.</v>
      </c>
      <c r="D5857" s="6" t="str">
        <f>IFERROR(__xludf.DUMMYFUNCTION("GOOGLETRANSLATE(B5857,""en"",""hy"")"),"Ջ.Ռ.Ռ. Թոլքինը։")</f>
        <v>Ջ.Ռ.Ռ. Թոլքինը։</v>
      </c>
    </row>
    <row r="5858">
      <c r="A5858" s="5" t="s">
        <v>7809</v>
      </c>
      <c r="B5858" s="5" t="s">
        <v>7810</v>
      </c>
      <c r="C5858" s="5" t="str">
        <f>IFERROR(__xludf.DUMMYFUNCTION("GOOGLETRANSLATE(A5858,""en"",""hy"")"),"Ո՞րն է հելիումի քիմիական նշանը:")</f>
        <v>Ո՞րն է հելիումի քիմիական նշանը:</v>
      </c>
      <c r="D5858" s="6" t="str">
        <f>IFERROR(__xludf.DUMMYFUNCTION("GOOGLETRANSLATE(B5858,""en"",""hy"")"),"Նա")</f>
        <v>Նա</v>
      </c>
    </row>
    <row r="5859">
      <c r="A5859" s="5" t="s">
        <v>8172</v>
      </c>
      <c r="B5859" s="5" t="s">
        <v>7733</v>
      </c>
      <c r="C5859" s="5" t="str">
        <f>IFERROR(__xludf.DUMMYFUNCTION("GOOGLETRANSLATE(A5859,""en"",""hy"")"),"Ո՞րն է աշխարհի ամենաբարձր ջրվեժը:")</f>
        <v>Ո՞րն է աշխարհի ամենաբարձր ջրվեժը:</v>
      </c>
      <c r="D5859" s="6" t="str">
        <f>IFERROR(__xludf.DUMMYFUNCTION("GOOGLETRANSLATE(B5859,""en"",""hy"")"),"Angel Falls.")</f>
        <v>Angel Falls.</v>
      </c>
    </row>
    <row r="5860">
      <c r="A5860" s="5" t="s">
        <v>8609</v>
      </c>
      <c r="B5860" s="5" t="s">
        <v>8899</v>
      </c>
      <c r="C5860" s="5" t="str">
        <f>IFERROR(__xludf.DUMMYFUNCTION("GOOGLETRANSLATE(A5860,""en"",""hy"")"),"Ո՞րն է Հնդկաստանի ազգային սպորտը:")</f>
        <v>Ո՞րն է Հնդկաստանի ազգային սպորտը:</v>
      </c>
      <c r="D5860" s="6" t="str">
        <f>IFERROR(__xludf.DUMMYFUNCTION("GOOGLETRANSLATE(B5860,""en"",""hy"")"),"Հնդկաստանի ազգային սպորտը խոտի հոկեյն է։")</f>
        <v>Հնդկաստանի ազգային սպորտը խոտի հոկեյն է։</v>
      </c>
    </row>
    <row r="5861">
      <c r="A5861" s="5" t="s">
        <v>7674</v>
      </c>
      <c r="B5861" s="5" t="s">
        <v>7675</v>
      </c>
      <c r="C5861" s="5" t="str">
        <f>IFERROR(__xludf.DUMMYFUNCTION("GOOGLETRANSLATE(A5861,""en"",""hy"")"),"Ո՞վ է հունական ծովի աստվածը:")</f>
        <v>Ո՞վ է հունական ծովի աստվածը:</v>
      </c>
      <c r="D5861" s="6" t="str">
        <f>IFERROR(__xludf.DUMMYFUNCTION("GOOGLETRANSLATE(B5861,""en"",""hy"")"),"Պոսեյդոն.")</f>
        <v>Պոսեյդոն.</v>
      </c>
    </row>
    <row r="5862">
      <c r="A5862" s="5" t="s">
        <v>8900</v>
      </c>
      <c r="B5862" s="5" t="s">
        <v>8901</v>
      </c>
      <c r="C5862" s="5" t="str">
        <f>IFERROR(__xludf.DUMMYFUNCTION("GOOGLETRANSLATE(A5862,""en"",""hy"")"),"Ո՞րն է աշխարհի ամենամեծ թռչունների տեսակը:")</f>
        <v>Ո՞րն է աշխարհի ամենամեծ թռչունների տեսակը:</v>
      </c>
      <c r="D5862" s="6" t="str">
        <f>IFERROR(__xludf.DUMMYFUNCTION("GOOGLETRANSLATE(B5862,""en"",""hy"")"),"Աշխարհի ամենամեծ թռչունների տեսակը ջայլամն է։")</f>
        <v>Աշխարհի ամենամեծ թռչունների տեսակը ջայլամն է։</v>
      </c>
    </row>
    <row r="5863">
      <c r="A5863" s="5" t="s">
        <v>7817</v>
      </c>
      <c r="B5863" s="5" t="s">
        <v>7818</v>
      </c>
      <c r="C5863" s="5" t="str">
        <f>IFERROR(__xludf.DUMMYFUNCTION("GOOGLETRANSLATE(A5863,""en"",""hy"")"),"Ո՞րն է Կանադայի ազգային կենդանին:")</f>
        <v>Ո՞րն է Կանադայի ազգային կենդանին:</v>
      </c>
      <c r="D5863" s="6" t="str">
        <f>IFERROR(__xludf.DUMMYFUNCTION("GOOGLETRANSLATE(B5863,""en"",""hy"")"),"Կանադայի ազգային կենդանին կեղևն է:")</f>
        <v>Կանադայի ազգային կենդանին կեղևն է:</v>
      </c>
    </row>
    <row r="5864">
      <c r="A5864" s="5" t="s">
        <v>7594</v>
      </c>
      <c r="B5864" s="5" t="s">
        <v>1016</v>
      </c>
      <c r="C5864" s="5" t="str">
        <f>IFERROR(__xludf.DUMMYFUNCTION("GOOGLETRANSLATE(A5864,""en"",""hy"")"),"Ո՞վ է գրել «Մակբեթ» պիեսը:")</f>
        <v>Ո՞վ է գրել «Մակբեթ» պիեսը:</v>
      </c>
      <c r="D5864" s="6" t="str">
        <f>IFERROR(__xludf.DUMMYFUNCTION("GOOGLETRANSLATE(B5864,""en"",""hy"")"),"Ուիլյամ Շեքսպիր.")</f>
        <v>Ուիլյամ Շեքսպիր.</v>
      </c>
    </row>
    <row r="5865">
      <c r="A5865" s="5" t="s">
        <v>7536</v>
      </c>
      <c r="B5865" s="5" t="s">
        <v>7870</v>
      </c>
      <c r="C5865" s="5" t="str">
        <f>IFERROR(__xludf.DUMMYFUNCTION("GOOGLETRANSLATE(A5865,""en"",""hy"")"),"Ո՞րն է Ռուսաստանի մայրաքաղաքը:")</f>
        <v>Ո՞րն է Ռուսաստանի մայրաքաղաքը:</v>
      </c>
      <c r="D5865" s="6" t="str">
        <f>IFERROR(__xludf.DUMMYFUNCTION("GOOGLETRANSLATE(B5865,""en"",""hy"")"),"Մոսկվա.")</f>
        <v>Մոսկվա.</v>
      </c>
    </row>
    <row r="5866">
      <c r="A5866" s="5" t="s">
        <v>7572</v>
      </c>
      <c r="B5866" s="5" t="s">
        <v>7573</v>
      </c>
      <c r="C5866" s="5" t="str">
        <f>IFERROR(__xludf.DUMMYFUNCTION("GOOGLETRANSLATE(A5866,""en"",""hy"")"),"Ո՞վ է հորինել լամպը:")</f>
        <v>Ո՞վ է հորինել լամպը:</v>
      </c>
      <c r="D5866" s="6" t="str">
        <f>IFERROR(__xludf.DUMMYFUNCTION("GOOGLETRANSLATE(B5866,""en"",""hy"")"),"Թոմաս Էդիսոն.")</f>
        <v>Թոմաս Էդիսոն.</v>
      </c>
    </row>
    <row r="5867">
      <c r="A5867" s="5" t="s">
        <v>8209</v>
      </c>
      <c r="B5867" s="5" t="s">
        <v>8902</v>
      </c>
      <c r="C5867" s="5" t="str">
        <f>IFERROR(__xludf.DUMMYFUNCTION("GOOGLETRANSLATE(A5867,""en"",""hy"")"),"Ո՞րն է Ասիայի ամենաերկար գետը:")</f>
        <v>Ո՞րն է Ասիայի ամենաերկար գետը:</v>
      </c>
      <c r="D5867" s="6" t="str">
        <f>IFERROR(__xludf.DUMMYFUNCTION("GOOGLETRANSLATE(B5867,""en"",""hy"")"),"Յանցզի գետը.")</f>
        <v>Յանցզի գետը.</v>
      </c>
    </row>
    <row r="5868">
      <c r="A5868" s="5" t="s">
        <v>7532</v>
      </c>
      <c r="B5868" s="5" t="s">
        <v>7533</v>
      </c>
      <c r="C5868" s="5" t="str">
        <f>IFERROR(__xludf.DUMMYFUNCTION("GOOGLETRANSLATE(A5868,""en"",""hy"")"),"Ո՞րն է սննդի աղի քիմիական բանաձևը:")</f>
        <v>Ո՞րն է սննդի աղի քիմիական բանաձևը:</v>
      </c>
      <c r="D5868" s="6" t="str">
        <f>IFERROR(__xludf.DUMMYFUNCTION("GOOGLETRANSLATE(B5868,""en"",""hy"")"),"Սեղանի աղի քիմիական բանաձևը NaCl է:")</f>
        <v>Սեղանի աղի քիմիական բանաձևը NaCl է:</v>
      </c>
    </row>
    <row r="5869">
      <c r="A5869" s="5" t="s">
        <v>7566</v>
      </c>
      <c r="B5869" s="5" t="s">
        <v>7934</v>
      </c>
      <c r="C5869" s="5" t="str">
        <f>IFERROR(__xludf.DUMMYFUNCTION("GOOGLETRANSLATE(A5869,""en"",""hy"")"),"Ո՞վ է Կանադայի ներկայիս վարչապետը:")</f>
        <v>Ո՞վ է Կանադայի ներկայիս վարչապետը:</v>
      </c>
      <c r="D5869" s="6" t="str">
        <f>IFERROR(__xludf.DUMMYFUNCTION("GOOGLETRANSLATE(B5869,""en"",""hy"")"),"Ջասթին Թրյուդո.")</f>
        <v>Ջասթին Թրյուդո.</v>
      </c>
    </row>
    <row r="5870">
      <c r="A5870" s="5" t="s">
        <v>8014</v>
      </c>
      <c r="B5870" s="5" t="s">
        <v>8174</v>
      </c>
      <c r="C5870" s="5" t="str">
        <f>IFERROR(__xludf.DUMMYFUNCTION("GOOGLETRANSLATE(A5870,""en"",""hy"")"),"Քանի՞ խաղացող կա բասկետբոլի թիմում:")</f>
        <v>Քանի՞ խաղացող կա բասկետբոլի թիմում:</v>
      </c>
      <c r="D5870" s="6" t="str">
        <f>IFERROR(__xludf.DUMMYFUNCTION("GOOGLETRANSLATE(B5870,""en"",""hy"")"),"Բասկետբոլի թիմում հինգ խաղացող կա:")</f>
        <v>Բասկետբոլի թիմում հինգ խաղացող կա:</v>
      </c>
    </row>
    <row r="5871">
      <c r="A5871" s="5" t="s">
        <v>8179</v>
      </c>
      <c r="B5871" s="5" t="s">
        <v>7723</v>
      </c>
      <c r="C5871" s="5" t="str">
        <f>IFERROR(__xludf.DUMMYFUNCTION("GOOGLETRANSLATE(A5871,""en"",""hy"")"),"Ո՞րն է Աֆրիկայի ամենաբարձր լեռը:")</f>
        <v>Ո՞րն է Աֆրիկայի ամենաբարձր լեռը:</v>
      </c>
      <c r="D5871" s="6" t="str">
        <f>IFERROR(__xludf.DUMMYFUNCTION("GOOGLETRANSLATE(B5871,""en"",""hy"")"),"Կիլիմանջարո լեռ.")</f>
        <v>Կիլիմանջարո լեռ.</v>
      </c>
    </row>
    <row r="5872">
      <c r="A5872" s="5" t="s">
        <v>8439</v>
      </c>
      <c r="B5872" s="5" t="s">
        <v>7621</v>
      </c>
      <c r="C5872" s="5" t="str">
        <f>IFERROR(__xludf.DUMMYFUNCTION("GOOGLETRANSLATE(A5872,""en"",""hy"")"),"Ո՞վ է նկարել «Վեներայի ծնունդը» նկարը:")</f>
        <v>Ո՞վ է նկարել «Վեներայի ծնունդը» նկարը:</v>
      </c>
      <c r="D5872" s="6" t="str">
        <f>IFERROR(__xludf.DUMMYFUNCTION("GOOGLETRANSLATE(B5872,""en"",""hy"")"),"Սանդրո Բոտիչելի.")</f>
        <v>Սանդրո Բոտիչելի.</v>
      </c>
    </row>
    <row r="5873">
      <c r="A5873" s="5" t="s">
        <v>7589</v>
      </c>
      <c r="B5873" s="5" t="s">
        <v>7545</v>
      </c>
      <c r="C5873" s="5" t="str">
        <f>IFERROR(__xludf.DUMMYFUNCTION("GOOGLETRANSLATE(A5873,""en"",""hy"")"),"Ո՞րն է Իտալիայի մայրաքաղաքը:")</f>
        <v>Ո՞րն է Իտալիայի մայրաքաղաքը:</v>
      </c>
      <c r="D5873" s="6" t="str">
        <f>IFERROR(__xludf.DUMMYFUNCTION("GOOGLETRANSLATE(B5873,""en"",""hy"")"),"Հռոմ.")</f>
        <v>Հռոմ.</v>
      </c>
    </row>
    <row r="5874">
      <c r="A5874" s="5" t="s">
        <v>8903</v>
      </c>
      <c r="B5874" s="5" t="s">
        <v>8904</v>
      </c>
      <c r="C5874" s="5" t="str">
        <f>IFERROR(__xludf.DUMMYFUNCTION("GOOGLETRANSLATE(A5874,""en"",""hy"")"),"Ո՞վ է գրել «Ճանճերի տիրակալը» վեպը։")</f>
        <v>Ո՞վ է գրել «Ճանճերի տիրակալը» վեպը։</v>
      </c>
      <c r="D5874" s="6" t="str">
        <f>IFERROR(__xludf.DUMMYFUNCTION("GOOGLETRANSLATE(B5874,""en"",""hy"")"),"Ուիլյամ Գոլդինգ")</f>
        <v>Ուիլյամ Գոլդինգ</v>
      </c>
    </row>
    <row r="5875">
      <c r="A5875" s="5" t="s">
        <v>8532</v>
      </c>
      <c r="B5875" s="5" t="s">
        <v>7712</v>
      </c>
      <c r="C5875" s="5" t="str">
        <f>IFERROR(__xludf.DUMMYFUNCTION("GOOGLETRANSLATE(A5875,""en"",""hy"")"),"Ո՞րն է ԱՄՆ-ի ամենամեծ քաղաքն ըստ բնակչության:")</f>
        <v>Ո՞րն է ԱՄՆ-ի ամենամեծ քաղաքն ըստ բնակչության:</v>
      </c>
      <c r="D5875" s="6" t="str">
        <f>IFERROR(__xludf.DUMMYFUNCTION("GOOGLETRANSLATE(B5875,""en"",""hy"")"),"Նյու Յորք քաղաք.")</f>
        <v>Նյու Յորք քաղաք.</v>
      </c>
    </row>
    <row r="5876">
      <c r="A5876" s="5" t="s">
        <v>8905</v>
      </c>
      <c r="B5876" s="5" t="s">
        <v>8906</v>
      </c>
      <c r="C5876" s="5" t="str">
        <f>IFERROR(__xludf.DUMMYFUNCTION("GOOGLETRANSLATE(A5876,""en"",""hy"")"),"Ո՞րն է Գերմանիայի ազգային ծաղիկը:")</f>
        <v>Ո՞րն է Գերմանիայի ազգային ծաղիկը:</v>
      </c>
      <c r="D5876" s="6" t="str">
        <f>IFERROR(__xludf.DUMMYFUNCTION("GOOGLETRANSLATE(B5876,""en"",""hy"")"),"Գերմանիայի ազգային ծաղիկը եգիպտացորենն է։")</f>
        <v>Գերմանիայի ազգային ծաղիկը եգիպտացորենն է։</v>
      </c>
    </row>
    <row r="5877">
      <c r="A5877" s="5" t="s">
        <v>8907</v>
      </c>
      <c r="B5877" s="5" t="s">
        <v>3535</v>
      </c>
      <c r="C5877" s="5" t="str">
        <f>IFERROR(__xludf.DUMMYFUNCTION("GOOGLETRANSLATE(A5877,""en"",""hy"")"),"Ո՞ր երկրում է գտնվում Սիդնեյի օպերային թատրոնը:")</f>
        <v>Ո՞ր երկրում է գտնվում Սիդնեյի օպերային թատրոնը:</v>
      </c>
      <c r="D5877" s="6" t="str">
        <f>IFERROR(__xludf.DUMMYFUNCTION("GOOGLETRANSLATE(B5877,""en"",""hy"")"),"Ավստրալիա.")</f>
        <v>Ավստրալիա.</v>
      </c>
    </row>
    <row r="5878">
      <c r="A5878" s="5" t="s">
        <v>8908</v>
      </c>
      <c r="B5878" s="5" t="s">
        <v>8909</v>
      </c>
      <c r="C5878" s="5" t="str">
        <f>IFERROR(__xludf.DUMMYFUNCTION("GOOGLETRANSLATE(A5878,""en"",""hy"")"),"Ո՞վ է «Սառույցի և կրակի երգը» գրքի գլխավոր հերոսը:")</f>
        <v>Ո՞վ է «Սառույցի և կրակի երգը» գրքի գլխավոր հերոսը:</v>
      </c>
      <c r="D5878" s="6" t="str">
        <f>IFERROR(__xludf.DUMMYFUNCTION("GOOGLETRANSLATE(B5878,""en"",""hy"")"),"«Սառույցի և կրակի երգը» գրքաշարի գլխավոր հերոսը Ջոն Սնոուն է։")</f>
        <v>«Սառույցի և կրակի երգը» գրքաշարի գլխավոր հերոսը Ջոն Սնոուն է։</v>
      </c>
    </row>
    <row r="5879">
      <c r="A5879" s="5" t="s">
        <v>8910</v>
      </c>
      <c r="B5879" s="5" t="s">
        <v>8911</v>
      </c>
      <c r="C5879" s="5" t="str">
        <f>IFERROR(__xludf.DUMMYFUNCTION("GOOGLETRANSLATE(A5879,""en"",""hy"")"),"Ո՞րն է Եվրոպայի ամենամեծ երկիրը ցամաքային տարածքով:")</f>
        <v>Ո՞րն է Եվրոպայի ամենամեծ երկիրը ցամաքային տարածքով:</v>
      </c>
      <c r="D5879" s="6" t="str">
        <f>IFERROR(__xludf.DUMMYFUNCTION("GOOGLETRANSLATE(B5879,""en"",""hy"")"),"Ցամաքային տարածքով Եվրոպայի ամենամեծ երկիրը Ռուսաստանն է։")</f>
        <v>Ցամաքային տարածքով Եվրոպայի ամենամեծ երկիրը Ռուսաստանն է։</v>
      </c>
    </row>
    <row r="5880">
      <c r="A5880" s="5" t="s">
        <v>8912</v>
      </c>
      <c r="B5880" s="5" t="s">
        <v>8714</v>
      </c>
      <c r="C5880" s="5" t="str">
        <f>IFERROR(__xludf.DUMMYFUNCTION("GOOGLETRANSLATE(A5880,""en"",""hy"")"),"Ո՞վ էր առաջին կին տիեզերագնացը, ով ճանապարհորդեց տիեզերք:")</f>
        <v>Ո՞վ էր առաջին կին տիեզերագնացը, ով ճանապարհորդեց տիեզերք:</v>
      </c>
      <c r="D5880" s="6" t="str">
        <f>IFERROR(__xludf.DUMMYFUNCTION("GOOGLETRANSLATE(B5880,""en"",""hy"")"),"Վալենտինա Տերեշկովա")</f>
        <v>Վալենտինա Տերեշկովա</v>
      </c>
    </row>
    <row r="5881">
      <c r="A5881" s="5" t="s">
        <v>7450</v>
      </c>
      <c r="B5881" s="5" t="s">
        <v>7451</v>
      </c>
      <c r="C5881" s="5" t="str">
        <f>IFERROR(__xludf.DUMMYFUNCTION("GOOGLETRANSLATE(A5881,""en"",""hy"")"),"Ո՞րն է Ավստրալիայի մայրաքաղաքը:")</f>
        <v>Ո՞րն է Ավստրալիայի մայրաքաղաքը:</v>
      </c>
      <c r="D5881" s="6" t="str">
        <f>IFERROR(__xludf.DUMMYFUNCTION("GOOGLETRANSLATE(B5881,""en"",""hy"")"),"Կանբերա.")</f>
        <v>Կանբերա.</v>
      </c>
    </row>
    <row r="5882">
      <c r="A5882" s="5" t="s">
        <v>7769</v>
      </c>
      <c r="B5882" s="5" t="s">
        <v>7486</v>
      </c>
      <c r="C5882" s="5" t="str">
        <f>IFERROR(__xludf.DUMMYFUNCTION("GOOGLETRANSLATE(A5882,""en"",""hy"")"),"Ո՞վ է Հարրի Փոթերի գրքերի շարքի հեղինակը:")</f>
        <v>Ո՞վ է Հարրի Փոթերի գրքերի շարքի հեղինակը:</v>
      </c>
      <c r="D5882" s="6" t="str">
        <f>IFERROR(__xludf.DUMMYFUNCTION("GOOGLETRANSLATE(B5882,""en"",""hy"")"),"Ջ.Կ. Ռոուլինգ.")</f>
        <v>Ջ.Կ. Ռոուլինգ.</v>
      </c>
    </row>
    <row r="5883">
      <c r="A5883" s="5" t="s">
        <v>7632</v>
      </c>
      <c r="B5883" s="5" t="s">
        <v>7633</v>
      </c>
      <c r="C5883" s="5" t="str">
        <f>IFERROR(__xludf.DUMMYFUNCTION("GOOGLETRANSLATE(A5883,""en"",""hy"")"),"Ո՞րն է մեր արեգակնային համակարգի ամենամեծ մոլորակը:")</f>
        <v>Ո՞րն է մեր արեգակնային համակարգի ամենամեծ մոլորակը:</v>
      </c>
      <c r="D5883" s="6" t="str">
        <f>IFERROR(__xludf.DUMMYFUNCTION("GOOGLETRANSLATE(B5883,""en"",""hy"")"),"Յուպիտեր.")</f>
        <v>Յուպիտեր.</v>
      </c>
    </row>
    <row r="5884">
      <c r="A5884" s="5" t="s">
        <v>7447</v>
      </c>
      <c r="B5884" s="5" t="s">
        <v>7448</v>
      </c>
      <c r="C5884" s="5" t="str">
        <f>IFERROR(__xludf.DUMMYFUNCTION("GOOGLETRANSLATE(A5884,""en"",""hy"")"),"Ո՞վ է նկարել Մոնա Լիզան:")</f>
        <v>Ո՞վ է նկարել Մոնա Լիզան:</v>
      </c>
      <c r="D5884" s="6" t="str">
        <f>IFERROR(__xludf.DUMMYFUNCTION("GOOGLETRANSLATE(B5884,""en"",""hy"")"),"Լեոնարդո դա Վինչի.")</f>
        <v>Լեոնարդո դա Վինչի.</v>
      </c>
    </row>
    <row r="5885">
      <c r="A5885" s="5" t="s">
        <v>8913</v>
      </c>
      <c r="B5885" s="5" t="s">
        <v>7453</v>
      </c>
      <c r="C5885" s="5" t="str">
        <f>IFERROR(__xludf.DUMMYFUNCTION("GOOGLETRANSLATE(A5885,""en"",""hy"")"),"Ո՞րն է ոսկու տարրի քիմիական նշանը:")</f>
        <v>Ո՞րն է ոսկու տարրի քիմիական նշանը:</v>
      </c>
      <c r="D5885" s="6" t="str">
        <f>IFERROR(__xludf.DUMMYFUNCTION("GOOGLETRANSLATE(B5885,""en"",""hy"")"),"Ոսկու քիմիական նշանը Au-ն է:")</f>
        <v>Ոսկու քիմիական նշանը Au-ն է:</v>
      </c>
    </row>
    <row r="5886">
      <c r="A5886" s="5" t="s">
        <v>7463</v>
      </c>
      <c r="B5886" s="5" t="s">
        <v>7464</v>
      </c>
      <c r="C5886" s="5" t="str">
        <f>IFERROR(__xludf.DUMMYFUNCTION("GOOGLETRANSLATE(A5886,""en"",""hy"")"),"Ո՞րն է աշխարհի ամենաբարձր լեռը:")</f>
        <v>Ո՞րն է աշխարհի ամենաբարձր լեռը:</v>
      </c>
      <c r="D5886" s="6" t="str">
        <f>IFERROR(__xludf.DUMMYFUNCTION("GOOGLETRANSLATE(B5886,""en"",""hy"")"),"Էվերեստ լեռ.")</f>
        <v>Էվերեստ լեռ.</v>
      </c>
    </row>
    <row r="5887">
      <c r="A5887" s="5" t="s">
        <v>8914</v>
      </c>
      <c r="B5887" s="5" t="s">
        <v>7576</v>
      </c>
      <c r="C5887" s="5" t="str">
        <f>IFERROR(__xludf.DUMMYFUNCTION("GOOGLETRANSLATE(A5887,""en"",""hy"")"),"Քանի՞ գույն կա ծիածանի մեջ:")</f>
        <v>Քանի՞ գույն կա ծիածանի մեջ:</v>
      </c>
      <c r="D5887" s="6" t="str">
        <f>IFERROR(__xludf.DUMMYFUNCTION("GOOGLETRANSLATE(B5887,""en"",""hy"")"),"Ծիածանի մեջ յոթ գույն կա:")</f>
        <v>Ծիածանի մեջ յոթ գույն կա:</v>
      </c>
    </row>
    <row r="5888">
      <c r="A5888" s="5" t="s">
        <v>7454</v>
      </c>
      <c r="B5888" s="5" t="s">
        <v>1016</v>
      </c>
      <c r="C5888" s="5" t="str">
        <f>IFERROR(__xludf.DUMMYFUNCTION("GOOGLETRANSLATE(A5888,""en"",""hy"")"),"Ո՞վ է գրել Ռոմեո և Ջուլիետ պիեսը:")</f>
        <v>Ո՞վ է գրել Ռոմեո և Ջուլիետ պիեսը:</v>
      </c>
      <c r="D5888" s="6" t="str">
        <f>IFERROR(__xludf.DUMMYFUNCTION("GOOGLETRANSLATE(B5888,""en"",""hy"")"),"Ուիլյամ Շեքսպիր.")</f>
        <v>Ուիլյամ Շեքսպիր.</v>
      </c>
    </row>
    <row r="5889">
      <c r="A5889" s="5" t="s">
        <v>7480</v>
      </c>
      <c r="B5889" s="5" t="s">
        <v>8688</v>
      </c>
      <c r="C5889" s="5" t="str">
        <f>IFERROR(__xludf.DUMMYFUNCTION("GOOGLETRANSLATE(A5889,""en"",""hy"")"),"Ո՞րն է Միացյալ Նահանգների ազգային թռչունը:")</f>
        <v>Ո՞րն է Միացյալ Նահանգների ազգային թռչունը:</v>
      </c>
      <c r="D5889" s="6" t="str">
        <f>IFERROR(__xludf.DUMMYFUNCTION("GOOGLETRANSLATE(B5889,""en"",""hy"")"),"Միացյալ Նահանգների ազգային թռչունը ճաղատ արծիվն է:")</f>
        <v>Միացյալ Նահանգների ազգային թռչունը ճաղատ արծիվն է:</v>
      </c>
    </row>
    <row r="5890">
      <c r="A5890" s="5" t="s">
        <v>8915</v>
      </c>
      <c r="B5890" s="5" t="s">
        <v>8916</v>
      </c>
      <c r="C5890" s="5" t="str">
        <f>IFERROR(__xludf.DUMMYFUNCTION("GOOGLETRANSLATE(A5890,""en"",""hy"")"),"Ո՞ր դերասանն է մարմնավորել Թոնի Սթարքի կերպարը Marvel Cinematic Universe-ում:")</f>
        <v>Ո՞ր դերասանն է մարմնավորել Թոնի Սթարքի կերպարը Marvel Cinematic Universe-ում:</v>
      </c>
      <c r="D5890" s="6" t="str">
        <f>IFERROR(__xludf.DUMMYFUNCTION("GOOGLETRANSLATE(B5890,""en"",""hy"")"),"Ռոբերտ Դաունի կրտսերը")</f>
        <v>Ռոբերտ Դաունի կրտսերը</v>
      </c>
    </row>
    <row r="5891">
      <c r="A5891" s="5" t="s">
        <v>7920</v>
      </c>
      <c r="B5891" s="5" t="s">
        <v>7921</v>
      </c>
      <c r="C5891" s="5" t="str">
        <f>IFERROR(__xludf.DUMMYFUNCTION("GOOGLETRANSLATE(A5891,""en"",""hy"")"),"Ո՞ր երկրում է գտնվում Թաջ Մահալը:")</f>
        <v>Ո՞ր երկրում է գտնվում Թաջ Մահալը:</v>
      </c>
      <c r="D5891" s="6" t="str">
        <f>IFERROR(__xludf.DUMMYFUNCTION("GOOGLETRANSLATE(B5891,""en"",""hy"")"),"Հնդկաստան.")</f>
        <v>Հնդկաստան.</v>
      </c>
    </row>
    <row r="5892">
      <c r="A5892" s="5" t="s">
        <v>8106</v>
      </c>
      <c r="B5892" s="5" t="s">
        <v>7916</v>
      </c>
      <c r="C5892" s="5" t="str">
        <f>IFERROR(__xludf.DUMMYFUNCTION("GOOGLETRANSLATE(A5892,""en"",""hy"")"),"Քանի՞ ոսկոր կա մարդու մարմնում:")</f>
        <v>Քանի՞ ոսկոր կա մարդու մարմնում:</v>
      </c>
      <c r="D5892" s="6" t="str">
        <f>IFERROR(__xludf.DUMMYFUNCTION("GOOGLETRANSLATE(B5892,""en"",""hy"")"),"Մարդու մարմնում կա 206 ոսկոր։")</f>
        <v>Մարդու մարմնում կա 206 ոսկոր։</v>
      </c>
    </row>
    <row r="5893">
      <c r="A5893" s="5" t="s">
        <v>7645</v>
      </c>
      <c r="B5893" s="5" t="s">
        <v>8336</v>
      </c>
      <c r="C5893" s="5" t="str">
        <f>IFERROR(__xludf.DUMMYFUNCTION("GOOGLETRANSLATE(A5893,""en"",""hy"")"),"Ո՞րն է Երկրի ամենամեծ օվկիանոսը:")</f>
        <v>Ո՞րն է Երկրի ամենամեծ օվկիանոսը:</v>
      </c>
      <c r="D5893" s="6" t="str">
        <f>IFERROR(__xludf.DUMMYFUNCTION("GOOGLETRANSLATE(B5893,""en"",""hy"")"),"Երկրի ամենամեծ օվկիանոսը Խաղաղ օվկիանոսն է։")</f>
        <v>Երկրի ամենամեծ օվկիանոսը Խաղաղ օվկիանոսն է։</v>
      </c>
    </row>
    <row r="5894">
      <c r="A5894" s="5" t="s">
        <v>8917</v>
      </c>
      <c r="B5894" s="5" t="s">
        <v>8038</v>
      </c>
      <c r="C5894" s="5" t="str">
        <f>IFERROR(__xludf.DUMMYFUNCTION("GOOGLETRANSLATE(A5894,""en"",""hy"")"),"Ո՞վ է հորինել 9-րդ սիմֆոնիան ռե մինոր, որը հայտնի է նաև որպես Բեթհովենի 9-րդ սիմֆոնիա։")</f>
        <v>Ո՞վ է հորինել 9-րդ սիմֆոնիան ռե մինոր, որը հայտնի է նաև որպես Բեթհովենի 9-րդ սիմֆոնիա։</v>
      </c>
      <c r="D5894" s="6" t="str">
        <f>IFERROR(__xludf.DUMMYFUNCTION("GOOGLETRANSLATE(B5894,""en"",""hy"")"),"Լյուդվիգ վան Բեթհովեն.")</f>
        <v>Լյուդվիգ վան Բեթհովեն.</v>
      </c>
    </row>
    <row r="5895">
      <c r="A5895" s="5" t="s">
        <v>8103</v>
      </c>
      <c r="B5895" s="5" t="s">
        <v>8727</v>
      </c>
      <c r="C5895" s="5" t="str">
        <f>IFERROR(__xludf.DUMMYFUNCTION("GOOGLETRANSLATE(A5895,""en"",""hy"")"),"Ո՞րն է Աֆրիկայի ամենաերկար գետը:")</f>
        <v>Ո՞րն է Աֆրիկայի ամենաերկար գետը:</v>
      </c>
      <c r="D5895" s="6" t="str">
        <f>IFERROR(__xludf.DUMMYFUNCTION("GOOGLETRANSLATE(B5895,""en"",""hy"")"),"Աֆրիկայի ամենաերկար գետը Նեղոս գետն է։")</f>
        <v>Աֆրիկայի ամենաերկար գետը Նեղոս գետն է։</v>
      </c>
    </row>
    <row r="5896">
      <c r="A5896" s="5" t="s">
        <v>7779</v>
      </c>
      <c r="B5896" s="5" t="s">
        <v>7446</v>
      </c>
      <c r="C5896" s="5" t="str">
        <f>IFERROR(__xludf.DUMMYFUNCTION("GOOGLETRANSLATE(A5896,""en"",""hy"")"),"Ո՞ր մոլորակն է հայտնի որպես «Կարմիր մոլորակ»:")</f>
        <v>Ո՞ր մոլորակն է հայտնի որպես «Կարմիր մոլորակ»:</v>
      </c>
      <c r="D5896" s="6" t="str">
        <f>IFERROR(__xludf.DUMMYFUNCTION("GOOGLETRANSLATE(B5896,""en"",""hy"")"),"Մարս.")</f>
        <v>Մարս.</v>
      </c>
    </row>
    <row r="5897">
      <c r="A5897" s="5" t="s">
        <v>8918</v>
      </c>
      <c r="B5897" s="5" t="s">
        <v>7635</v>
      </c>
      <c r="C5897" s="5" t="str">
        <f>IFERROR(__xludf.DUMMYFUNCTION("GOOGLETRANSLATE(A5897,""en"",""hy"")"),"Ո՞վ է եղել առաջին ամերիկացի տիեզերագնացը, ով քայլել է Լուսնի վրա:")</f>
        <v>Ո՞վ է եղել առաջին ամերիկացի տիեզերագնացը, ով քայլել է Լուսնի վրա:</v>
      </c>
      <c r="D5897" s="6" t="str">
        <f>IFERROR(__xludf.DUMMYFUNCTION("GOOGLETRANSLATE(B5897,""en"",""hy"")"),"Նիլ Արմսթրոնգ.")</f>
        <v>Նիլ Արմսթրոնգ.</v>
      </c>
    </row>
    <row r="5898">
      <c r="A5898" s="5" t="s">
        <v>7483</v>
      </c>
      <c r="B5898" s="5" t="s">
        <v>8295</v>
      </c>
      <c r="C5898" s="5" t="str">
        <f>IFERROR(__xludf.DUMMYFUNCTION("GOOGLETRANSLATE(A5898,""en"",""hy"")"),"Ո՞րն է ջրի քիմիական բանաձևը:")</f>
        <v>Ո՞րն է ջրի քիմիական բանաձևը:</v>
      </c>
      <c r="D5898" s="6" t="str">
        <f>IFERROR(__xludf.DUMMYFUNCTION("GOOGLETRANSLATE(B5898,""en"",""hy"")"),"H2O")</f>
        <v>H2O</v>
      </c>
    </row>
    <row r="5899">
      <c r="A5899" s="5" t="s">
        <v>8919</v>
      </c>
      <c r="B5899" s="5" t="s">
        <v>7648</v>
      </c>
      <c r="C5899" s="5" t="str">
        <f>IFERROR(__xludf.DUMMYFUNCTION("GOOGLETRANSLATE(A5899,""en"",""hy"")"),"Ո՞վ է նկարել հայտնի արվեստի գործը, որը կոչվում է «Աստղային գիշեր»:")</f>
        <v>Ո՞վ է նկարել հայտնի արվեստի գործը, որը կոչվում է «Աստղային գիշեր»:</v>
      </c>
      <c r="D5899" s="6" t="str">
        <f>IFERROR(__xludf.DUMMYFUNCTION("GOOGLETRANSLATE(B5899,""en"",""hy"")"),"Վինսենթ վան Գոգ.")</f>
        <v>Վինսենթ վան Գոգ.</v>
      </c>
    </row>
    <row r="5900">
      <c r="A5900" s="5" t="s">
        <v>7845</v>
      </c>
      <c r="B5900" s="5" t="s">
        <v>3533</v>
      </c>
      <c r="C5900" s="5" t="str">
        <f>IFERROR(__xludf.DUMMYFUNCTION("GOOGLETRANSLATE(A5900,""en"",""hy"")"),"Ո՞րն է Բրազիլիայի պաշտոնական լեզուն:")</f>
        <v>Ո՞րն է Բրազիլիայի պաշտոնական լեզուն:</v>
      </c>
      <c r="D5900" s="6" t="str">
        <f>IFERROR(__xludf.DUMMYFUNCTION("GOOGLETRANSLATE(B5900,""en"",""hy"")"),"Բրազիլիայի պաշտոնական լեզուն պորտուգալերենն է։")</f>
        <v>Բրազիլիայի պաշտոնական լեզուն պորտուգալերենն է։</v>
      </c>
    </row>
    <row r="5901">
      <c r="A5901" s="5" t="s">
        <v>8920</v>
      </c>
      <c r="B5901" s="5" t="s">
        <v>8405</v>
      </c>
      <c r="C5901" s="5" t="str">
        <f>IFERROR(__xludf.DUMMYFUNCTION("GOOGLETRANSLATE(A5901,""en"",""hy"")"),"Հունական դիցաբանության մեջ ո՞վ է աստվածների արքան:")</f>
        <v>Հունական դիցաբանության մեջ ո՞վ է աստվածների արքան:</v>
      </c>
      <c r="D5901" s="6" t="str">
        <f>IFERROR(__xludf.DUMMYFUNCTION("GOOGLETRANSLATE(B5901,""en"",""hy"")"),"Զևս.")</f>
        <v>Զևս.</v>
      </c>
    </row>
    <row r="5902">
      <c r="A5902" s="5" t="s">
        <v>7787</v>
      </c>
      <c r="B5902" s="5" t="s">
        <v>7788</v>
      </c>
      <c r="C5902" s="5" t="str">
        <f>IFERROR(__xludf.DUMMYFUNCTION("GOOGLETRANSLATE(A5902,""en"",""hy"")"),"Ո՞րն է շնաձկան ամենամեծ տեսակը:")</f>
        <v>Ո՞րն է շնաձկան ամենամեծ տեսակը:</v>
      </c>
      <c r="D5902" s="6" t="str">
        <f>IFERROR(__xludf.DUMMYFUNCTION("GOOGLETRANSLATE(B5902,""en"",""hy"")"),"Շնաձկների ամենամեծ տեսակը կետ շնաձուկն է։")</f>
        <v>Շնաձկների ամենամեծ տեսակը կետ շնաձուկն է։</v>
      </c>
    </row>
    <row r="5903">
      <c r="A5903" s="5" t="s">
        <v>7566</v>
      </c>
      <c r="B5903" s="5" t="s">
        <v>7567</v>
      </c>
      <c r="C5903" s="5" t="str">
        <f>IFERROR(__xludf.DUMMYFUNCTION("GOOGLETRANSLATE(A5903,""en"",""hy"")"),"Ո՞վ է Կանադայի ներկայիս վարչապետը:")</f>
        <v>Ո՞վ է Կանադայի ներկայիս վարչապետը:</v>
      </c>
      <c r="D5903" s="6" t="str">
        <f>IFERROR(__xludf.DUMMYFUNCTION("GOOGLETRANSLATE(B5903,""en"",""hy"")"),"Ջասթին Թրյուդո")</f>
        <v>Ջասթին Թրյուդո</v>
      </c>
    </row>
    <row r="5904">
      <c r="A5904" s="5" t="s">
        <v>8921</v>
      </c>
      <c r="B5904" s="5" t="s">
        <v>8922</v>
      </c>
      <c r="C5904" s="5" t="str">
        <f>IFERROR(__xludf.DUMMYFUNCTION("GOOGLETRANSLATE(A5904,""en"",""hy"")"),"Ո՞վ խաղաց «Կարիբյան ծովի ծովահենները» ֆիլմում կապիտան Ջեք Ճնճղուկի կերպարը:")</f>
        <v>Ո՞վ խաղաց «Կարիբյան ծովի ծովահենները» ֆիլմում կապիտան Ջեք Ճնճղուկի կերպարը:</v>
      </c>
      <c r="D5904" s="6" t="str">
        <f>IFERROR(__xludf.DUMMYFUNCTION("GOOGLETRANSLATE(B5904,""en"",""hy"")"),"Ջոնի Դեփ.")</f>
        <v>Ջոնի Դեփ.</v>
      </c>
    </row>
    <row r="5905">
      <c r="A5905" s="5" t="s">
        <v>7681</v>
      </c>
      <c r="B5905" s="5" t="s">
        <v>8024</v>
      </c>
      <c r="C5905" s="5" t="str">
        <f>IFERROR(__xludf.DUMMYFUNCTION("GOOGLETRANSLATE(A5905,""en"",""hy"")"),"Ո՞րն է աշխարհի ամենաբարձր կաթնասունը:")</f>
        <v>Ո՞րն է աշխարհի ամենաբարձր կաթնասունը:</v>
      </c>
      <c r="D5905" s="6" t="str">
        <f>IFERROR(__xludf.DUMMYFUNCTION("GOOGLETRANSLATE(B5905,""en"",""hy"")"),"Ընձուղտը.")</f>
        <v>Ընձուղտը.</v>
      </c>
    </row>
    <row r="5906">
      <c r="A5906" s="5" t="s">
        <v>7946</v>
      </c>
      <c r="B5906" s="5" t="s">
        <v>8111</v>
      </c>
      <c r="C5906" s="5" t="str">
        <f>IFERROR(__xludf.DUMMYFUNCTION("GOOGLETRANSLATE(A5906,""en"",""hy"")"),"Քանի՞ խաղացող կա ֆուտբոլային թիմում:")</f>
        <v>Քանի՞ խաղացող կա ֆուտբոլային թիմում:</v>
      </c>
      <c r="D5906" s="6" t="str">
        <f>IFERROR(__xludf.DUMMYFUNCTION("GOOGLETRANSLATE(B5906,""en"",""hy"")"),"Ֆուտբոլային թիմում կա 11 խաղացող։")</f>
        <v>Ֆուտբոլային թիմում կա 11 խաղացող։</v>
      </c>
    </row>
    <row r="5907">
      <c r="A5907" s="5" t="s">
        <v>7528</v>
      </c>
      <c r="B5907" s="5" t="s">
        <v>7529</v>
      </c>
      <c r="C5907" s="5" t="str">
        <f>IFERROR(__xludf.DUMMYFUNCTION("GOOGLETRANSLATE(A5907,""en"",""hy"")"),"Ո՞վ է Գերմանիայի ներկայիս կանցլերը:")</f>
        <v>Ո՞վ է Գերմանիայի ներկայիս կանցլերը:</v>
      </c>
      <c r="D5907" s="6" t="str">
        <f>IFERROR(__xludf.DUMMYFUNCTION("GOOGLETRANSLATE(B5907,""en"",""hy"")"),"Անգելա Մերկել.")</f>
        <v>Անգելա Մերկել.</v>
      </c>
    </row>
    <row r="5908">
      <c r="A5908" s="5" t="s">
        <v>8923</v>
      </c>
      <c r="B5908" s="5" t="s">
        <v>8924</v>
      </c>
      <c r="C5908" s="5" t="str">
        <f>IFERROR(__xludf.DUMMYFUNCTION("GOOGLETRANSLATE(A5908,""en"",""hy"")"),"Ո՞րն է ԱՄՆ-ի ամենաերկար գետը:")</f>
        <v>Ո՞րն է ԱՄՆ-ի ամենաերկար գետը:</v>
      </c>
      <c r="D5908" s="6" t="str">
        <f>IFERROR(__xludf.DUMMYFUNCTION("GOOGLETRANSLATE(B5908,""en"",""hy"")"),"ԱՄՆ-ի ամենաերկար գետը Միսսուրի գետն է։")</f>
        <v>ԱՄՆ-ի ամենաերկար գետը Միսսուրի գետն է։</v>
      </c>
    </row>
    <row r="5909">
      <c r="A5909" s="5" t="s">
        <v>8472</v>
      </c>
      <c r="B5909" s="5" t="s">
        <v>7466</v>
      </c>
      <c r="C5909" s="5" t="str">
        <f>IFERROR(__xludf.DUMMYFUNCTION("GOOGLETRANSLATE(A5909,""en"",""hy"")"),"Ո՞վ է «Հպարտություն և նախապաշարմունք» վեպի հեղինակը.")</f>
        <v>Ո՞վ է «Հպարտություն և նախապաշարմունք» վեպի հեղինակը.</v>
      </c>
      <c r="D5909" s="6" t="str">
        <f>IFERROR(__xludf.DUMMYFUNCTION("GOOGLETRANSLATE(B5909,""en"",""hy"")"),"Ջեյն Օսթին")</f>
        <v>Ջեյն Օսթին</v>
      </c>
    </row>
    <row r="5910">
      <c r="A5910" s="5" t="s">
        <v>8925</v>
      </c>
      <c r="B5910" s="5" t="s">
        <v>8926</v>
      </c>
      <c r="C5910" s="5" t="str">
        <f>IFERROR(__xludf.DUMMYFUNCTION("GOOGLETRANSLATE(A5910,""en"",""hy"")"),"Ո՞րն է երկաթ տարրի քիմիական նշանը:")</f>
        <v>Ո՞րն է երկաթ տարրի քիմիական նշանը:</v>
      </c>
      <c r="D5910" s="6" t="str">
        <f>IFERROR(__xludf.DUMMYFUNCTION("GOOGLETRANSLATE(B5910,""en"",""hy"")"),"Երկաթի տարրի քիմիական նշանը Fe է:")</f>
        <v>Երկաթի տարրի քիմիական նշանը Fe է:</v>
      </c>
    </row>
    <row r="5911">
      <c r="A5911" s="5" t="s">
        <v>8186</v>
      </c>
      <c r="B5911" s="5" t="s">
        <v>7512</v>
      </c>
      <c r="C5911" s="5" t="str">
        <f>IFERROR(__xludf.DUMMYFUNCTION("GOOGLETRANSLATE(A5911,""en"",""hy"")"),"Ո՞ր երկրում են գտնվում Գիզայի բուրգերը:")</f>
        <v>Ո՞ր երկրում են գտնվում Գիզայի բուրգերը:</v>
      </c>
      <c r="D5911" s="6" t="str">
        <f>IFERROR(__xludf.DUMMYFUNCTION("GOOGLETRANSLATE(B5911,""en"",""hy"")"),"Եգիպտոս.")</f>
        <v>Եգիպտոս.</v>
      </c>
    </row>
    <row r="5912">
      <c r="A5912" s="5" t="s">
        <v>8927</v>
      </c>
      <c r="B5912" s="5" t="s">
        <v>7648</v>
      </c>
      <c r="C5912" s="5" t="str">
        <f>IFERROR(__xludf.DUMMYFUNCTION("GOOGLETRANSLATE(A5912,""en"",""hy"")"),"Ո՞վ է նկարել «Աստղային գիշեր» կոչվող արվեստի գործը:")</f>
        <v>Ո՞վ է նկարել «Աստղային գիշեր» կոչվող արվեստի գործը:</v>
      </c>
      <c r="D5912" s="6" t="str">
        <f>IFERROR(__xludf.DUMMYFUNCTION("GOOGLETRANSLATE(B5912,""en"",""hy"")"),"Վինսենթ վան Գոգ.")</f>
        <v>Վինսենթ վան Գոգ.</v>
      </c>
    </row>
    <row r="5913">
      <c r="A5913" s="5" t="s">
        <v>7632</v>
      </c>
      <c r="B5913" s="5" t="s">
        <v>7633</v>
      </c>
      <c r="C5913" s="5" t="str">
        <f>IFERROR(__xludf.DUMMYFUNCTION("GOOGLETRANSLATE(A5913,""en"",""hy"")"),"Ո՞րն է մեր արեգակնային համակարգի ամենամեծ մոլորակը:")</f>
        <v>Ո՞րն է մեր արեգակնային համակարգի ամենամեծ մոլորակը:</v>
      </c>
      <c r="D5913" s="6" t="str">
        <f>IFERROR(__xludf.DUMMYFUNCTION("GOOGLETRANSLATE(B5913,""en"",""hy"")"),"Յուպիտեր.")</f>
        <v>Յուպիտեր.</v>
      </c>
    </row>
    <row r="5914">
      <c r="A5914" s="5" t="s">
        <v>7454</v>
      </c>
      <c r="B5914" s="5" t="s">
        <v>1016</v>
      </c>
      <c r="C5914" s="5" t="str">
        <f>IFERROR(__xludf.DUMMYFUNCTION("GOOGLETRANSLATE(A5914,""en"",""hy"")"),"Ո՞վ է գրել Ռոմեո և Ջուլիետ պիեսը:")</f>
        <v>Ո՞վ է գրել Ռոմեո և Ջուլիետ պիեսը:</v>
      </c>
      <c r="D5914" s="6" t="str">
        <f>IFERROR(__xludf.DUMMYFUNCTION("GOOGLETRANSLATE(B5914,""en"",""hy"")"),"Ուիլյամ Շեքսպիր.")</f>
        <v>Ուիլյամ Շեքսպիր.</v>
      </c>
    </row>
    <row r="5915">
      <c r="A5915" s="5" t="s">
        <v>7480</v>
      </c>
      <c r="B5915" s="5" t="s">
        <v>7481</v>
      </c>
      <c r="C5915" s="5" t="str">
        <f>IFERROR(__xludf.DUMMYFUNCTION("GOOGLETRANSLATE(A5915,""en"",""hy"")"),"Ո՞րն է Միացյալ Նահանգների ազգային թռչունը:")</f>
        <v>Ո՞րն է Միացյալ Նահանգների ազգային թռչունը:</v>
      </c>
      <c r="D5915" s="6" t="str">
        <f>IFERROR(__xludf.DUMMYFUNCTION("GOOGLETRANSLATE(B5915,""en"",""hy"")"),"Միացյալ Նահանգների ազգային թռչունը ճաղատ արծիվն է։")</f>
        <v>Միացյալ Նահանգների ազգային թռչունը ճաղատ արծիվն է։</v>
      </c>
    </row>
    <row r="5916">
      <c r="A5916" s="5" t="s">
        <v>8915</v>
      </c>
      <c r="B5916" s="5" t="s">
        <v>8916</v>
      </c>
      <c r="C5916" s="5" t="str">
        <f>IFERROR(__xludf.DUMMYFUNCTION("GOOGLETRANSLATE(A5916,""en"",""hy"")"),"Ո՞ր դերասանն է մարմնավորել Թոնի Սթարքի կերպարը Marvel Cinematic Universe-ում:")</f>
        <v>Ո՞ր դերասանն է մարմնավորել Թոնի Սթարքի կերպարը Marvel Cinematic Universe-ում:</v>
      </c>
      <c r="D5916" s="6" t="str">
        <f>IFERROR(__xludf.DUMMYFUNCTION("GOOGLETRANSLATE(B5916,""en"",""hy"")"),"Ռոբերտ Դաունի կրտսերը")</f>
        <v>Ռոբերտ Դաունի կրտսերը</v>
      </c>
    </row>
    <row r="5917">
      <c r="A5917" s="5" t="s">
        <v>7920</v>
      </c>
      <c r="B5917" s="5" t="s">
        <v>7921</v>
      </c>
      <c r="C5917" s="5" t="str">
        <f>IFERROR(__xludf.DUMMYFUNCTION("GOOGLETRANSLATE(A5917,""en"",""hy"")"),"Ո՞ր երկրում է գտնվում Թաջ Մահալը:")</f>
        <v>Ո՞ր երկրում է գտնվում Թաջ Մահալը:</v>
      </c>
      <c r="D5917" s="6" t="str">
        <f>IFERROR(__xludf.DUMMYFUNCTION("GOOGLETRANSLATE(B5917,""en"",""hy"")"),"Հնդկաստան.")</f>
        <v>Հնդկաստան.</v>
      </c>
    </row>
    <row r="5918">
      <c r="A5918" s="5" t="s">
        <v>8106</v>
      </c>
      <c r="B5918" s="5" t="s">
        <v>7916</v>
      </c>
      <c r="C5918" s="5" t="str">
        <f>IFERROR(__xludf.DUMMYFUNCTION("GOOGLETRANSLATE(A5918,""en"",""hy"")"),"Քանի՞ ոսկոր կա մարդու մարմնում:")</f>
        <v>Քանի՞ ոսկոր կա մարդու մարմնում:</v>
      </c>
      <c r="D5918" s="6" t="str">
        <f>IFERROR(__xludf.DUMMYFUNCTION("GOOGLETRANSLATE(B5918,""en"",""hy"")"),"Մարդու մարմնում կա 206 ոսկոր։")</f>
        <v>Մարդու մարմնում կա 206 ոսկոր։</v>
      </c>
    </row>
    <row r="5919">
      <c r="A5919" s="5" t="s">
        <v>7645</v>
      </c>
      <c r="B5919" s="5" t="s">
        <v>7646</v>
      </c>
      <c r="C5919" s="5" t="str">
        <f>IFERROR(__xludf.DUMMYFUNCTION("GOOGLETRANSLATE(A5919,""en"",""hy"")"),"Ո՞րն է Երկրի ամենամեծ օվկիանոսը:")</f>
        <v>Ո՞րն է Երկրի ամենամեծ օվկիանոսը:</v>
      </c>
      <c r="D5919" s="6" t="str">
        <f>IFERROR(__xludf.DUMMYFUNCTION("GOOGLETRANSLATE(B5919,""en"",""hy"")"),"Խաղաղ օվկիանոս.")</f>
        <v>Խաղաղ օվկիանոս.</v>
      </c>
    </row>
    <row r="5920">
      <c r="A5920" s="5" t="s">
        <v>8917</v>
      </c>
      <c r="B5920" s="5" t="s">
        <v>8038</v>
      </c>
      <c r="C5920" s="5" t="str">
        <f>IFERROR(__xludf.DUMMYFUNCTION("GOOGLETRANSLATE(A5920,""en"",""hy"")"),"Ո՞վ է հորինել 9-րդ սիմֆոնիան ռե մինոր, որը հայտնի է նաև որպես Բեթհովենի 9-րդ սիմֆոնիա։")</f>
        <v>Ո՞վ է հորինել 9-րդ սիմֆոնիան ռե մինոր, որը հայտնի է նաև որպես Բեթհովենի 9-րդ սիմֆոնիա։</v>
      </c>
      <c r="D5920" s="6" t="str">
        <f>IFERROR(__xludf.DUMMYFUNCTION("GOOGLETRANSLATE(B5920,""en"",""hy"")"),"Լյուդվիգ վան Բեթհովեն.")</f>
        <v>Լյուդվիգ վան Բեթհովեն.</v>
      </c>
    </row>
    <row r="5921">
      <c r="A5921" s="5" t="s">
        <v>8103</v>
      </c>
      <c r="B5921" s="5" t="s">
        <v>7767</v>
      </c>
      <c r="C5921" s="5" t="str">
        <f>IFERROR(__xludf.DUMMYFUNCTION("GOOGLETRANSLATE(A5921,""en"",""hy"")"),"Ո՞րն է Աֆրիկայի ամենաերկար գետը:")</f>
        <v>Ո՞րն է Աֆրիկայի ամենաերկար գետը:</v>
      </c>
      <c r="D5921" s="6" t="str">
        <f>IFERROR(__xludf.DUMMYFUNCTION("GOOGLETRANSLATE(B5921,""en"",""hy"")"),"Նեղոս.")</f>
        <v>Նեղոս.</v>
      </c>
    </row>
    <row r="5922">
      <c r="A5922" s="5" t="s">
        <v>7779</v>
      </c>
      <c r="B5922" s="5" t="s">
        <v>7446</v>
      </c>
      <c r="C5922" s="5" t="str">
        <f>IFERROR(__xludf.DUMMYFUNCTION("GOOGLETRANSLATE(A5922,""en"",""hy"")"),"Ո՞ր մոլորակն է հայտնի որպես «Կարմիր մոլորակ»:")</f>
        <v>Ո՞ր մոլորակն է հայտնի որպես «Կարմիր մոլորակ»:</v>
      </c>
      <c r="D5922" s="6" t="str">
        <f>IFERROR(__xludf.DUMMYFUNCTION("GOOGLETRANSLATE(B5922,""en"",""hy"")"),"Մարս.")</f>
        <v>Մարս.</v>
      </c>
    </row>
    <row r="5923">
      <c r="A5923" s="5" t="s">
        <v>8918</v>
      </c>
      <c r="B5923" s="5" t="s">
        <v>7635</v>
      </c>
      <c r="C5923" s="5" t="str">
        <f>IFERROR(__xludf.DUMMYFUNCTION("GOOGLETRANSLATE(A5923,""en"",""hy"")"),"Ո՞վ է եղել առաջին ամերիկացի տիեզերագնացը, ով քայլել է Լուսնի վրա:")</f>
        <v>Ո՞վ է եղել առաջին ամերիկացի տիեզերագնացը, ով քայլել է Լուսնի վրա:</v>
      </c>
      <c r="D5923" s="6" t="str">
        <f>IFERROR(__xludf.DUMMYFUNCTION("GOOGLETRANSLATE(B5923,""en"",""hy"")"),"Նիլ Արմսթրոնգ.")</f>
        <v>Նիլ Արմսթրոնգ.</v>
      </c>
    </row>
    <row r="5924">
      <c r="A5924" s="5" t="s">
        <v>7483</v>
      </c>
      <c r="B5924" s="5" t="s">
        <v>8295</v>
      </c>
      <c r="C5924" s="5" t="str">
        <f>IFERROR(__xludf.DUMMYFUNCTION("GOOGLETRANSLATE(A5924,""en"",""hy"")"),"Ո՞րն է ջրի քիմիական բանաձևը:")</f>
        <v>Ո՞րն է ջրի քիմիական բանաձևը:</v>
      </c>
      <c r="D5924" s="6" t="str">
        <f>IFERROR(__xludf.DUMMYFUNCTION("GOOGLETRANSLATE(B5924,""en"",""hy"")"),"H2O")</f>
        <v>H2O</v>
      </c>
    </row>
    <row r="5925">
      <c r="A5925" s="5" t="s">
        <v>8919</v>
      </c>
      <c r="B5925" s="5" t="s">
        <v>7648</v>
      </c>
      <c r="C5925" s="5" t="str">
        <f>IFERROR(__xludf.DUMMYFUNCTION("GOOGLETRANSLATE(A5925,""en"",""hy"")"),"Ո՞վ է նկարել հայտնի արվեստի գործը, որը կոչվում է «Աստղային գիշեր»:")</f>
        <v>Ո՞վ է նկարել հայտնի արվեստի գործը, որը կոչվում է «Աստղային գիշեր»:</v>
      </c>
      <c r="D5925" s="6" t="str">
        <f>IFERROR(__xludf.DUMMYFUNCTION("GOOGLETRANSLATE(B5925,""en"",""hy"")"),"Վինսենթ վան Գոգ.")</f>
        <v>Վինսենթ վան Գոգ.</v>
      </c>
    </row>
    <row r="5926">
      <c r="A5926" s="5" t="s">
        <v>7845</v>
      </c>
      <c r="B5926" s="5" t="s">
        <v>3533</v>
      </c>
      <c r="C5926" s="5" t="str">
        <f>IFERROR(__xludf.DUMMYFUNCTION("GOOGLETRANSLATE(A5926,""en"",""hy"")"),"Ո՞րն է Բրազիլիայի պաշտոնական լեզուն:")</f>
        <v>Ո՞րն է Բրազիլիայի պաշտոնական լեզուն:</v>
      </c>
      <c r="D5926" s="6" t="str">
        <f>IFERROR(__xludf.DUMMYFUNCTION("GOOGLETRANSLATE(B5926,""en"",""hy"")"),"Բրազիլիայի պաշտոնական լեզուն պորտուգալերենն է։")</f>
        <v>Բրազիլիայի պաշտոնական լեզուն պորտուգալերենն է։</v>
      </c>
    </row>
    <row r="5927">
      <c r="A5927" s="5" t="s">
        <v>8920</v>
      </c>
      <c r="B5927" s="5" t="s">
        <v>8405</v>
      </c>
      <c r="C5927" s="5" t="str">
        <f>IFERROR(__xludf.DUMMYFUNCTION("GOOGLETRANSLATE(A5927,""en"",""hy"")"),"Հունական դիցաբանության մեջ ո՞վ է աստվածների արքան:")</f>
        <v>Հունական դիցաբանության մեջ ո՞վ է աստվածների արքան:</v>
      </c>
      <c r="D5927" s="6" t="str">
        <f>IFERROR(__xludf.DUMMYFUNCTION("GOOGLETRANSLATE(B5927,""en"",""hy"")"),"Զևս.")</f>
        <v>Զևս.</v>
      </c>
    </row>
    <row r="5928">
      <c r="A5928" s="5" t="s">
        <v>7787</v>
      </c>
      <c r="B5928" s="5" t="s">
        <v>7788</v>
      </c>
      <c r="C5928" s="5" t="str">
        <f>IFERROR(__xludf.DUMMYFUNCTION("GOOGLETRANSLATE(A5928,""en"",""hy"")"),"Ո՞րն է շնաձկան ամենամեծ տեսակը:")</f>
        <v>Ո՞րն է շնաձկան ամենամեծ տեսակը:</v>
      </c>
      <c r="D5928" s="6" t="str">
        <f>IFERROR(__xludf.DUMMYFUNCTION("GOOGLETRANSLATE(B5928,""en"",""hy"")"),"Շնաձկների ամենամեծ տեսակը կետ շնաձուկն է։")</f>
        <v>Շնաձկների ամենամեծ տեսակը կետ շնաձուկն է։</v>
      </c>
    </row>
    <row r="5929">
      <c r="A5929" s="5" t="s">
        <v>7566</v>
      </c>
      <c r="B5929" s="5" t="s">
        <v>7567</v>
      </c>
      <c r="C5929" s="5" t="str">
        <f>IFERROR(__xludf.DUMMYFUNCTION("GOOGLETRANSLATE(A5929,""en"",""hy"")"),"Ո՞վ է Կանադայի ներկայիս վարչապետը:")</f>
        <v>Ո՞վ է Կանադայի ներկայիս վարչապետը:</v>
      </c>
      <c r="D5929" s="6" t="str">
        <f>IFERROR(__xludf.DUMMYFUNCTION("GOOGLETRANSLATE(B5929,""en"",""hy"")"),"Ջասթին Թրյուդո")</f>
        <v>Ջասթին Թրյուդո</v>
      </c>
    </row>
    <row r="5930">
      <c r="A5930" s="5" t="s">
        <v>8921</v>
      </c>
      <c r="B5930" s="5" t="s">
        <v>8922</v>
      </c>
      <c r="C5930" s="5" t="str">
        <f>IFERROR(__xludf.DUMMYFUNCTION("GOOGLETRANSLATE(A5930,""en"",""hy"")"),"Ո՞վ խաղաց «Կարիբյան ծովի ծովահենները» ֆիլմում կապիտան Ջեք Ճնճղուկի կերպարը:")</f>
        <v>Ո՞վ խաղաց «Կարիբյան ծովի ծովահենները» ֆիլմում կապիտան Ջեք Ճնճղուկի կերպարը:</v>
      </c>
      <c r="D5930" s="6" t="str">
        <f>IFERROR(__xludf.DUMMYFUNCTION("GOOGLETRANSLATE(B5930,""en"",""hy"")"),"Ջոնի Դեփ.")</f>
        <v>Ջոնի Դեփ.</v>
      </c>
    </row>
    <row r="5931">
      <c r="A5931" s="5" t="s">
        <v>7681</v>
      </c>
      <c r="B5931" s="5" t="s">
        <v>8024</v>
      </c>
      <c r="C5931" s="5" t="str">
        <f>IFERROR(__xludf.DUMMYFUNCTION("GOOGLETRANSLATE(A5931,""en"",""hy"")"),"Ո՞րն է աշխարհի ամենաբարձր կաթնասունը:")</f>
        <v>Ո՞րն է աշխարհի ամենաբարձր կաթնասունը:</v>
      </c>
      <c r="D5931" s="6" t="str">
        <f>IFERROR(__xludf.DUMMYFUNCTION("GOOGLETRANSLATE(B5931,""en"",""hy"")"),"Ընձուղտը.")</f>
        <v>Ընձուղտը.</v>
      </c>
    </row>
    <row r="5932">
      <c r="A5932" s="5" t="s">
        <v>7946</v>
      </c>
      <c r="B5932" s="5" t="s">
        <v>8111</v>
      </c>
      <c r="C5932" s="5" t="str">
        <f>IFERROR(__xludf.DUMMYFUNCTION("GOOGLETRANSLATE(A5932,""en"",""hy"")"),"Քանի՞ խաղացող կա ֆուտբոլային թիմում:")</f>
        <v>Քանի՞ խաղացող կա ֆուտբոլային թիմում:</v>
      </c>
      <c r="D5932" s="6" t="str">
        <f>IFERROR(__xludf.DUMMYFUNCTION("GOOGLETRANSLATE(B5932,""en"",""hy"")"),"Ֆուտբոլային թիմում կա 11 խաղացող։")</f>
        <v>Ֆուտբոլային թիմում կա 11 խաղացող։</v>
      </c>
    </row>
    <row r="5933">
      <c r="A5933" s="5" t="s">
        <v>7528</v>
      </c>
      <c r="B5933" s="5" t="s">
        <v>7529</v>
      </c>
      <c r="C5933" s="5" t="str">
        <f>IFERROR(__xludf.DUMMYFUNCTION("GOOGLETRANSLATE(A5933,""en"",""hy"")"),"Ո՞վ է Գերմանիայի ներկայիս կանցլերը:")</f>
        <v>Ո՞վ է Գերմանիայի ներկայիս կանցլերը:</v>
      </c>
      <c r="D5933" s="6" t="str">
        <f>IFERROR(__xludf.DUMMYFUNCTION("GOOGLETRANSLATE(B5933,""en"",""hy"")"),"Անգելա Մերկել.")</f>
        <v>Անգելա Մերկել.</v>
      </c>
    </row>
    <row r="5934">
      <c r="A5934" s="5" t="s">
        <v>8923</v>
      </c>
      <c r="B5934" s="5" t="s">
        <v>8928</v>
      </c>
      <c r="C5934" s="5" t="str">
        <f>IFERROR(__xludf.DUMMYFUNCTION("GOOGLETRANSLATE(A5934,""en"",""hy"")"),"Ո՞րն է ԱՄՆ-ի ամենաերկար գետը:")</f>
        <v>Ո՞րն է ԱՄՆ-ի ամենաերկար գետը:</v>
      </c>
      <c r="D5934" s="6" t="str">
        <f>IFERROR(__xludf.DUMMYFUNCTION("GOOGLETRANSLATE(B5934,""en"",""hy"")"),"Միսիսիպի գետ.")</f>
        <v>Միսիսիպի գետ.</v>
      </c>
    </row>
    <row r="5935">
      <c r="A5935" s="5" t="s">
        <v>8472</v>
      </c>
      <c r="B5935" s="5" t="s">
        <v>7630</v>
      </c>
      <c r="C5935" s="5" t="str">
        <f>IFERROR(__xludf.DUMMYFUNCTION("GOOGLETRANSLATE(A5935,""en"",""hy"")"),"Ո՞վ է «Հպարտություն և նախապաշարմունք» վեպի հեղինակը.")</f>
        <v>Ո՞վ է «Հպարտություն և նախապաշարմունք» վեպի հեղինակը.</v>
      </c>
      <c r="D5935" s="6" t="str">
        <f>IFERROR(__xludf.DUMMYFUNCTION("GOOGLETRANSLATE(B5935,""en"",""hy"")"),"Ջեյն Օսթին.")</f>
        <v>Ջեյն Օսթին.</v>
      </c>
    </row>
    <row r="5936">
      <c r="A5936" s="5" t="s">
        <v>8925</v>
      </c>
      <c r="B5936" s="5" t="s">
        <v>7857</v>
      </c>
      <c r="C5936" s="5" t="str">
        <f>IFERROR(__xludf.DUMMYFUNCTION("GOOGLETRANSLATE(A5936,""en"",""hy"")"),"Ո՞րն է երկաթ տարրի քիմիական նշանը:")</f>
        <v>Ո՞րն է երկաթ տարրի քիմիական նշանը:</v>
      </c>
      <c r="D5936" s="6" t="str">
        <f>IFERROR(__xludf.DUMMYFUNCTION("GOOGLETRANSLATE(B5936,""en"",""hy"")"),"Երկաթի քիմիական նշանը Fe է:")</f>
        <v>Երկաթի քիմիական նշանը Fe է:</v>
      </c>
    </row>
    <row r="5937">
      <c r="A5937" s="5" t="s">
        <v>8186</v>
      </c>
      <c r="B5937" s="5" t="s">
        <v>7512</v>
      </c>
      <c r="C5937" s="5" t="str">
        <f>IFERROR(__xludf.DUMMYFUNCTION("GOOGLETRANSLATE(A5937,""en"",""hy"")"),"Ո՞ր երկրում են գտնվում Գիզայի բուրգերը:")</f>
        <v>Ո՞ր երկրում են գտնվում Գիզայի բուրգերը:</v>
      </c>
      <c r="D5937" s="6" t="str">
        <f>IFERROR(__xludf.DUMMYFUNCTION("GOOGLETRANSLATE(B5937,""en"",""hy"")"),"Եգիպտոս.")</f>
        <v>Եգիպտոս.</v>
      </c>
    </row>
    <row r="5938">
      <c r="A5938" s="5" t="s">
        <v>7500</v>
      </c>
      <c r="B5938" s="5" t="s">
        <v>8096</v>
      </c>
      <c r="C5938" s="5" t="str">
        <f>IFERROR(__xludf.DUMMYFUNCTION("GOOGLETRANSLATE(A5938,""en"",""hy"")"),"Ո՞րն է Ֆրանսիայի մայրաքաղաքը:")</f>
        <v>Ո՞րն է Ֆրանսիայի մայրաքաղաքը:</v>
      </c>
      <c r="D5938" s="6" t="str">
        <f>IFERROR(__xludf.DUMMYFUNCTION("GOOGLETRANSLATE(B5938,""en"",""hy"")"),"Ֆրանսիայի մայրաքաղաքը Փարիզն է։")</f>
        <v>Ֆրանսիայի մայրաքաղաքը Փարիզն է։</v>
      </c>
    </row>
    <row r="5939">
      <c r="A5939" s="5" t="s">
        <v>8929</v>
      </c>
      <c r="B5939" s="5" t="s">
        <v>7448</v>
      </c>
      <c r="C5939" s="5" t="str">
        <f>IFERROR(__xludf.DUMMYFUNCTION("GOOGLETRANSLATE(A5939,""en"",""hy"")"),"Ո՞վ է նկարել «Վերջին ընթրիք» կոչվող հայտնի արվեստի գործը:")</f>
        <v>Ո՞վ է նկարել «Վերջին ընթրիք» կոչվող հայտնի արվեստի գործը:</v>
      </c>
      <c r="D5939" s="6" t="str">
        <f>IFERROR(__xludf.DUMMYFUNCTION("GOOGLETRANSLATE(B5939,""en"",""hy"")"),"Լեոնարդո դա Վինչի.")</f>
        <v>Լեոնարդո դա Վինչի.</v>
      </c>
    </row>
    <row r="5940">
      <c r="A5940" s="5" t="s">
        <v>8930</v>
      </c>
      <c r="B5940" s="5" t="s">
        <v>8931</v>
      </c>
      <c r="C5940" s="5" t="str">
        <f>IFERROR(__xludf.DUMMYFUNCTION("GOOGLETRANSLATE(A5940,""en"",""hy"")"),"Ո՞րն է մարդկային տեսակի գիտական ​​անվանումը:")</f>
        <v>Ո՞րն է մարդկային տեսակի գիտական ​​անվանումը:</v>
      </c>
      <c r="D5940" s="6" t="str">
        <f>IFERROR(__xludf.DUMMYFUNCTION("GOOGLETRANSLATE(B5940,""en"",""hy"")"),"Homo sapiens.")</f>
        <v>Homo sapiens.</v>
      </c>
    </row>
    <row r="5941">
      <c r="A5941" s="5" t="s">
        <v>8324</v>
      </c>
      <c r="B5941" s="5" t="s">
        <v>7956</v>
      </c>
      <c r="C5941" s="5" t="str">
        <f>IFERROR(__xludf.DUMMYFUNCTION("GOOGLETRANSLATE(A5941,""en"",""hy"")"),"Ո՞ւմ է վերագրվում գրավիտացիայի հայտնաբերումը:")</f>
        <v>Ո՞ւմ է վերագրվում գրավիտացիայի հայտնաբերումը:</v>
      </c>
      <c r="D5941" s="6" t="str">
        <f>IFERROR(__xludf.DUMMYFUNCTION("GOOGLETRANSLATE(B5941,""en"",""hy"")"),"Իսահակ Նյուտոն.")</f>
        <v>Իսահակ Նյուտոն.</v>
      </c>
    </row>
    <row r="5942">
      <c r="A5942" s="5" t="s">
        <v>8708</v>
      </c>
      <c r="B5942" s="5" t="s">
        <v>8932</v>
      </c>
      <c r="C5942" s="5" t="str">
        <f>IFERROR(__xludf.DUMMYFUNCTION("GOOGLETRANSLATE(A5942,""en"",""hy"")"),"Ո՞րն է աշխարհի ամենափոքր երկիրն ըստ ցամաքային տարածքի:")</f>
        <v>Ո՞րն է աշխարհի ամենափոքր երկիրն ըստ ցամաքային տարածքի:</v>
      </c>
      <c r="D5942" s="6" t="str">
        <f>IFERROR(__xludf.DUMMYFUNCTION("GOOGLETRANSLATE(B5942,""en"",""hy"")"),"Վատիկան քաղաքը.")</f>
        <v>Վատիկան քաղաքը.</v>
      </c>
    </row>
    <row r="5943">
      <c r="A5943" s="5" t="s">
        <v>7540</v>
      </c>
      <c r="B5943" s="5" t="s">
        <v>8463</v>
      </c>
      <c r="C5943" s="5" t="str">
        <f>IFERROR(__xludf.DUMMYFUNCTION("GOOGLETRANSLATE(A5943,""en"",""hy"")"),"Ո՞վ է գրել «Սպանել ծաղրող թռչունին» վեպը:")</f>
        <v>Ո՞վ է գրել «Սպանել ծաղրող թռչունին» վեպը:</v>
      </c>
      <c r="D5943" s="6" t="str">
        <f>IFERROR(__xludf.DUMMYFUNCTION("GOOGLETRANSLATE(B5943,""en"",""hy"")"),"Հարփեր Լի")</f>
        <v>Հարփեր Լի</v>
      </c>
    </row>
    <row r="5944">
      <c r="A5944" s="5" t="s">
        <v>8501</v>
      </c>
      <c r="B5944" s="5" t="s">
        <v>8933</v>
      </c>
      <c r="C5944" s="5" t="str">
        <f>IFERROR(__xludf.DUMMYFUNCTION("GOOGLETRANSLATE(A5944,""en"",""hy"")"),"Ո՞ր քաղաքն է ընդունել 2016 թվականի ամառային օլիմպիական խաղերը:")</f>
        <v>Ո՞ր քաղաքն է ընդունել 2016 թվականի ամառային օլիմպիական խաղերը:</v>
      </c>
      <c r="D5944" s="6" t="str">
        <f>IFERROR(__xludf.DUMMYFUNCTION("GOOGLETRANSLATE(B5944,""en"",""hy"")"),"Ռիո դե Ժանեյրո, Բրազիլիա")</f>
        <v>Ռիո դե Ժանեյրո, Բրազիլիա</v>
      </c>
    </row>
    <row r="5945">
      <c r="A5945" s="5" t="s">
        <v>8934</v>
      </c>
      <c r="B5945" s="5" t="s">
        <v>8935</v>
      </c>
      <c r="C5945" s="5" t="str">
        <f>IFERROR(__xludf.DUMMYFUNCTION("GOOGLETRANSLATE(A5945,""en"",""hy"")"),"Ո՞րն է Հարավային Կորեայի մայրաքաղաքը:")</f>
        <v>Ո՞րն է Հարավային Կորեայի մայրաքաղաքը:</v>
      </c>
      <c r="D5945" s="6" t="str">
        <f>IFERROR(__xludf.DUMMYFUNCTION("GOOGLETRANSLATE(B5945,""en"",""hy"")"),"Սեուլ.")</f>
        <v>Սեուլ.</v>
      </c>
    </row>
    <row r="5946">
      <c r="A5946" s="5" t="s">
        <v>8057</v>
      </c>
      <c r="B5946" s="5" t="s">
        <v>8058</v>
      </c>
      <c r="C5946" s="5" t="str">
        <f>IFERROR(__xludf.DUMMYFUNCTION("GOOGLETRANSLATE(A5946,""en"",""hy"")"),"Ո՞վ է հայտնի որպես «փոփի թագուհի»:")</f>
        <v>Ո՞վ է հայտնի որպես «փոփի թագուհի»:</v>
      </c>
      <c r="D5946" s="6" t="str">
        <f>IFERROR(__xludf.DUMMYFUNCTION("GOOGLETRANSLATE(B5946,""en"",""hy"")"),"Մադոննա")</f>
        <v>Մադոննա</v>
      </c>
    </row>
    <row r="5947">
      <c r="A5947" s="5" t="s">
        <v>7513</v>
      </c>
      <c r="B5947" s="5" t="s">
        <v>8337</v>
      </c>
      <c r="C5947" s="5" t="str">
        <f>IFERROR(__xludf.DUMMYFUNCTION("GOOGLETRANSLATE(A5947,""en"",""hy"")"),"Ո՞րն է աշխարհի ամենամեծ անապատը:")</f>
        <v>Ո՞րն է աշխարհի ամենամեծ անապատը:</v>
      </c>
      <c r="D5947" s="6" t="str">
        <f>IFERROR(__xludf.DUMMYFUNCTION("GOOGLETRANSLATE(B5947,""en"",""hy"")"),"Աշխարհի ամենամեծ անապատը Անտարկտիդայի անապատն է։")</f>
        <v>Աշխարհի ամենամեծ անապատը Անտարկտիդայի անապատն է։</v>
      </c>
    </row>
    <row r="5948">
      <c r="A5948" s="5" t="s">
        <v>7504</v>
      </c>
      <c r="B5948" s="5" t="s">
        <v>7505</v>
      </c>
      <c r="C5948" s="5" t="str">
        <f>IFERROR(__xludf.DUMMYFUNCTION("GOOGLETRANSLATE(A5948,""en"",""hy"")"),"Ո՞վ է Միացյալ Նահանգների ներկայիս նախագահը:")</f>
        <v>Ո՞վ է Միացյալ Նահանգների ներկայիս նախագահը:</v>
      </c>
      <c r="D5948" s="6" t="str">
        <f>IFERROR(__xludf.DUMMYFUNCTION("GOOGLETRANSLATE(B5948,""en"",""hy"")"),"Ջո Բայդեն.")</f>
        <v>Ջո Բայդեն.</v>
      </c>
    </row>
    <row r="5949">
      <c r="A5949" s="5" t="s">
        <v>8936</v>
      </c>
      <c r="B5949" s="5" t="s">
        <v>7684</v>
      </c>
      <c r="C5949" s="5" t="str">
        <f>IFERROR(__xludf.DUMMYFUNCTION("GOOGLETRANSLATE(A5949,""en"",""hy"")"),"Ո՞րն է արծաթ տարրի քիմիական նշանը:")</f>
        <v>Ո՞րն է արծաթ տարրի քիմիական նշանը:</v>
      </c>
      <c r="D5949" s="6" t="str">
        <f>IFERROR(__xludf.DUMMYFUNCTION("GOOGLETRANSLATE(B5949,""en"",""hy"")"),"Արծաթի քիմիական խորհրդանիշն է Ag.")</f>
        <v>Արծաթի քիմիական խորհրդանիշն է Ag.</v>
      </c>
    </row>
    <row r="5950">
      <c r="A5950" s="5" t="s">
        <v>7957</v>
      </c>
      <c r="B5950" s="5" t="s">
        <v>2790</v>
      </c>
      <c r="C5950" s="5" t="str">
        <f>IFERROR(__xludf.DUMMYFUNCTION("GOOGLETRANSLATE(A5950,""en"",""hy"")"),"Ո՞ր երկրում է գտնվում Մեծ պարիսպը:")</f>
        <v>Ո՞ր երկրում է գտնվում Մեծ պարիսպը:</v>
      </c>
      <c r="D5950" s="6" t="str">
        <f>IFERROR(__xludf.DUMMYFUNCTION("GOOGLETRANSLATE(B5950,""en"",""hy"")"),"Չինաստան.")</f>
        <v>Չինաստան.</v>
      </c>
    </row>
    <row r="5951">
      <c r="A5951" s="5" t="s">
        <v>8937</v>
      </c>
      <c r="B5951" s="5" t="s">
        <v>7549</v>
      </c>
      <c r="C5951" s="5" t="str">
        <f>IFERROR(__xludf.DUMMYFUNCTION("GOOGLETRANSLATE(A5951,""en"",""hy"")"),"Ո՞վ է նկարել «Մարգարտյա ականջօղով աղջիկը» հայտնի արվեստի գործը:")</f>
        <v>Ո՞վ է նկարել «Մարգարտյա ականջօղով աղջիկը» հայտնի արվեստի գործը:</v>
      </c>
      <c r="D5951" s="6" t="str">
        <f>IFERROR(__xludf.DUMMYFUNCTION("GOOGLETRANSLATE(B5951,""en"",""hy"")"),"Յոհաննես Վերմեեր.")</f>
        <v>Յոհաննես Վերմեեր.</v>
      </c>
    </row>
    <row r="5952">
      <c r="A5952" s="5" t="s">
        <v>7467</v>
      </c>
      <c r="B5952" s="5" t="s">
        <v>7468</v>
      </c>
      <c r="C5952" s="5" t="str">
        <f>IFERROR(__xludf.DUMMYFUNCTION("GOOGLETRANSLATE(A5952,""en"",""hy"")"),"Ո՞րն է Ճապոնիայի արժույթը:")</f>
        <v>Ո՞րն է Ճապոնիայի արժույթը:</v>
      </c>
      <c r="D5952" s="6" t="str">
        <f>IFERROR(__xludf.DUMMYFUNCTION("GOOGLETRANSLATE(B5952,""en"",""hy"")"),"Ճապոնիայի արժույթը ճապոնական իենն է։")</f>
        <v>Ճապոնիայի արժույթը ճապոնական իենն է։</v>
      </c>
    </row>
    <row r="5953">
      <c r="A5953" s="5" t="s">
        <v>7577</v>
      </c>
      <c r="B5953" s="5" t="s">
        <v>7578</v>
      </c>
      <c r="C5953" s="5" t="str">
        <f>IFERROR(__xludf.DUMMYFUNCTION("GOOGLETRANSLATE(A5953,""en"",""hy"")"),"Ո՞վ է գրել Մոբի-Դիկ վեպը:")</f>
        <v>Ո՞վ է գրել Մոբի-Դիկ վեպը:</v>
      </c>
      <c r="D5953" s="6" t="str">
        <f>IFERROR(__xludf.DUMMYFUNCTION("GOOGLETRANSLATE(B5953,""en"",""hy"")"),"Հերման Մելվիլ.")</f>
        <v>Հերման Մելվիլ.</v>
      </c>
    </row>
    <row r="5954">
      <c r="A5954" s="5" t="s">
        <v>8938</v>
      </c>
      <c r="B5954" s="5" t="s">
        <v>7747</v>
      </c>
      <c r="C5954" s="5" t="str">
        <f>IFERROR(__xludf.DUMMYFUNCTION("GOOGLETRANSLATE(A5954,""en"",""hy"")"),"Ո՞րն է Աֆրիկայի ամենամեծ երկիրը ցամաքային տարածքով:")</f>
        <v>Ո՞րն է Աֆրիկայի ամենամեծ երկիրը ցամաքային տարածքով:</v>
      </c>
      <c r="D5954" s="6" t="str">
        <f>IFERROR(__xludf.DUMMYFUNCTION("GOOGLETRANSLATE(B5954,""en"",""hy"")"),"Ալժիր.")</f>
        <v>Ալժիր.</v>
      </c>
    </row>
    <row r="5955">
      <c r="A5955" s="5" t="s">
        <v>7534</v>
      </c>
      <c r="B5955" s="5" t="s">
        <v>7535</v>
      </c>
      <c r="C5955" s="5" t="str">
        <f>IFERROR(__xludf.DUMMYFUNCTION("GOOGLETRANSLATE(A5955,""en"",""hy"")"),"Ո՞վ է հորինել հեռախոսը:")</f>
        <v>Ո՞վ է հորինել հեռախոսը:</v>
      </c>
      <c r="D5955" s="6" t="str">
        <f>IFERROR(__xludf.DUMMYFUNCTION("GOOGLETRANSLATE(B5955,""en"",""hy"")"),"Ալեքսանդր Գրեհեմ Բել.")</f>
        <v>Ալեքսանդր Գրեհեմ Բել.</v>
      </c>
    </row>
    <row r="5956">
      <c r="A5956" s="5" t="s">
        <v>8025</v>
      </c>
      <c r="B5956" s="5" t="s">
        <v>831</v>
      </c>
      <c r="C5956" s="5" t="str">
        <f>IFERROR(__xludf.DUMMYFUNCTION("GOOGLETRANSLATE(A5956,""en"",""hy"")"),"Ո՞րն է Չինաստանի պաշտոնական լեզուն:")</f>
        <v>Ո՞րն է Չինաստանի պաշտոնական լեզուն:</v>
      </c>
      <c r="D5956" s="6" t="str">
        <f>IFERROR(__xludf.DUMMYFUNCTION("GOOGLETRANSLATE(B5956,""en"",""hy"")"),"Մանդարին չինարեն.")</f>
        <v>Մանդարին չինարեն.</v>
      </c>
    </row>
    <row r="5957">
      <c r="A5957" s="5" t="s">
        <v>8172</v>
      </c>
      <c r="B5957" s="5" t="s">
        <v>7733</v>
      </c>
      <c r="C5957" s="5" t="str">
        <f>IFERROR(__xludf.DUMMYFUNCTION("GOOGLETRANSLATE(A5957,""en"",""hy"")"),"Ո՞րն է աշխարհի ամենաբարձր ջրվեժը:")</f>
        <v>Ո՞րն է աշխարհի ամենաբարձր ջրվեժը:</v>
      </c>
      <c r="D5957" s="6" t="str">
        <f>IFERROR(__xludf.DUMMYFUNCTION("GOOGLETRANSLATE(B5957,""en"",""hy"")"),"Angel Falls.")</f>
        <v>Angel Falls.</v>
      </c>
    </row>
    <row r="5958">
      <c r="A5958" s="5" t="s">
        <v>8939</v>
      </c>
      <c r="B5958" s="5" t="s">
        <v>8940</v>
      </c>
      <c r="C5958" s="5" t="str">
        <f>IFERROR(__xludf.DUMMYFUNCTION("GOOGLETRANSLATE(A5958,""en"",""hy"")"),"Ո՞վ է ստեղծել «Շչելկունչիկ» բալետը:")</f>
        <v>Ո՞վ է ստեղծել «Շչելկունչիկ» բալետը:</v>
      </c>
      <c r="D5958" s="6" t="str">
        <f>IFERROR(__xludf.DUMMYFUNCTION("GOOGLETRANSLATE(B5958,""en"",""hy"")"),"Չայկովսկի.")</f>
        <v>Չայկովսկի.</v>
      </c>
    </row>
    <row r="5959">
      <c r="A5959" s="5" t="s">
        <v>8941</v>
      </c>
      <c r="B5959" s="5" t="s">
        <v>8942</v>
      </c>
      <c r="C5959" s="5" t="str">
        <f>IFERROR(__xludf.DUMMYFUNCTION("GOOGLETRANSLATE(A5959,""en"",""hy"")"),"Ինչպե՞ս է կոչվում հայտնի նավը, որը խորտակվել է 1912թ.")</f>
        <v>Ինչպե՞ս է կոչվում հայտնի նավը, որը խորտակվել է 1912թ.</v>
      </c>
      <c r="D5959" s="6" t="str">
        <f>IFERROR(__xludf.DUMMYFUNCTION("GOOGLETRANSLATE(B5959,""en"",""hy"")"),"Տիտանիկ.")</f>
        <v>Տիտանիկ.</v>
      </c>
    </row>
    <row r="5960">
      <c r="A5960" s="5" t="s">
        <v>8477</v>
      </c>
      <c r="B5960" s="5" t="s">
        <v>7661</v>
      </c>
      <c r="C5960" s="5" t="str">
        <f>IFERROR(__xludf.DUMMYFUNCTION("GOOGLETRANSLATE(A5960,""en"",""hy"")"),"Ո՞վ է «Մեծն Գեթսբին» վեպի հեղինակը:")</f>
        <v>Ո՞վ է «Մեծն Գեթսբին» վեպի հեղինակը:</v>
      </c>
      <c r="D5960" s="6" t="str">
        <f>IFERROR(__xludf.DUMMYFUNCTION("GOOGLETRANSLATE(B5960,""en"",""hy"")"),"F. Scott Fitzgerald.")</f>
        <v>F. Scott Fitzgerald.</v>
      </c>
    </row>
    <row r="5961">
      <c r="A5961" s="5" t="s">
        <v>7872</v>
      </c>
      <c r="B5961" s="5" t="s">
        <v>1307</v>
      </c>
      <c r="C5961" s="5" t="str">
        <f>IFERROR(__xludf.DUMMYFUNCTION("GOOGLETRANSLATE(A5961,""en"",""hy"")"),"Ո՞րն է Իսպանիայի մայրաքաղաքը:")</f>
        <v>Ո՞րն է Իսպանիայի մայրաքաղաքը:</v>
      </c>
      <c r="D5961" s="6" t="str">
        <f>IFERROR(__xludf.DUMMYFUNCTION("GOOGLETRANSLATE(B5961,""en"",""hy"")"),"Մադրիդ.")</f>
        <v>Մադրիդ.</v>
      </c>
    </row>
    <row r="5962">
      <c r="A5962" s="5" t="s">
        <v>8943</v>
      </c>
      <c r="B5962" s="5" t="s">
        <v>7621</v>
      </c>
      <c r="C5962" s="5" t="str">
        <f>IFERROR(__xludf.DUMMYFUNCTION("GOOGLETRANSLATE(A5962,""en"",""hy"")"),"Ո՞վ է նկարել հայտնի արվեստի գործը, որը կոչվում է «Վեներայի ծնունդը»:")</f>
        <v>Ո՞վ է նկարել հայտնի արվեստի գործը, որը կոչվում է «Վեներայի ծնունդը»:</v>
      </c>
      <c r="D5962" s="6" t="str">
        <f>IFERROR(__xludf.DUMMYFUNCTION("GOOGLETRANSLATE(B5962,""en"",""hy"")"),"Սանդրո Բոտիչելի.")</f>
        <v>Սանդրո Բոտիչելի.</v>
      </c>
    </row>
    <row r="5963">
      <c r="A5963" s="5" t="s">
        <v>8944</v>
      </c>
      <c r="B5963" s="5" t="s">
        <v>7700</v>
      </c>
      <c r="C5963" s="5" t="str">
        <f>IFERROR(__xludf.DUMMYFUNCTION("GOOGLETRANSLATE(A5963,""en"",""hy"")"),"Ո՞րն է ածխածնի տարրի քիմիական նշանը:")</f>
        <v>Ո՞րն է ածխածնի տարրի քիմիական նշանը:</v>
      </c>
      <c r="D5963" s="6" t="str">
        <f>IFERROR(__xludf.DUMMYFUNCTION("GOOGLETRANSLATE(B5963,""en"",""hy"")"),"Ածխածնի քիմիական նշանը C է:")</f>
        <v>Ածխածնի քիմիական նշանը C է:</v>
      </c>
    </row>
    <row r="5964">
      <c r="A5964" s="5" t="s">
        <v>8945</v>
      </c>
      <c r="B5964" s="5" t="s">
        <v>8946</v>
      </c>
      <c r="C5964" s="5" t="str">
        <f>IFERROR(__xludf.DUMMYFUNCTION("GOOGLETRANSLATE(A5964,""en"",""hy"")"),"Ո՞ր երկրում են գտնվում Գալապագոս կղզիները:")</f>
        <v>Ո՞ր երկրում են գտնվում Գալապագոս կղզիները:</v>
      </c>
      <c r="D5964" s="6" t="str">
        <f>IFERROR(__xludf.DUMMYFUNCTION("GOOGLETRANSLATE(B5964,""en"",""hy"")"),"Էկվադոր.")</f>
        <v>Էկվադոր.</v>
      </c>
    </row>
    <row r="5965">
      <c r="A5965" s="5" t="s">
        <v>7521</v>
      </c>
      <c r="B5965" s="5" t="s">
        <v>1016</v>
      </c>
      <c r="C5965" s="5" t="str">
        <f>IFERROR(__xludf.DUMMYFUNCTION("GOOGLETRANSLATE(A5965,""en"",""hy"")"),"Ո՞վ է գրել Համլետ պիեսը:")</f>
        <v>Ո՞վ է գրել Համլետ պիեսը:</v>
      </c>
      <c r="D5965" s="6" t="str">
        <f>IFERROR(__xludf.DUMMYFUNCTION("GOOGLETRANSLATE(B5965,""en"",""hy"")"),"Ուիլյամ Շեքսպիր.")</f>
        <v>Ուիլյամ Շեքսպիր.</v>
      </c>
    </row>
    <row r="5966">
      <c r="A5966" s="5" t="s">
        <v>7817</v>
      </c>
      <c r="B5966" s="5" t="s">
        <v>7818</v>
      </c>
      <c r="C5966" s="5" t="str">
        <f>IFERROR(__xludf.DUMMYFUNCTION("GOOGLETRANSLATE(A5966,""en"",""hy"")"),"Ո՞րն է Կանադայի ազգային կենդանին:")</f>
        <v>Ո՞րն է Կանադայի ազգային կենդանին:</v>
      </c>
      <c r="D5966" s="6" t="str">
        <f>IFERROR(__xludf.DUMMYFUNCTION("GOOGLETRANSLATE(B5966,""en"",""hy"")"),"Կանադայի ազգային կենդանին կեղևն է:")</f>
        <v>Կանադայի ազգային կենդանին կեղևն է:</v>
      </c>
    </row>
    <row r="5967">
      <c r="A5967" s="5" t="s">
        <v>8947</v>
      </c>
      <c r="B5967" s="5" t="s">
        <v>8948</v>
      </c>
      <c r="C5967" s="5" t="str">
        <f>IFERROR(__xludf.DUMMYFUNCTION("GOOGLETRANSLATE(A5967,""en"",""hy"")"),"Ո՞ր դերասանն է մարմնավորել Վուլվերինի կերպարը X-Men ֆիլմերում:")</f>
        <v>Ո՞ր դերասանն է մարմնավորել Վուլվերինի կերպարը X-Men ֆիլմերում:</v>
      </c>
      <c r="D5967" s="6" t="str">
        <f>IFERROR(__xludf.DUMMYFUNCTION("GOOGLETRANSLATE(B5967,""en"",""hy"")"),"Հյու Ջեքման.")</f>
        <v>Հյու Ջեքման.</v>
      </c>
    </row>
    <row r="5968">
      <c r="A5968" s="5" t="s">
        <v>8235</v>
      </c>
      <c r="B5968" s="5" t="s">
        <v>6334</v>
      </c>
      <c r="C5968" s="5" t="str">
        <f>IFERROR(__xludf.DUMMYFUNCTION("GOOGLETRANSLATE(A5968,""en"",""hy"")"),"Ո՞ր երկրում է գտնվում Կոլիզեյը:")</f>
        <v>Ո՞ր երկրում է գտնվում Կոլիզեյը:</v>
      </c>
      <c r="D5968" s="6" t="str">
        <f>IFERROR(__xludf.DUMMYFUNCTION("GOOGLETRANSLATE(B5968,""en"",""hy"")"),"Իտալիա.")</f>
        <v>Իտալիա.</v>
      </c>
    </row>
    <row r="5969">
      <c r="A5969" s="5" t="s">
        <v>8099</v>
      </c>
      <c r="B5969" s="5" t="s">
        <v>8100</v>
      </c>
      <c r="C5969" s="5" t="str">
        <f>IFERROR(__xludf.DUMMYFUNCTION("GOOGLETRANSLATE(A5969,""en"",""hy"")"),"Քանի՞ մոլորակ կա մեր արեգակնային համակարգում:")</f>
        <v>Քանի՞ մոլորակ կա մեր արեգակնային համակարգում:</v>
      </c>
      <c r="D5969" s="6" t="str">
        <f>IFERROR(__xludf.DUMMYFUNCTION("GOOGLETRANSLATE(B5969,""en"",""hy"")"),"Մեր Արեգակնային համակարգում կա ութ մոլորակ:")</f>
        <v>Մեր Արեգակնային համակարգում կա ութ մոլորակ:</v>
      </c>
    </row>
    <row r="5970">
      <c r="A5970" s="5" t="s">
        <v>7479</v>
      </c>
      <c r="B5970" s="5" t="s">
        <v>1996</v>
      </c>
      <c r="C5970" s="5" t="str">
        <f>IFERROR(__xludf.DUMMYFUNCTION("GOOGLETRANSLATE(A5970,""en"",""hy"")"),"Ո՞վ է Միացյալ Թագավորության ներկայիս վարչապետը:")</f>
        <v>Ո՞վ է Միացյալ Թագավորության ներկայիս վարչապետը:</v>
      </c>
      <c r="D5970" s="6" t="str">
        <f>IFERROR(__xludf.DUMMYFUNCTION("GOOGLETRANSLATE(B5970,""en"",""hy"")"),"Բորիս Ջոնսոն.")</f>
        <v>Բորիս Ջոնսոն.</v>
      </c>
    </row>
    <row r="5971">
      <c r="A5971" s="5" t="s">
        <v>7532</v>
      </c>
      <c r="B5971" s="5" t="s">
        <v>7533</v>
      </c>
      <c r="C5971" s="5" t="str">
        <f>IFERROR(__xludf.DUMMYFUNCTION("GOOGLETRANSLATE(A5971,""en"",""hy"")"),"Ո՞րն է սննդի աղի քիմիական բանաձևը:")</f>
        <v>Ո՞րն է սննդի աղի քիմիական բանաձևը:</v>
      </c>
      <c r="D5971" s="6" t="str">
        <f>IFERROR(__xludf.DUMMYFUNCTION("GOOGLETRANSLATE(B5971,""en"",""hy"")"),"Սեղանի աղի քիմիական բանաձևը NaCl է:")</f>
        <v>Սեղանի աղի քիմիական բանաձևը NaCl է:</v>
      </c>
    </row>
    <row r="5972">
      <c r="A5972" s="5" t="s">
        <v>8949</v>
      </c>
      <c r="B5972" s="5" t="s">
        <v>7585</v>
      </c>
      <c r="C5972" s="5" t="str">
        <f>IFERROR(__xludf.DUMMYFUNCTION("GOOGLETRANSLATE(A5972,""en"",""hy"")"),"Ո՞վ է նկարել հայտնի արվեստի գործը, որը կոչվում է «Ճիչը»:")</f>
        <v>Ո՞վ է նկարել հայտնի արվեստի գործը, որը կոչվում է «Ճիչը»:</v>
      </c>
      <c r="D5972" s="6" t="str">
        <f>IFERROR(__xludf.DUMMYFUNCTION("GOOGLETRANSLATE(B5972,""en"",""hy"")"),"Էդվարդ Մունկ.")</f>
        <v>Էդվարդ Մունկ.</v>
      </c>
    </row>
    <row r="5973">
      <c r="A5973" s="5" t="s">
        <v>8950</v>
      </c>
      <c r="B5973" s="5" t="s">
        <v>8951</v>
      </c>
      <c r="C5973" s="5" t="str">
        <f>IFERROR(__xludf.DUMMYFUNCTION("GOOGLETRANSLATE(A5973,""en"",""hy"")"),"Ո՞րն է Հնդկաստանի պաշտոնական լեզուն:")</f>
        <v>Ո՞րն է Հնդկաստանի պաշտոնական լեզուն:</v>
      </c>
      <c r="D5973" s="6" t="str">
        <f>IFERROR(__xludf.DUMMYFUNCTION("GOOGLETRANSLATE(B5973,""en"",""hy"")"),"Հնդկաստանի պաշտոնական լեզուն հինդին է։")</f>
        <v>Հնդկաստանի պաշտոնական լեզուն հինդին է։</v>
      </c>
    </row>
    <row r="5974">
      <c r="A5974" s="5" t="s">
        <v>8132</v>
      </c>
      <c r="B5974" s="5" t="s">
        <v>4457</v>
      </c>
      <c r="C5974" s="5" t="str">
        <f>IFERROR(__xludf.DUMMYFUNCTION("GOOGLETRANSLATE(A5974,""en"",""hy"")"),"Ո՞րն է բնակչության թվով աշխարհի ամենամեծ քաղաքը:")</f>
        <v>Ո՞րն է բնակչության թվով աշխարհի ամենամեծ քաղաքը:</v>
      </c>
      <c r="D5974" s="6" t="str">
        <f>IFERROR(__xludf.DUMMYFUNCTION("GOOGLETRANSLATE(B5974,""en"",""hy"")"),"Տոկիո, Ճապոնիա.")</f>
        <v>Տոկիո, Ճապոնիա.</v>
      </c>
    </row>
    <row r="5975">
      <c r="A5975" s="5" t="s">
        <v>8952</v>
      </c>
      <c r="B5975" s="5" t="s">
        <v>8038</v>
      </c>
      <c r="C5975" s="5" t="str">
        <f>IFERROR(__xludf.DUMMYFUNCTION("GOOGLETRANSLATE(A5975,""en"",""hy"")"),"Ո՞վ է հորինել 5-րդ սիմֆոնիան դ-մինոր, որը նաև հայտնի է որպես Բեթհովենի 5-րդ սիմֆոնիա:")</f>
        <v>Ո՞վ է հորինել 5-րդ սիմֆոնիան դ-մինոր, որը նաև հայտնի է որպես Բեթհովենի 5-րդ սիմֆոնիա:</v>
      </c>
      <c r="D5975" s="6" t="str">
        <f>IFERROR(__xludf.DUMMYFUNCTION("GOOGLETRANSLATE(B5975,""en"",""hy"")"),"Լյուդվիգ վան Բեթհովեն.")</f>
        <v>Լյուդվիգ վան Բեթհովեն.</v>
      </c>
    </row>
    <row r="5976">
      <c r="A5976" s="5" t="s">
        <v>8161</v>
      </c>
      <c r="B5976" s="5" t="s">
        <v>8162</v>
      </c>
      <c r="C5976" s="5" t="str">
        <f>IFERROR(__xludf.DUMMYFUNCTION("GOOGLETRANSLATE(A5976,""en"",""hy"")"),"Ո՞րն է Ճապոնիայի ազգային ծաղիկը:")</f>
        <v>Ո՞րն է Ճապոնիայի ազգային ծաղիկը:</v>
      </c>
      <c r="D5976" s="6" t="str">
        <f>IFERROR(__xludf.DUMMYFUNCTION("GOOGLETRANSLATE(B5976,""en"",""hy"")"),"Ճապոնիայի ազգային ծաղիկը բալի ծաղիկն է:")</f>
        <v>Ճապոնիայի ազգային ծաղիկը բալի ծաղիկն է:</v>
      </c>
    </row>
    <row r="5977">
      <c r="A5977" s="5" t="s">
        <v>8953</v>
      </c>
      <c r="B5977" s="5" t="s">
        <v>7853</v>
      </c>
      <c r="C5977" s="5" t="str">
        <f>IFERROR(__xludf.DUMMYFUNCTION("GOOGLETRANSLATE(A5977,""en"",""hy"")"),"Ո՞վ է բրիտանական պատմության ամենաերկար ծառայած միապետը:")</f>
        <v>Ո՞վ է բրիտանական պատմության ամենաերկար ծառայած միապետը:</v>
      </c>
      <c r="D5977" s="6" t="str">
        <f>IFERROR(__xludf.DUMMYFUNCTION("GOOGLETRANSLATE(B5977,""en"",""hy"")"),"Եղիսաբեթ II թագուհին.")</f>
        <v>Եղիսաբեթ II թագուհին.</v>
      </c>
    </row>
    <row r="5978">
      <c r="A5978" s="5" t="s">
        <v>7589</v>
      </c>
      <c r="B5978" s="5" t="s">
        <v>7545</v>
      </c>
      <c r="C5978" s="5" t="str">
        <f>IFERROR(__xludf.DUMMYFUNCTION("GOOGLETRANSLATE(A5978,""en"",""hy"")"),"Ո՞րն է Իտալիայի մայրաքաղաքը:")</f>
        <v>Ո՞րն է Իտալիայի մայրաքաղաքը:</v>
      </c>
      <c r="D5978" s="6" t="str">
        <f>IFERROR(__xludf.DUMMYFUNCTION("GOOGLETRANSLATE(B5978,""en"",""hy"")"),"Հռոմ.")</f>
        <v>Հռոմ.</v>
      </c>
    </row>
    <row r="5979">
      <c r="A5979" s="5" t="s">
        <v>8954</v>
      </c>
      <c r="B5979" s="5" t="s">
        <v>7474</v>
      </c>
      <c r="C5979" s="5" t="str">
        <f>IFERROR(__xludf.DUMMYFUNCTION("GOOGLETRANSLATE(A5979,""en"",""hy"")"),"Ո՞վ է նկարել հայտնի արվեստի գործը, որը կոչվում է «Վերջին դատաստան»:")</f>
        <v>Ո՞վ է նկարել հայտնի արվեստի գործը, որը կոչվում է «Վերջին դատաստան»:</v>
      </c>
      <c r="D5979" s="6" t="str">
        <f>IFERROR(__xludf.DUMMYFUNCTION("GOOGLETRANSLATE(B5979,""en"",""hy"")"),"Միքելանջելո.")</f>
        <v>Միքելանջելո.</v>
      </c>
    </row>
    <row r="5980">
      <c r="A5980" s="5" t="s">
        <v>8955</v>
      </c>
      <c r="B5980" s="5" t="s">
        <v>8956</v>
      </c>
      <c r="C5980" s="5" t="str">
        <f>IFERROR(__xludf.DUMMYFUNCTION("GOOGLETRANSLATE(A5980,""en"",""hy"")"),"Ո՞րն է թթվածնի տարրի քիմիական նշանը:")</f>
        <v>Ո՞րն է թթվածնի տարրի քիմիական նշանը:</v>
      </c>
      <c r="D5980" s="6" t="str">
        <f>IFERROR(__xludf.DUMMYFUNCTION("GOOGLETRANSLATE(B5980,""en"",""hy"")"),"Թթվածին տարրի քիմիական նշանը O է:")</f>
        <v>Թթվածին տարրի քիմիական նշանը O է:</v>
      </c>
    </row>
    <row r="5981">
      <c r="A5981" s="5" t="s">
        <v>7479</v>
      </c>
      <c r="B5981" s="5" t="s">
        <v>1996</v>
      </c>
      <c r="C5981" s="5" t="str">
        <f>IFERROR(__xludf.DUMMYFUNCTION("GOOGLETRANSLATE(A5981,""en"",""hy"")"),"Ո՞վ է Միացյալ Թագավորության ներկայիս վարչապետը:")</f>
        <v>Ո՞վ է Միացյալ Թագավորության ներկայիս վարչապետը:</v>
      </c>
      <c r="D5981" s="6" t="str">
        <f>IFERROR(__xludf.DUMMYFUNCTION("GOOGLETRANSLATE(B5981,""en"",""hy"")"),"Բորիս Ջոնսոն.")</f>
        <v>Բորիս Ջոնսոն.</v>
      </c>
    </row>
    <row r="5982">
      <c r="A5982" s="5" t="s">
        <v>7450</v>
      </c>
      <c r="B5982" s="5" t="s">
        <v>7451</v>
      </c>
      <c r="C5982" s="5" t="str">
        <f>IFERROR(__xludf.DUMMYFUNCTION("GOOGLETRANSLATE(A5982,""en"",""hy"")"),"Ո՞րն է Ավստրալիայի մայրաքաղաքը:")</f>
        <v>Ո՞րն է Ավստրալիայի մայրաքաղաքը:</v>
      </c>
      <c r="D5982" s="6" t="str">
        <f>IFERROR(__xludf.DUMMYFUNCTION("GOOGLETRANSLATE(B5982,""en"",""hy"")"),"Կանբերա.")</f>
        <v>Կանբերա.</v>
      </c>
    </row>
    <row r="5983">
      <c r="A5983" s="5" t="s">
        <v>7447</v>
      </c>
      <c r="B5983" s="5" t="s">
        <v>7448</v>
      </c>
      <c r="C5983" s="5" t="str">
        <f>IFERROR(__xludf.DUMMYFUNCTION("GOOGLETRANSLATE(A5983,""en"",""hy"")"),"Ո՞վ է նկարել Մոնա Լիզան:")</f>
        <v>Ո՞վ է նկարել Մոնա Լիզան:</v>
      </c>
      <c r="D5983" s="6" t="str">
        <f>IFERROR(__xludf.DUMMYFUNCTION("GOOGLETRANSLATE(B5983,""en"",""hy"")"),"Լեոնարդո դա Վինչի.")</f>
        <v>Լեոնարդո դա Վինչի.</v>
      </c>
    </row>
    <row r="5984">
      <c r="A5984" s="5" t="s">
        <v>7779</v>
      </c>
      <c r="B5984" s="5" t="s">
        <v>7446</v>
      </c>
      <c r="C5984" s="5" t="str">
        <f>IFERROR(__xludf.DUMMYFUNCTION("GOOGLETRANSLATE(A5984,""en"",""hy"")"),"Ո՞ր մոլորակն է հայտնի որպես «Կարմիր մոլորակ»:")</f>
        <v>Ո՞ր մոլորակն է հայտնի որպես «Կարմիր մոլորակ»:</v>
      </c>
      <c r="D5984" s="6" t="str">
        <f>IFERROR(__xludf.DUMMYFUNCTION("GOOGLETRANSLATE(B5984,""en"",""hy"")"),"Մարս.")</f>
        <v>Մարս.</v>
      </c>
    </row>
    <row r="5985">
      <c r="A5985" s="5" t="s">
        <v>7469</v>
      </c>
      <c r="B5985" s="7">
        <v>1945.0</v>
      </c>
      <c r="C5985" s="5" t="str">
        <f>IFERROR(__xludf.DUMMYFUNCTION("GOOGLETRANSLATE(A5985,""en"",""hy"")"),"Ո՞ր տարում ավարտվեց Երկրորդ համաշխարհային պատերազմը:")</f>
        <v>Ո՞ր տարում ավարտվեց Երկրորդ համաշխարհային պատերազմը:</v>
      </c>
      <c r="D5985" s="6" t="str">
        <f>IFERROR(__xludf.DUMMYFUNCTION("GOOGLETRANSLATE(B5985,""en"",""hy"")"),"1945 թ")</f>
        <v>1945 թ</v>
      </c>
    </row>
    <row r="5986">
      <c r="A5986" s="5" t="s">
        <v>7645</v>
      </c>
      <c r="B5986" s="5" t="s">
        <v>7646</v>
      </c>
      <c r="C5986" s="5" t="str">
        <f>IFERROR(__xludf.DUMMYFUNCTION("GOOGLETRANSLATE(A5986,""en"",""hy"")"),"Ո՞րն է Երկրի ամենամեծ օվկիանոսը:")</f>
        <v>Ո՞րն է Երկրի ամենամեծ օվկիանոսը:</v>
      </c>
      <c r="D5986" s="6" t="str">
        <f>IFERROR(__xludf.DUMMYFUNCTION("GOOGLETRANSLATE(B5986,""en"",""hy"")"),"Խաղաղ օվկիանոս.")</f>
        <v>Խաղաղ օվկիանոս.</v>
      </c>
    </row>
    <row r="5987">
      <c r="A5987" s="5" t="s">
        <v>8594</v>
      </c>
      <c r="B5987" s="5" t="s">
        <v>7541</v>
      </c>
      <c r="C5987" s="5" t="str">
        <f>IFERROR(__xludf.DUMMYFUNCTION("GOOGLETRANSLATE(A5987,""en"",""hy"")"),"Ո՞վ է գրել հայտնի «Սպանել ծաղրող թռչունին» վեպը:")</f>
        <v>Ո՞վ է գրել հայտնի «Սպանել ծաղրող թռչունին» վեպը:</v>
      </c>
      <c r="D5987" s="6" t="str">
        <f>IFERROR(__xludf.DUMMYFUNCTION("GOOGLETRANSLATE(B5987,""en"",""hy"")"),"Հարփեր Լի.")</f>
        <v>Հարփեր Լի.</v>
      </c>
    </row>
    <row r="5988">
      <c r="A5988" s="5" t="s">
        <v>8106</v>
      </c>
      <c r="B5988" s="5" t="s">
        <v>7916</v>
      </c>
      <c r="C5988" s="5" t="str">
        <f>IFERROR(__xludf.DUMMYFUNCTION("GOOGLETRANSLATE(A5988,""en"",""hy"")"),"Քանի՞ ոսկոր կա մարդու մարմնում:")</f>
        <v>Քանի՞ ոսկոր կա մարդու մարմնում:</v>
      </c>
      <c r="D5988" s="6" t="str">
        <f>IFERROR(__xludf.DUMMYFUNCTION("GOOGLETRANSLATE(B5988,""en"",""hy"")"),"Մարդու մարմնում կա 206 ոսկոր։")</f>
        <v>Մարդու մարմնում կա 206 ոսկոր։</v>
      </c>
    </row>
    <row r="5989">
      <c r="A5989" s="5" t="s">
        <v>8957</v>
      </c>
      <c r="B5989" s="5" t="s">
        <v>8958</v>
      </c>
      <c r="C5989" s="5" t="str">
        <f>IFERROR(__xludf.DUMMYFUNCTION("GOOGLETRANSLATE(A5989,""en"",""hy"")"),"Անվանեք երեք հիմնական գույները:")</f>
        <v>Անվանեք երեք հիմնական գույները:</v>
      </c>
      <c r="D5989" s="6" t="str">
        <f>IFERROR(__xludf.DUMMYFUNCTION("GOOGLETRANSLATE(B5989,""en"",""hy"")"),"Երեք հիմնական գույներն են կարմիր, կապույտ և դեղին:")</f>
        <v>Երեք հիմնական գույներն են կարմիր, կապույտ և դեղին:</v>
      </c>
    </row>
    <row r="5990">
      <c r="A5990" s="5" t="s">
        <v>8959</v>
      </c>
      <c r="B5990" s="5" t="s">
        <v>2790</v>
      </c>
      <c r="C5990" s="5" t="str">
        <f>IFERROR(__xludf.DUMMYFUNCTION("GOOGLETRANSLATE(A5990,""en"",""hy"")"),"Ո՞ր երկրում կգտնեք Մեծ պատը:")</f>
        <v>Ո՞ր երկրում կգտնեք Մեծ պատը:</v>
      </c>
      <c r="D5990" s="6" t="str">
        <f>IFERROR(__xludf.DUMMYFUNCTION("GOOGLETRANSLATE(B5990,""en"",""hy"")"),"Չինաստան.")</f>
        <v>Չինաստան.</v>
      </c>
    </row>
    <row r="5991">
      <c r="A5991" s="5" t="s">
        <v>7461</v>
      </c>
      <c r="B5991" s="5" t="s">
        <v>7462</v>
      </c>
      <c r="C5991" s="5" t="str">
        <f>IFERROR(__xludf.DUMMYFUNCTION("GOOGLETRANSLATE(A5991,""en"",""hy"")"),"Ո՞րն է մարդու մարմնի ամենամեծ օրգանը:")</f>
        <v>Ո՞րն է մարդու մարմնի ամենամեծ օրգանը:</v>
      </c>
      <c r="D5991" s="6" t="str">
        <f>IFERROR(__xludf.DUMMYFUNCTION("GOOGLETRANSLATE(B5991,""en"",""hy"")"),"Մաշկը.")</f>
        <v>Մաշկը.</v>
      </c>
    </row>
    <row r="5992">
      <c r="A5992" s="5" t="s">
        <v>7844</v>
      </c>
      <c r="B5992" s="5" t="s">
        <v>8960</v>
      </c>
      <c r="C5992" s="5" t="str">
        <f>IFERROR(__xludf.DUMMYFUNCTION("GOOGLETRANSLATE(A5992,""en"",""hy"")"),"Ո՞վ էր առաջին մարդը, ով ոտք դրեց լուսնի վրա:")</f>
        <v>Ո՞վ էր առաջին մարդը, ով ոտք դրեց լուսնի վրա:</v>
      </c>
      <c r="D5992" s="6" t="str">
        <f>IFERROR(__xludf.DUMMYFUNCTION("GOOGLETRANSLATE(B5992,""en"",""hy"")"),"Նիլ Արմսթրոնգ")</f>
        <v>Նիլ Արմսթրոնգ</v>
      </c>
    </row>
    <row r="5993">
      <c r="A5993" s="5" t="s">
        <v>8053</v>
      </c>
      <c r="B5993" s="5" t="s">
        <v>8424</v>
      </c>
      <c r="C5993" s="5" t="str">
        <f>IFERROR(__xludf.DUMMYFUNCTION("GOOGLETRANSLATE(A5993,""en"",""hy"")"),"Քանի՞ կողմ ունի ութանկյունը:")</f>
        <v>Քանի՞ կողմ ունի ութանկյունը:</v>
      </c>
      <c r="D5993" s="6" t="str">
        <f>IFERROR(__xludf.DUMMYFUNCTION("GOOGLETRANSLATE(B5993,""en"",""hy"")"),"Ութանկյունն ունի 8 կողմ:")</f>
        <v>Ութանկյունն ունի 8 կողմ:</v>
      </c>
    </row>
    <row r="5994">
      <c r="A5994" s="5" t="s">
        <v>7452</v>
      </c>
      <c r="B5994" s="5" t="s">
        <v>7631</v>
      </c>
      <c r="C5994" s="5" t="str">
        <f>IFERROR(__xludf.DUMMYFUNCTION("GOOGLETRANSLATE(A5994,""en"",""hy"")"),"Ո՞րն է ոսկու քիմիական նշանը:")</f>
        <v>Ո՞րն է ոսկու քիմիական նշանը:</v>
      </c>
      <c r="D5994" s="6" t="str">
        <f>IFERROR(__xludf.DUMMYFUNCTION("GOOGLETRANSLATE(B5994,""en"",""hy"")"),"Ավ")</f>
        <v>Ավ</v>
      </c>
    </row>
    <row r="5995">
      <c r="A5995" s="5" t="s">
        <v>7485</v>
      </c>
      <c r="B5995" s="5" t="s">
        <v>7486</v>
      </c>
      <c r="C5995" s="5" t="str">
        <f>IFERROR(__xludf.DUMMYFUNCTION("GOOGLETRANSLATE(A5995,""en"",""hy"")"),"Ո՞վ է Հարի Փոթերի շարքի հեղինակը:")</f>
        <v>Ո՞վ է Հարի Փոթերի շարքի հեղինակը:</v>
      </c>
      <c r="D5995" s="6" t="str">
        <f>IFERROR(__xludf.DUMMYFUNCTION("GOOGLETRANSLATE(B5995,""en"",""hy"")"),"Ջ.Կ. Ռոուլինգ.")</f>
        <v>Ջ.Կ. Ռոուլինգ.</v>
      </c>
    </row>
    <row r="5996">
      <c r="A5996" s="5" t="s">
        <v>8961</v>
      </c>
      <c r="B5996" s="5" t="s">
        <v>8962</v>
      </c>
      <c r="C5996" s="5" t="str">
        <f>IFERROR(__xludf.DUMMYFUNCTION("GOOGLETRANSLATE(A5996,""en"",""hy"")"),"Քանի՞ խաղացող կա ֆուտբոլային (ֆուտբոլային) թիմում:")</f>
        <v>Քանի՞ խաղացող կա ֆուտբոլային (ֆուտբոլային) թիմում:</v>
      </c>
      <c r="D5996" s="6" t="str">
        <f>IFERROR(__xludf.DUMMYFUNCTION("GOOGLETRANSLATE(B5996,""en"",""hy"")"),"Ֆուտբոլային (ֆուտբոլային) թիմում կա 11 խաղացող։")</f>
        <v>Ֆուտբոլային (ֆուտբոլային) թիմում կա 11 խաղացող։</v>
      </c>
    </row>
    <row r="5997">
      <c r="A5997" s="5" t="s">
        <v>8963</v>
      </c>
      <c r="B5997" s="5" t="s">
        <v>7501</v>
      </c>
      <c r="C5997" s="5" t="str">
        <f>IFERROR(__xludf.DUMMYFUNCTION("GOOGLETRANSLATE(A5997,""en"",""hy"")"),"Ո՞ր քաղաքում կգտնեք Էյֆելյան աշտարակը:")</f>
        <v>Ո՞ր քաղաքում կգտնեք Էյֆելյան աշտարակը:</v>
      </c>
      <c r="D5997" s="6" t="str">
        <f>IFERROR(__xludf.DUMMYFUNCTION("GOOGLETRANSLATE(B5997,""en"",""hy"")"),"Փարիզ.")</f>
        <v>Փարիզ.</v>
      </c>
    </row>
    <row r="5998">
      <c r="A5998" s="5" t="s">
        <v>7504</v>
      </c>
      <c r="B5998" s="5" t="s">
        <v>7505</v>
      </c>
      <c r="C5998" s="5" t="str">
        <f>IFERROR(__xludf.DUMMYFUNCTION("GOOGLETRANSLATE(A5998,""en"",""hy"")"),"Ո՞վ է Միացյալ Նահանգների ներկայիս նախագահը:")</f>
        <v>Ո՞վ է Միացյալ Նահանգների ներկայիս նախագահը:</v>
      </c>
      <c r="D5998" s="6" t="str">
        <f>IFERROR(__xludf.DUMMYFUNCTION("GOOGLETRANSLATE(B5998,""en"",""hy"")"),"Ջո Բայդեն.")</f>
        <v>Ջո Բայդեն.</v>
      </c>
    </row>
    <row r="5999">
      <c r="A5999" s="5" t="s">
        <v>8206</v>
      </c>
      <c r="B5999" s="5" t="s">
        <v>1299</v>
      </c>
      <c r="C5999" s="5" t="str">
        <f>IFERROR(__xludf.DUMMYFUNCTION("GOOGLETRANSLATE(A5999,""en"",""hy"")"),"Ո՞րն է Երկրի ամենամեծ մայրցամաքը:")</f>
        <v>Ո՞րն է Երկրի ամենամեծ մայրցամաքը:</v>
      </c>
      <c r="D5999" s="6" t="str">
        <f>IFERROR(__xludf.DUMMYFUNCTION("GOOGLETRANSLATE(B5999,""en"",""hy"")"),"Ասիա.")</f>
        <v>Ասիա.</v>
      </c>
    </row>
    <row r="6000">
      <c r="A6000" s="5" t="s">
        <v>8246</v>
      </c>
      <c r="B6000" s="5" t="s">
        <v>7648</v>
      </c>
      <c r="C6000" s="5" t="str">
        <f>IFERROR(__xludf.DUMMYFUNCTION("GOOGLETRANSLATE(A6000,""en"",""hy"")"),"Ո՞վ է նկարել հայտնի «Աստղային գիշերը» արվեստի գործը:")</f>
        <v>Ո՞վ է նկարել հայտնի «Աստղային գիշերը» արվեստի գործը:</v>
      </c>
      <c r="D6000" s="6" t="str">
        <f>IFERROR(__xludf.DUMMYFUNCTION("GOOGLETRANSLATE(B6000,""en"",""hy"")"),"Վինսենթ վան Գոգ.")</f>
        <v>Վինսենթ վան Գոգ.</v>
      </c>
    </row>
    <row r="6001">
      <c r="A6001" s="5" t="s">
        <v>7780</v>
      </c>
      <c r="B6001" s="5" t="s">
        <v>2951</v>
      </c>
      <c r="C6001" s="5" t="str">
        <f>IFERROR(__xludf.DUMMYFUNCTION("GOOGLETRANSLATE(A6001,""en"",""hy"")"),"Ո՞րն է Կանադայի մայրաքաղաքը:")</f>
        <v>Ո՞րն է Կանադայի մայրաքաղաքը:</v>
      </c>
      <c r="D6001" s="6" t="str">
        <f>IFERROR(__xludf.DUMMYFUNCTION("GOOGLETRANSLATE(B6001,""en"",""hy"")"),"Օտտավա.")</f>
        <v>Օտտավա.</v>
      </c>
    </row>
    <row r="6002">
      <c r="A6002" s="5" t="s">
        <v>8099</v>
      </c>
      <c r="B6002" s="5" t="s">
        <v>8100</v>
      </c>
      <c r="C6002" s="5" t="str">
        <f>IFERROR(__xludf.DUMMYFUNCTION("GOOGLETRANSLATE(A6002,""en"",""hy"")"),"Քանի՞ մոլորակ կա մեր արեգակնային համակարգում:")</f>
        <v>Քանի՞ մոլորակ կա մեր արեգակնային համակարգում:</v>
      </c>
      <c r="D6002" s="6" t="str">
        <f>IFERROR(__xludf.DUMMYFUNCTION("GOOGLETRANSLATE(B6002,""en"",""hy"")"),"Մեր Արեգակնային համակարգում կա ութ մոլորակ:")</f>
        <v>Մեր Արեգակնային համակարգում կա ութ մոլորակ:</v>
      </c>
    </row>
    <row r="6003">
      <c r="A6003" s="5" t="s">
        <v>7473</v>
      </c>
      <c r="B6003" s="5" t="s">
        <v>7878</v>
      </c>
      <c r="C6003" s="5" t="str">
        <f>IFERROR(__xludf.DUMMYFUNCTION("GOOGLETRANSLATE(A6003,""en"",""hy"")"),"Ո՞վ է նկարել Սիքստինյան կապելլայի առաստաղը:")</f>
        <v>Ո՞վ է նկարել Սիքստինյան կապելլայի առաստաղը:</v>
      </c>
      <c r="D6003" s="6" t="str">
        <f>IFERROR(__xludf.DUMMYFUNCTION("GOOGLETRANSLATE(B6003,""en"",""hy"")"),"Միքելանջելո")</f>
        <v>Միքելանջելո</v>
      </c>
    </row>
    <row r="6004">
      <c r="A6004" s="5" t="s">
        <v>8580</v>
      </c>
      <c r="B6004" s="5" t="s">
        <v>7472</v>
      </c>
      <c r="C6004" s="5" t="str">
        <f>IFERROR(__xludf.DUMMYFUNCTION("GOOGLETRANSLATE(A6004,""en"",""hy"")"),"Ո՞րն է Երկրի վրա ամենամեծ կաթնասունը:")</f>
        <v>Ո՞րն է Երկրի վրա ամենամեծ կաթնասունը:</v>
      </c>
      <c r="D6004" s="6" t="str">
        <f>IFERROR(__xludf.DUMMYFUNCTION("GOOGLETRANSLATE(B6004,""en"",""hy"")"),"Կապույտ կետը.")</f>
        <v>Կապույտ կետը.</v>
      </c>
    </row>
    <row r="6005">
      <c r="A6005" s="5" t="s">
        <v>8964</v>
      </c>
      <c r="B6005" s="5" t="s">
        <v>8965</v>
      </c>
      <c r="C6005" s="5" t="str">
        <f>IFERROR(__xludf.DUMMYFUNCTION("GOOGLETRANSLATE(A6005,""en"",""hy"")"),"Քանի՞ վայրկյան է մեկ րոպեում:")</f>
        <v>Քանի՞ վայրկյան է մեկ րոպեում:</v>
      </c>
      <c r="D6005" s="6" t="str">
        <f>IFERROR(__xludf.DUMMYFUNCTION("GOOGLETRANSLATE(B6005,""en"",""hy"")"),"Մեկ րոպեում կա 60 վայրկյան:")</f>
        <v>Մեկ րոպեում կա 60 վայրկյան:</v>
      </c>
    </row>
    <row r="6006">
      <c r="A6006" s="5" t="s">
        <v>7477</v>
      </c>
      <c r="B6006" s="5" t="s">
        <v>7784</v>
      </c>
      <c r="C6006" s="5" t="str">
        <f>IFERROR(__xludf.DUMMYFUNCTION("GOOGLETRANSLATE(A6006,""en"",""hy"")"),"Ո՞ր երկիրն է հայտնի որպես «Ծագող արևի երկիր»:")</f>
        <v>Ո՞ր երկիրն է հայտնի որպես «Ծագող արևի երկիր»:</v>
      </c>
      <c r="D6006" s="6" t="str">
        <f>IFERROR(__xludf.DUMMYFUNCTION("GOOGLETRANSLATE(B6006,""en"",""hy"")"),"Ճապոնիա")</f>
        <v>Ճապոնիա</v>
      </c>
    </row>
    <row r="6007">
      <c r="A6007" s="5" t="s">
        <v>7966</v>
      </c>
      <c r="B6007" s="5" t="s">
        <v>7967</v>
      </c>
      <c r="C6007" s="5" t="str">
        <f>IFERROR(__xludf.DUMMYFUNCTION("GOOGLETRANSLATE(A6007,""en"",""hy"")"),"Ո՞վ է եղել առաջին կինը, ով Նոբելյան մրցանակ է ստացել:")</f>
        <v>Ո՞վ է եղել առաջին կինը, ով Նոբելյան մրցանակ է ստացել:</v>
      </c>
      <c r="D6007" s="6" t="str">
        <f>IFERROR(__xludf.DUMMYFUNCTION("GOOGLETRANSLATE(B6007,""en"",""hy"")"),"Մարի Կյուրի.")</f>
        <v>Մարի Կյուրի.</v>
      </c>
    </row>
    <row r="6008">
      <c r="A6008" s="5" t="s">
        <v>7480</v>
      </c>
      <c r="B6008" s="5" t="s">
        <v>8688</v>
      </c>
      <c r="C6008" s="5" t="str">
        <f>IFERROR(__xludf.DUMMYFUNCTION("GOOGLETRANSLATE(A6008,""en"",""hy"")"),"Ո՞րն է Միացյալ Նահանգների ազգային թռչունը:")</f>
        <v>Ո՞րն է Միացյալ Նահանգների ազգային թռչունը:</v>
      </c>
      <c r="D6008" s="6" t="str">
        <f>IFERROR(__xludf.DUMMYFUNCTION("GOOGLETRANSLATE(B6008,""en"",""hy"")"),"Միացյալ Նահանգների ազգային թռչունը ճաղատ արծիվն է:")</f>
        <v>Միացյալ Նահանգների ազգային թռչունը ճաղատ արծիվն է:</v>
      </c>
    </row>
    <row r="6009">
      <c r="A6009" s="5" t="s">
        <v>7927</v>
      </c>
      <c r="B6009" s="5" t="s">
        <v>7928</v>
      </c>
      <c r="C6009" s="5" t="str">
        <f>IFERROR(__xludf.DUMMYFUNCTION("GOOGLETRANSLATE(A6009,""en"",""hy"")"),"Քանի՞ խաղացող կա բասկետբոլի թիմում:")</f>
        <v>Քանի՞ խաղացող կա բասկետբոլի թիմում:</v>
      </c>
      <c r="D6009" s="6" t="str">
        <f>IFERROR(__xludf.DUMMYFUNCTION("GOOGLETRANSLATE(B6009,""en"",""hy"")"),"Բասկետբոլի թիմում հինգ խաղացող կա:")</f>
        <v>Բասկետբոլի թիմում հինգ խաղացող կա:</v>
      </c>
    </row>
    <row r="6010">
      <c r="A6010" s="5" t="s">
        <v>8966</v>
      </c>
      <c r="B6010" s="5" t="s">
        <v>1016</v>
      </c>
      <c r="C6010" s="5" t="str">
        <f>IFERROR(__xludf.DUMMYFUNCTION("GOOGLETRANSLATE(A6010,""en"",""hy"")"),"Ո՞վ է գրել հայտնի «Ռոմեո և Ջուլիետ» պիեսը:")</f>
        <v>Ո՞վ է գրել հայտնի «Ռոմեո և Ջուլիետ» պիեսը:</v>
      </c>
      <c r="D6010" s="6" t="str">
        <f>IFERROR(__xludf.DUMMYFUNCTION("GOOGLETRANSLATE(B6010,""en"",""hy"")"),"Ուիլյամ Շեքսպիր.")</f>
        <v>Ուիլյամ Շեքսպիր.</v>
      </c>
    </row>
    <row r="6011">
      <c r="A6011" s="5" t="s">
        <v>8967</v>
      </c>
      <c r="B6011" s="5" t="s">
        <v>8968</v>
      </c>
      <c r="C6011" s="5" t="str">
        <f>IFERROR(__xludf.DUMMYFUNCTION("GOOGLETRANSLATE(A6011,""en"",""hy"")"),"Ո՞ր մայրցամաքն է Երկրի վրա ամենաչորը:")</f>
        <v>Ո՞ր մայրցամաքն է Երկրի վրա ամենաչորը:</v>
      </c>
      <c r="D6011" s="6" t="str">
        <f>IFERROR(__xludf.DUMMYFUNCTION("GOOGLETRANSLATE(B6011,""en"",""hy"")"),"Անտարկտիկա.")</f>
        <v>Անտարկտիկա.</v>
      </c>
    </row>
    <row r="6012">
      <c r="A6012" s="5" t="s">
        <v>7557</v>
      </c>
      <c r="B6012" s="5" t="s">
        <v>7558</v>
      </c>
      <c r="C6012" s="5" t="str">
        <f>IFERROR(__xludf.DUMMYFUNCTION("GOOGLETRANSLATE(A6012,""en"",""hy"")"),"Ո՞րն է երկաթի քիմիական նշանը:")</f>
        <v>Ո՞րն է երկաթի քիմիական նշանը:</v>
      </c>
      <c r="D6012" s="6" t="str">
        <f>IFERROR(__xludf.DUMMYFUNCTION("GOOGLETRANSLATE(B6012,""en"",""hy"")"),"Ֆե")</f>
        <v>Ֆե</v>
      </c>
    </row>
    <row r="6013">
      <c r="A6013" s="5" t="s">
        <v>7513</v>
      </c>
      <c r="B6013" s="5" t="s">
        <v>8337</v>
      </c>
      <c r="C6013" s="5" t="str">
        <f>IFERROR(__xludf.DUMMYFUNCTION("GOOGLETRANSLATE(A6013,""en"",""hy"")"),"Ո՞րն է աշխարհի ամենամեծ անապատը:")</f>
        <v>Ո՞րն է աշխարհի ամենամեծ անապատը:</v>
      </c>
      <c r="D6013" s="6" t="str">
        <f>IFERROR(__xludf.DUMMYFUNCTION("GOOGLETRANSLATE(B6013,""en"",""hy"")"),"Աշխարհի ամենամեծ անապատը Անտարկտիդայի անապատն է։")</f>
        <v>Աշխարհի ամենամեծ անապատը Անտարկտիդայի անապատն է։</v>
      </c>
    </row>
    <row r="6014">
      <c r="A6014" s="5" t="s">
        <v>8672</v>
      </c>
      <c r="B6014" s="5" t="s">
        <v>7921</v>
      </c>
      <c r="C6014" s="5" t="str">
        <f>IFERROR(__xludf.DUMMYFUNCTION("GOOGLETRANSLATE(A6014,""en"",""hy"")"),"Ո՞ր երկրում կգտնեք Թաջ Մահալը:")</f>
        <v>Ո՞ր երկրում կգտնեք Թաջ Մահալը:</v>
      </c>
      <c r="D6014" s="6" t="str">
        <f>IFERROR(__xludf.DUMMYFUNCTION("GOOGLETRANSLATE(B6014,""en"",""hy"")"),"Հնդկաստան.")</f>
        <v>Հնդկաստան.</v>
      </c>
    </row>
    <row r="6015">
      <c r="A6015" s="5" t="s">
        <v>8306</v>
      </c>
      <c r="B6015" s="5" t="s">
        <v>8969</v>
      </c>
      <c r="C6015" s="5" t="str">
        <f>IFERROR(__xludf.DUMMYFUNCTION("GOOGLETRANSLATE(A6015,""en"",""hy"")"),"Ո՞վ է «1984» գրքի հեղինակը.")</f>
        <v>Ո՞վ է «1984» գրքի հեղինակը.</v>
      </c>
      <c r="D6015" s="6" t="str">
        <f>IFERROR(__xludf.DUMMYFUNCTION("GOOGLETRANSLATE(B6015,""en"",""hy"")"),"«1984» գրքի հեղինակը Ջորջ Օրուելն է։")</f>
        <v>«1984» գրքի հեղինակը Ջորջ Օրուելն է։</v>
      </c>
    </row>
    <row r="6016">
      <c r="A6016" s="5" t="s">
        <v>7500</v>
      </c>
      <c r="B6016" s="5" t="s">
        <v>7501</v>
      </c>
      <c r="C6016" s="5" t="str">
        <f>IFERROR(__xludf.DUMMYFUNCTION("GOOGLETRANSLATE(A6016,""en"",""hy"")"),"Ո՞րն է Ֆրանսիայի մայրաքաղաքը:")</f>
        <v>Ո՞րն է Ֆրանսիայի մայրաքաղաքը:</v>
      </c>
      <c r="D6016" s="6" t="str">
        <f>IFERROR(__xludf.DUMMYFUNCTION("GOOGLETRANSLATE(B6016,""en"",""hy"")"),"Փարիզ.")</f>
        <v>Փարիզ.</v>
      </c>
    </row>
    <row r="6017">
      <c r="A6017" s="5" t="s">
        <v>8970</v>
      </c>
      <c r="B6017" s="5" t="s">
        <v>8971</v>
      </c>
      <c r="C6017" s="5" t="str">
        <f>IFERROR(__xludf.DUMMYFUNCTION("GOOGLETRANSLATE(A6017,""en"",""hy"")"),"Ո՞վ էր Համադաշնության բանակի հրամանատարը ԱՄՆ քաղաքացիական պատերազմի ժամանակ:")</f>
        <v>Ո՞վ էր Համադաշնության բանակի հրամանատարը ԱՄՆ քաղաքացիական պատերազմի ժամանակ:</v>
      </c>
      <c r="D6017" s="6" t="str">
        <f>IFERROR(__xludf.DUMMYFUNCTION("GOOGLETRANSLATE(B6017,""en"",""hy"")"),"Ռոբերտ Է.Լի.")</f>
        <v>Ռոբերտ Է.Լի.</v>
      </c>
    </row>
    <row r="6018">
      <c r="A6018" s="5" t="s">
        <v>8972</v>
      </c>
      <c r="B6018" s="5" t="s">
        <v>8973</v>
      </c>
      <c r="C6018" s="5" t="str">
        <f>IFERROR(__xludf.DUMMYFUNCTION("GOOGLETRANSLATE(A6018,""en"",""hy"")"),"Քանի՞ մոլորակ է համարվում քարքարոտ մեր Արեգակնային համակարգում:")</f>
        <v>Քանի՞ մոլորակ է համարվում քարքարոտ մեր Արեգակնային համակարգում:</v>
      </c>
      <c r="D6018" s="6" t="str">
        <f>IFERROR(__xludf.DUMMYFUNCTION("GOOGLETRANSLATE(B6018,""en"",""hy"")"),"Մեր Արեգակնային համակարգում չորս մոլորակներ համարվում են քարքարոտ:")</f>
        <v>Մեր Արեգակնային համակարգում չորս մոլորակներ համարվում են քարքարոտ:</v>
      </c>
    </row>
    <row r="6019">
      <c r="A6019" s="5" t="s">
        <v>7449</v>
      </c>
      <c r="B6019" s="5" t="s">
        <v>8141</v>
      </c>
      <c r="C6019" s="5" t="str">
        <f>IFERROR(__xludf.DUMMYFUNCTION("GOOGLETRANSLATE(A6019,""en"",""hy"")"),"Ո՞րն է աշխարհի ամենամեծ երկիրը ցամաքային տարածքով:")</f>
        <v>Ո՞րն է աշխարհի ամենամեծ երկիրը ցամաքային տարածքով:</v>
      </c>
      <c r="D6019" s="6" t="str">
        <f>IFERROR(__xludf.DUMMYFUNCTION("GOOGLETRANSLATE(B6019,""en"",""hy"")"),"Ռուսաստան")</f>
        <v>Ռուսաստան</v>
      </c>
    </row>
    <row r="6020">
      <c r="A6020" s="5" t="s">
        <v>8123</v>
      </c>
      <c r="B6020" s="5" t="s">
        <v>7448</v>
      </c>
      <c r="C6020" s="5" t="str">
        <f>IFERROR(__xludf.DUMMYFUNCTION("GOOGLETRANSLATE(A6020,""en"",""hy"")"),"Ո՞վ է նկարել հայտնի «Վերջին ընթրիքը» ստեղծագործությունը:")</f>
        <v>Ո՞վ է նկարել հայտնի «Վերջին ընթրիքը» ստեղծագործությունը:</v>
      </c>
      <c r="D6020" s="6" t="str">
        <f>IFERROR(__xludf.DUMMYFUNCTION("GOOGLETRANSLATE(B6020,""en"",""hy"")"),"Լեոնարդո դա Վինչի.")</f>
        <v>Լեոնարդո դա Վինչի.</v>
      </c>
    </row>
    <row r="6021">
      <c r="A6021" s="5" t="s">
        <v>8161</v>
      </c>
      <c r="B6021" s="5" t="s">
        <v>8162</v>
      </c>
      <c r="C6021" s="5" t="str">
        <f>IFERROR(__xludf.DUMMYFUNCTION("GOOGLETRANSLATE(A6021,""en"",""hy"")"),"Ո՞րն է Ճապոնիայի ազգային ծաղիկը:")</f>
        <v>Ո՞րն է Ճապոնիայի ազգային ծաղիկը:</v>
      </c>
      <c r="D6021" s="6" t="str">
        <f>IFERROR(__xludf.DUMMYFUNCTION("GOOGLETRANSLATE(B6021,""en"",""hy"")"),"Ճապոնիայի ազգային ծաղիկը բալի ծաղիկն է:")</f>
        <v>Ճապոնիայի ազգային ծաղիկը բալի ծաղիկն է:</v>
      </c>
    </row>
    <row r="6022">
      <c r="A6022" s="5" t="s">
        <v>8332</v>
      </c>
      <c r="B6022" s="5" t="s">
        <v>8333</v>
      </c>
      <c r="C6022" s="5" t="str">
        <f>IFERROR(__xludf.DUMMYFUNCTION("GOOGLETRANSLATE(A6022,""en"",""hy"")"),"Քանի՞ լար ունի ստանդարտ կիթառը:")</f>
        <v>Քանի՞ լար ունի ստանդարտ կիթառը:</v>
      </c>
      <c r="D6022" s="6" t="str">
        <f>IFERROR(__xludf.DUMMYFUNCTION("GOOGLETRANSLATE(B6022,""en"",""hy"")"),"Ստանդարտ կիթառն ունի վեց լար:")</f>
        <v>Ստանդարտ կիթառն ունի վեց լար:</v>
      </c>
    </row>
    <row r="6023">
      <c r="A6023" s="5" t="s">
        <v>7854</v>
      </c>
      <c r="B6023" s="5" t="s">
        <v>7458</v>
      </c>
      <c r="C6023" s="5" t="str">
        <f>IFERROR(__xludf.DUMMYFUNCTION("GOOGLETRANSLATE(A6023,""en"",""hy"")"),"Ո՞վ էր Միացյալ Նահանգների առաջին նախագահը:")</f>
        <v>Ո՞վ էր Միացյալ Նահանգների առաջին նախագահը:</v>
      </c>
      <c r="D6023" s="6" t="str">
        <f>IFERROR(__xludf.DUMMYFUNCTION("GOOGLETRANSLATE(B6023,""en"",""hy"")"),"Ջորջ Վաշինգտոն.")</f>
        <v>Ջորջ Վաշինգտոն.</v>
      </c>
    </row>
    <row r="6024">
      <c r="A6024" s="5" t="s">
        <v>7983</v>
      </c>
      <c r="B6024" s="5" t="s">
        <v>7725</v>
      </c>
      <c r="C6024" s="5" t="str">
        <f>IFERROR(__xludf.DUMMYFUNCTION("GOOGLETRANSLATE(A6024,""en"",""hy"")"),"Ո՞րն է աշխարհի ամենամեծ անձրևային անտառը:")</f>
        <v>Ո՞րն է աշխարհի ամենամեծ անձրևային անտառը:</v>
      </c>
      <c r="D6024" s="6" t="str">
        <f>IFERROR(__xludf.DUMMYFUNCTION("GOOGLETRANSLATE(B6024,""en"",""hy"")"),"Ամազոնի անձրևային անտառ.")</f>
        <v>Ամազոնի անձրևային անտառ.</v>
      </c>
    </row>
    <row r="6025">
      <c r="A6025" s="5" t="s">
        <v>8974</v>
      </c>
      <c r="B6025" s="5" t="s">
        <v>7512</v>
      </c>
      <c r="C6025" s="5" t="str">
        <f>IFERROR(__xludf.DUMMYFUNCTION("GOOGLETRANSLATE(A6025,""en"",""hy"")"),"Ո՞ր երկրում կգտնեք Գիզայի բուրգերը:")</f>
        <v>Ո՞ր երկրում կգտնեք Գիզայի բուրգերը:</v>
      </c>
      <c r="D6025" s="6" t="str">
        <f>IFERROR(__xludf.DUMMYFUNCTION("GOOGLETRANSLATE(B6025,""en"",""hy"")"),"Եգիպտոս.")</f>
        <v>Եգիպտոս.</v>
      </c>
    </row>
    <row r="6026">
      <c r="A6026" s="5" t="s">
        <v>7528</v>
      </c>
      <c r="B6026" s="5" t="s">
        <v>7529</v>
      </c>
      <c r="C6026" s="5" t="str">
        <f>IFERROR(__xludf.DUMMYFUNCTION("GOOGLETRANSLATE(A6026,""en"",""hy"")"),"Ո՞վ է Գերմանիայի ներկայիս կանցլերը:")</f>
        <v>Ո՞վ է Գերմանիայի ներկայիս կանցլերը:</v>
      </c>
      <c r="D6026" s="6" t="str">
        <f>IFERROR(__xludf.DUMMYFUNCTION("GOOGLETRANSLATE(B6026,""en"",""hy"")"),"Անգելա Մերկել.")</f>
        <v>Անգելա Մերկել.</v>
      </c>
    </row>
    <row r="6027">
      <c r="A6027" s="5" t="s">
        <v>7696</v>
      </c>
      <c r="B6027" s="5" t="s">
        <v>7697</v>
      </c>
      <c r="C6027" s="5" t="str">
        <f>IFERROR(__xludf.DUMMYFUNCTION("GOOGLETRANSLATE(A6027,""en"",""hy"")"),"Ո՞րն է մարդու մարմնի ամենափոքր ոսկորը:")</f>
        <v>Ո՞րն է մարդու մարմնի ամենափոքր ոսկորը:</v>
      </c>
      <c r="D6027" s="6" t="str">
        <f>IFERROR(__xludf.DUMMYFUNCTION("GOOGLETRANSLATE(B6027,""en"",""hy"")"),"Մարդու մարմնի ամենափոքր ոսկորը ականջի բծավոր ոսկորն է:")</f>
        <v>Մարդու մարմնի ամենափոքր ոսկորը ականջի բծավոր ոսկորն է:</v>
      </c>
    </row>
    <row r="6028">
      <c r="A6028" s="5" t="s">
        <v>8975</v>
      </c>
      <c r="B6028" s="5" t="s">
        <v>8976</v>
      </c>
      <c r="C6028" s="5" t="str">
        <f>IFERROR(__xludf.DUMMYFUNCTION("GOOGLETRANSLATE(A6028,""en"",""hy"")"),"Ո՞վ էր առաջին մարդը, ով արժանացավ ֆիզիկայի Նոբելյան մրցանակի:")</f>
        <v>Ո՞վ էր առաջին մարդը, ով արժանացավ ֆիզիկայի Նոբելյան մրցանակի:</v>
      </c>
      <c r="D6028" s="6" t="str">
        <f>IFERROR(__xludf.DUMMYFUNCTION("GOOGLETRANSLATE(B6028,""en"",""hy"")"),"Վիլհելմ Կոնրադ Ռենտգեն")</f>
        <v>Վիլհելմ Կոնրադ Ռենտգեն</v>
      </c>
    </row>
    <row r="6029">
      <c r="A6029" s="5" t="s">
        <v>7665</v>
      </c>
      <c r="B6029" s="5" t="s">
        <v>7781</v>
      </c>
      <c r="C6029" s="5" t="str">
        <f>IFERROR(__xludf.DUMMYFUNCTION("GOOGLETRANSLATE(A6029,""en"",""hy"")"),"Ո՞րն է նատրիումի քիմիական նշանը:")</f>
        <v>Ո՞րն է նատրիումի քիմիական նշանը:</v>
      </c>
      <c r="D6029" s="6" t="str">
        <f>IFERROR(__xludf.DUMMYFUNCTION("GOOGLETRANSLATE(B6029,""en"",""hy"")"),"Նատրիումի քիմիական նշանը Na է:")</f>
        <v>Նատրիումի քիմիական նշանը Na է:</v>
      </c>
    </row>
    <row r="6030">
      <c r="A6030" s="5" t="s">
        <v>7618</v>
      </c>
      <c r="B6030" s="5" t="s">
        <v>8266</v>
      </c>
      <c r="C6030" s="5" t="str">
        <f>IFERROR(__xludf.DUMMYFUNCTION("GOOGLETRANSLATE(A6030,""en"",""hy"")"),"Ո՞րն է աշխարհի ամենամեծ ջրվեժը:")</f>
        <v>Ո՞րն է աշխարհի ամենամեծ ջրվեժը:</v>
      </c>
      <c r="D6030" s="6" t="str">
        <f>IFERROR(__xludf.DUMMYFUNCTION("GOOGLETRANSLATE(B6030,""en"",""hy"")"),"Աշխարհի ամենամեծ ջրվեժը Վենեսուելայում գտնվող Անխել ջրվեժն է:")</f>
        <v>Աշխարհի ամենամեծ ջրվեժը Վենեսուելայում գտնվող Անխել ջրվեժն է:</v>
      </c>
    </row>
    <row r="6031">
      <c r="A6031" s="5" t="s">
        <v>8371</v>
      </c>
      <c r="B6031" s="5" t="s">
        <v>7878</v>
      </c>
      <c r="C6031" s="5" t="str">
        <f>IFERROR(__xludf.DUMMYFUNCTION("GOOGLETRANSLATE(A6031,""en"",""hy"")"),"Ո՞վ է նկարել հայտնի «Ադամի ստեղծումը» ստեղծագործությունը:")</f>
        <v>Ո՞վ է նկարել հայտնի «Ադամի ստեղծումը» ստեղծագործությունը:</v>
      </c>
      <c r="D6031" s="6" t="str">
        <f>IFERROR(__xludf.DUMMYFUNCTION("GOOGLETRANSLATE(B6031,""en"",""hy"")"),"Միքելանջելո")</f>
        <v>Միքելանջելո</v>
      </c>
    </row>
    <row r="6032">
      <c r="A6032" s="5" t="s">
        <v>8977</v>
      </c>
      <c r="B6032" s="5" t="s">
        <v>2400</v>
      </c>
      <c r="C6032" s="5" t="str">
        <f>IFERROR(__xludf.DUMMYFUNCTION("GOOGLETRANSLATE(A6032,""en"",""hy"")"),"Ո՞ր քաղաքում կգտնեք Ազատության արձանը:")</f>
        <v>Ո՞ր քաղաքում կգտնեք Ազատության արձանը:</v>
      </c>
      <c r="D6032" s="6" t="str">
        <f>IFERROR(__xludf.DUMMYFUNCTION("GOOGLETRANSLATE(B6032,""en"",""hy"")"),"Նյու Յորք.")</f>
        <v>Նյու Յորք.</v>
      </c>
    </row>
    <row r="6033">
      <c r="A6033" s="5" t="s">
        <v>7566</v>
      </c>
      <c r="B6033" s="5" t="s">
        <v>8978</v>
      </c>
      <c r="C6033" s="5" t="str">
        <f>IFERROR(__xludf.DUMMYFUNCTION("GOOGLETRANSLATE(A6033,""en"",""hy"")"),"Ո՞վ է Կանադայի ներկայիս վարչապետը:")</f>
        <v>Ո՞վ է Կանադայի ներկայիս վարչապետը:</v>
      </c>
      <c r="D6033" s="6" t="str">
        <f>IFERROR(__xludf.DUMMYFUNCTION("GOOGLETRANSLATE(B6033,""en"",""hy"")"),"Կանադայի ներկայիս վարչապետը Ջասթին Թրյուդոն է։")</f>
        <v>Կանադայի ներկայիս վարչապետը Ջասթին Թրյուդոն է։</v>
      </c>
    </row>
    <row r="6034">
      <c r="A6034" s="5" t="s">
        <v>8287</v>
      </c>
      <c r="B6034" s="5" t="s">
        <v>8288</v>
      </c>
      <c r="C6034" s="5" t="str">
        <f>IFERROR(__xludf.DUMMYFUNCTION("GOOGLETRANSLATE(A6034,""en"",""hy"")"),"Քանի՞ մայրցամաք կա:")</f>
        <v>Քանի՞ մայրցամաք կա:</v>
      </c>
      <c r="D6034" s="6" t="str">
        <f>IFERROR(__xludf.DUMMYFUNCTION("GOOGLETRANSLATE(B6034,""en"",""hy"")"),"Կան յոթ մայրցամաքներ.")</f>
        <v>Կան յոթ մայրցամաքներ.</v>
      </c>
    </row>
    <row r="6035">
      <c r="A6035" s="5" t="s">
        <v>8979</v>
      </c>
      <c r="B6035" s="5" t="s">
        <v>8980</v>
      </c>
      <c r="C6035" s="5" t="str">
        <f>IFERROR(__xludf.DUMMYFUNCTION("GOOGLETRANSLATE(A6035,""en"",""hy"")"),"Ո՞րն է Ավրորա Բորեալիսի ընդհանուր անվանումը:")</f>
        <v>Ո՞րն է Ավրորա Բորեալիսի ընդհանուր անվանումը:</v>
      </c>
      <c r="D6035" s="6" t="str">
        <f>IFERROR(__xludf.DUMMYFUNCTION("GOOGLETRANSLATE(B6035,""en"",""hy"")"),"Հյուսիսային լույսերը.")</f>
        <v>Հյուսիսային լույսերը.</v>
      </c>
    </row>
    <row r="6036">
      <c r="A6036" s="5" t="s">
        <v>8981</v>
      </c>
      <c r="B6036" s="5" t="s">
        <v>7630</v>
      </c>
      <c r="C6036" s="5" t="str">
        <f>IFERROR(__xludf.DUMMYFUNCTION("GOOGLETRANSLATE(A6036,""en"",""hy"")"),"Ո՞վ է գրել հայտնի «Հպարտություն և նախապաշարմունք» վեպը։")</f>
        <v>Ո՞վ է գրել հայտնի «Հպարտություն և նախապաշարմունք» վեպը։</v>
      </c>
      <c r="D6036" s="6" t="str">
        <f>IFERROR(__xludf.DUMMYFUNCTION("GOOGLETRANSLATE(B6036,""en"",""hy"")"),"Ջեյն Օսթին.")</f>
        <v>Ջեյն Օսթին.</v>
      </c>
    </row>
    <row r="6037">
      <c r="A6037" s="5" t="s">
        <v>8408</v>
      </c>
      <c r="B6037" s="5" t="s">
        <v>8409</v>
      </c>
      <c r="C6037" s="5" t="str">
        <f>IFERROR(__xludf.DUMMYFUNCTION("GOOGLETRANSLATE(A6037,""en"",""hy"")"),"Քանի՞ ոտք ունի սարդը:")</f>
        <v>Քանի՞ ոտք ունի սարդը:</v>
      </c>
      <c r="D6037" s="6" t="str">
        <f>IFERROR(__xludf.DUMMYFUNCTION("GOOGLETRANSLATE(B6037,""en"",""hy"")"),"Սարդն ունի ութ ոտք:")</f>
        <v>Սարդն ունի ութ ոտք:</v>
      </c>
    </row>
    <row r="6038">
      <c r="A6038" s="5" t="s">
        <v>7897</v>
      </c>
      <c r="B6038" s="5" t="s">
        <v>7898</v>
      </c>
      <c r="C6038" s="5" t="str">
        <f>IFERROR(__xludf.DUMMYFUNCTION("GOOGLETRANSLATE(A6038,""en"",""hy"")"),"Ո՞րն է Արգենտինայի մայրաքաղաքը:")</f>
        <v>Ո՞րն է Արգենտինայի մայրաքաղաքը:</v>
      </c>
      <c r="D6038" s="6" t="str">
        <f>IFERROR(__xludf.DUMMYFUNCTION("GOOGLETRANSLATE(B6038,""en"",""hy"")"),"Բուենոս Այրես.")</f>
        <v>Բուենոս Այրես.</v>
      </c>
    </row>
    <row r="6039">
      <c r="A6039" s="5" t="s">
        <v>7773</v>
      </c>
      <c r="B6039" s="5" t="s">
        <v>7941</v>
      </c>
      <c r="C6039" s="5" t="str">
        <f>IFERROR(__xludf.DUMMYFUNCTION("GOOGLETRANSLATE(A6039,""en"",""hy"")"),"Ո՞վ է հայտնաբերել պենիցիլինը:")</f>
        <v>Ո՞վ է հայտնաբերել պենիցիլինը:</v>
      </c>
      <c r="D6039" s="6" t="str">
        <f>IFERROR(__xludf.DUMMYFUNCTION("GOOGLETRANSLATE(B6039,""en"",""hy"")"),"Ալեքսանդր Ֆլեմինգ")</f>
        <v>Ալեքսանդր Ֆլեմինգ</v>
      </c>
    </row>
    <row r="6040">
      <c r="A6040" s="5" t="s">
        <v>8075</v>
      </c>
      <c r="B6040" s="5" t="s">
        <v>8982</v>
      </c>
      <c r="C6040" s="5" t="str">
        <f>IFERROR(__xludf.DUMMYFUNCTION("GOOGLETRANSLATE(A6040,""en"",""hy"")"),"Ո՞րն է աշխարհի ամենամեծ հրաբուխը:")</f>
        <v>Ո՞րն է աշխարհի ամենամեծ հրաբուխը:</v>
      </c>
      <c r="D6040" s="6" t="str">
        <f>IFERROR(__xludf.DUMMYFUNCTION("GOOGLETRANSLATE(B6040,""en"",""hy"")"),"Մաունա Լոա")</f>
        <v>Մաունա Լոա</v>
      </c>
    </row>
    <row r="6041">
      <c r="A6041" s="5" t="s">
        <v>8983</v>
      </c>
      <c r="B6041" s="5" t="s">
        <v>8984</v>
      </c>
      <c r="C6041" s="5" t="str">
        <f>IFERROR(__xludf.DUMMYFUNCTION("GOOGLETRANSLATE(A6041,""en"",""hy"")"),"Քանի՞ շերտ կա Միացյալ Նահանգների դրոշի վրա:")</f>
        <v>Քանի՞ շերտ կա Միացյալ Նահանգների դրոշի վրա:</v>
      </c>
      <c r="D6041" s="6" t="str">
        <f>IFERROR(__xludf.DUMMYFUNCTION("GOOGLETRANSLATE(B6041,""en"",""hy"")"),"Միացյալ Նահանգների դրոշի վրա կա 13 գծեր։")</f>
        <v>Միացյալ Նահանգների դրոշի վրա կա 13 գծեր։</v>
      </c>
    </row>
    <row r="6042">
      <c r="A6042" s="5" t="s">
        <v>8134</v>
      </c>
      <c r="B6042" s="5" t="s">
        <v>8711</v>
      </c>
      <c r="C6042" s="5" t="str">
        <f>IFERROR(__xludf.DUMMYFUNCTION("GOOGLETRANSLATE(A6042,""en"",""hy"")"),"Ո՞վ է Չինաստանի ներկայիս նախագահը.")</f>
        <v>Ո՞վ է Չինաստանի ներկայիս նախագահը.</v>
      </c>
      <c r="D6042" s="6" t="str">
        <f>IFERROR(__xludf.DUMMYFUNCTION("GOOGLETRANSLATE(B6042,""en"",""hy"")"),"Սի Ցզինպին.")</f>
        <v>Սի Ցզինպին.</v>
      </c>
    </row>
    <row r="6043">
      <c r="A6043" s="5" t="s">
        <v>7699</v>
      </c>
      <c r="B6043" s="5" t="s">
        <v>7700</v>
      </c>
      <c r="C6043" s="5" t="str">
        <f>IFERROR(__xludf.DUMMYFUNCTION("GOOGLETRANSLATE(A6043,""en"",""hy"")"),"Ո՞րն է ածխածնի քիմիական նշանը:")</f>
        <v>Ո՞րն է ածխածնի քիմիական նշանը:</v>
      </c>
      <c r="D6043" s="6" t="str">
        <f>IFERROR(__xludf.DUMMYFUNCTION("GOOGLETRANSLATE(B6043,""en"",""hy"")"),"Ածխածնի քիմիական նշանը C է:")</f>
        <v>Ածխածնի քիմիական նշանը C է:</v>
      </c>
    </row>
    <row r="6044">
      <c r="A6044" s="5" t="s">
        <v>8179</v>
      </c>
      <c r="B6044" s="5" t="s">
        <v>7723</v>
      </c>
      <c r="C6044" s="5" t="str">
        <f>IFERROR(__xludf.DUMMYFUNCTION("GOOGLETRANSLATE(A6044,""en"",""hy"")"),"Ո՞րն է Աֆրիկայի ամենաբարձր լեռը:")</f>
        <v>Ո՞րն է Աֆրիկայի ամենաբարձր լեռը:</v>
      </c>
      <c r="D6044" s="6" t="str">
        <f>IFERROR(__xludf.DUMMYFUNCTION("GOOGLETRANSLATE(B6044,""en"",""hy"")"),"Կիլիմանջարո լեռ.")</f>
        <v>Կիլիմանջարո լեռ.</v>
      </c>
    </row>
    <row r="6045">
      <c r="A6045" s="5" t="s">
        <v>8985</v>
      </c>
      <c r="B6045" s="5" t="s">
        <v>6334</v>
      </c>
      <c r="C6045" s="5" t="str">
        <f>IFERROR(__xludf.DUMMYFUNCTION("GOOGLETRANSLATE(A6045,""en"",""hy"")"),"Ո՞ր երկրում կգտնեք Կոլիզեյը:")</f>
        <v>Ո՞ր երկրում կգտնեք Կոլիզեյը:</v>
      </c>
      <c r="D6045" s="6" t="str">
        <f>IFERROR(__xludf.DUMMYFUNCTION("GOOGLETRANSLATE(B6045,""en"",""hy"")"),"Իտալիա.")</f>
        <v>Իտալիա.</v>
      </c>
    </row>
    <row r="6046">
      <c r="A6046" s="5" t="s">
        <v>8263</v>
      </c>
      <c r="B6046" s="5" t="s">
        <v>7613</v>
      </c>
      <c r="C6046" s="5" t="str">
        <f>IFERROR(__xludf.DUMMYFUNCTION("GOOGLETRANSLATE(A6046,""en"",""hy"")"),"Ո՞վ է «Մեծն Գեթսբի» գրքի հեղինակը.")</f>
        <v>Ո՞վ է «Մեծն Գեթսբի» գրքի հեղինակը.</v>
      </c>
      <c r="D6046" s="6" t="str">
        <f>IFERROR(__xludf.DUMMYFUNCTION("GOOGLETRANSLATE(B6046,""en"",""hy"")"),"F. Scott Fitzgerald")</f>
        <v>F. Scott Fitzgerald</v>
      </c>
    </row>
    <row r="6047">
      <c r="A6047" s="5" t="s">
        <v>7795</v>
      </c>
      <c r="B6047" s="5" t="s">
        <v>7796</v>
      </c>
      <c r="C6047" s="5" t="str">
        <f>IFERROR(__xludf.DUMMYFUNCTION("GOOGLETRANSLATE(A6047,""en"",""hy"")"),"Ո՞րն է Եգիպտոսի մայրաքաղաքը:")</f>
        <v>Ո՞րն է Եգիպտոսի մայրաքաղաքը:</v>
      </c>
      <c r="D6047" s="6" t="str">
        <f>IFERROR(__xludf.DUMMYFUNCTION("GOOGLETRANSLATE(B6047,""en"",""hy"")"),"Կահիրե.")</f>
        <v>Կահիրե.</v>
      </c>
    </row>
    <row r="6048">
      <c r="A6048" s="5" t="s">
        <v>8223</v>
      </c>
      <c r="B6048" s="5" t="s">
        <v>8986</v>
      </c>
      <c r="C6048" s="5" t="str">
        <f>IFERROR(__xludf.DUMMYFUNCTION("GOOGLETRANSLATE(A6048,""en"",""hy"")"),"Ո՞վ է հայտնաբերել էլեկտրաէներգիան:")</f>
        <v>Ո՞վ է հայտնաբերել էլեկտրաէներգիան:</v>
      </c>
      <c r="D6048" s="6" t="str">
        <f>IFERROR(__xludf.DUMMYFUNCTION("GOOGLETRANSLATE(B6048,""en"",""hy"")"),"Բենջամին Ֆրանկլինին վերագրվում է էլեկտրաէներգիայի հայտնաբերումը:")</f>
        <v>Բենջամին Ֆրանկլինին վերագրվում է էլեկտրաէներգիայի հայտնաբերումը:</v>
      </c>
    </row>
    <row r="6049">
      <c r="A6049" s="5" t="s">
        <v>8651</v>
      </c>
      <c r="B6049" s="5" t="s">
        <v>8652</v>
      </c>
      <c r="C6049" s="5" t="str">
        <f>IFERROR(__xludf.DUMMYFUNCTION("GOOGLETRANSLATE(A6049,""en"",""hy"")"),"Քանի՞ կողմ ունի եռանկյունը:")</f>
        <v>Քանի՞ կողմ ունի եռանկյունը:</v>
      </c>
      <c r="D6049" s="6" t="str">
        <f>IFERROR(__xludf.DUMMYFUNCTION("GOOGLETRANSLATE(B6049,""en"",""hy"")"),"Եռանկյունն ունի երեք կողմ.")</f>
        <v>Եռանկյունն ունի երեք կողմ.</v>
      </c>
    </row>
    <row r="6050">
      <c r="A6050" s="5" t="s">
        <v>7791</v>
      </c>
      <c r="B6050" s="5" t="s">
        <v>8128</v>
      </c>
      <c r="C6050" s="5" t="str">
        <f>IFERROR(__xludf.DUMMYFUNCTION("GOOGLETRANSLATE(A6050,""en"",""hy"")"),"Ո՞րն է Ավստրալիայի ազգային կենդանին:")</f>
        <v>Ո՞րն է Ավստրալիայի ազգային կենդանին:</v>
      </c>
      <c r="D6050" s="6" t="str">
        <f>IFERROR(__xludf.DUMMYFUNCTION("GOOGLETRANSLATE(B6050,""en"",""hy"")"),"Կենգուրու.")</f>
        <v>Կենգուրու.</v>
      </c>
    </row>
    <row r="6051">
      <c r="A6051" s="5" t="s">
        <v>8987</v>
      </c>
      <c r="B6051" s="5" t="s">
        <v>8988</v>
      </c>
      <c r="C6051" s="5" t="str">
        <f>IFERROR(__xludf.DUMMYFUNCTION("GOOGLETRANSLATE(A6051,""en"",""hy"")"),"Ո՞վ էր առաջին կինը, ով միայնակ թռավ Ատլանտյան օվկիանոսով:")</f>
        <v>Ո՞վ էր առաջին կինը, ով միայնակ թռավ Ատլանտյան օվկիանոսով:</v>
      </c>
      <c r="D6051" s="6" t="str">
        <f>IFERROR(__xludf.DUMMYFUNCTION("GOOGLETRANSLATE(B6051,""en"",""hy"")"),"Ամելիա Էրհարթ.")</f>
        <v>Ամելիա Էրհարթ.</v>
      </c>
    </row>
    <row r="6052">
      <c r="A6052" s="5" t="s">
        <v>8132</v>
      </c>
      <c r="B6052" s="5" t="s">
        <v>8989</v>
      </c>
      <c r="C6052" s="5" t="str">
        <f>IFERROR(__xludf.DUMMYFUNCTION("GOOGLETRANSLATE(A6052,""en"",""hy"")"),"Ո՞րն է բնակչության թվով աշխարհի ամենամեծ քաղաքը:")</f>
        <v>Ո՞րն է բնակչության թվով աշխարհի ամենամեծ քաղաքը:</v>
      </c>
      <c r="D6052" s="6" t="str">
        <f>IFERROR(__xludf.DUMMYFUNCTION("GOOGLETRANSLATE(B6052,""en"",""hy"")"),"Տոկիո")</f>
        <v>Տոկիո</v>
      </c>
    </row>
    <row r="6053">
      <c r="A6053" s="5" t="s">
        <v>7509</v>
      </c>
      <c r="B6053" s="5" t="s">
        <v>7510</v>
      </c>
      <c r="C6053" s="5" t="str">
        <f>IFERROR(__xludf.DUMMYFUNCTION("GOOGLETRANSLATE(A6053,""en"",""hy"")"),"Ո՞րն է արծաթի քիմիական նշանը:")</f>
        <v>Ո՞րն է արծաթի քիմիական նշանը:</v>
      </c>
      <c r="D6053" s="6" t="str">
        <f>IFERROR(__xludf.DUMMYFUNCTION("GOOGLETRANSLATE(B6053,""en"",""hy"")"),"Ագ")</f>
        <v>Ագ</v>
      </c>
    </row>
    <row r="6054">
      <c r="A6054" s="5" t="s">
        <v>8136</v>
      </c>
      <c r="B6054" s="5" t="s">
        <v>8990</v>
      </c>
      <c r="C6054" s="5" t="str">
        <f>IFERROR(__xludf.DUMMYFUNCTION("GOOGLETRANSLATE(A6054,""en"",""hy"")"),"Ո՞րն է Ֆրանսիայի ազգային ծաղիկը:")</f>
        <v>Ո՞րն է Ֆրանսիայի ազգային ծաղիկը:</v>
      </c>
      <c r="D6054" s="6" t="str">
        <f>IFERROR(__xludf.DUMMYFUNCTION("GOOGLETRANSLATE(B6054,""en"",""hy"")"),"Ֆրանսիայի ազգային ծաղիկը fleur-de-lis-ն է:")</f>
        <v>Ֆրանսիայի ազգային ծաղիկը fleur-de-lis-ն է:</v>
      </c>
    </row>
    <row r="6055">
      <c r="A6055" s="5" t="s">
        <v>8991</v>
      </c>
      <c r="B6055" s="5" t="s">
        <v>7933</v>
      </c>
      <c r="C6055" s="5" t="str">
        <f>IFERROR(__xludf.DUMMYFUNCTION("GOOGLETRANSLATE(A6055,""en"",""hy"")"),"Քանի՞ սենյակ կա մարդու սրտում:")</f>
        <v>Քանի՞ սենյակ կա մարդու սրտում:</v>
      </c>
      <c r="D6055" s="6" t="str">
        <f>IFERROR(__xludf.DUMMYFUNCTION("GOOGLETRANSLATE(B6055,""en"",""hy"")"),"Մարդու սրտում չորս պալատ կա.")</f>
        <v>Մարդու սրտում չորս պալատ կա.</v>
      </c>
    </row>
    <row r="6056">
      <c r="A6056" s="5" t="s">
        <v>8992</v>
      </c>
      <c r="B6056" s="5" t="s">
        <v>8993</v>
      </c>
      <c r="C6056" s="5" t="str">
        <f>IFERROR(__xludf.DUMMYFUNCTION("GOOGLETRANSLATE(A6056,""en"",""hy"")"),"Ո՞վ է նկարահանել «Տիտանիկ» ֆիլմը։")</f>
        <v>Ո՞վ է նկարահանել «Տիտանիկ» ֆիլմը։</v>
      </c>
      <c r="D6056" s="6" t="str">
        <f>IFERROR(__xludf.DUMMYFUNCTION("GOOGLETRANSLATE(B6056,""en"",""hy"")"),"Ջեյմս Քեմերոն.")</f>
        <v>Ջեյմս Քեմերոն.</v>
      </c>
    </row>
    <row r="6057">
      <c r="A6057" s="5" t="s">
        <v>8994</v>
      </c>
      <c r="B6057" s="5" t="s">
        <v>7617</v>
      </c>
      <c r="C6057" s="5" t="str">
        <f>IFERROR(__xludf.DUMMYFUNCTION("GOOGLETRANSLATE(A6057,""en"",""hy"")"),"Ո՞ր քաղաքում կգտնեք Ակրոպոլիսը:")</f>
        <v>Ո՞ր քաղաքում կգտնեք Ակրոպոլիսը:</v>
      </c>
      <c r="D6057" s="6" t="str">
        <f>IFERROR(__xludf.DUMMYFUNCTION("GOOGLETRANSLATE(B6057,""en"",""hy"")"),"Աթենք.")</f>
        <v>Աթենք.</v>
      </c>
    </row>
    <row r="6058">
      <c r="A6058" s="5" t="s">
        <v>8166</v>
      </c>
      <c r="B6058" s="5" t="s">
        <v>5756</v>
      </c>
      <c r="C6058" s="5" t="str">
        <f>IFERROR(__xludf.DUMMYFUNCTION("GOOGLETRANSLATE(A6058,""en"",""hy"")"),"Ո՞վ է Ճապոնիայի ներկայիս վարչապետը:")</f>
        <v>Ո՞վ է Ճապոնիայի ներկայիս վարչապետը:</v>
      </c>
      <c r="D6058" s="6" t="str">
        <f>IFERROR(__xludf.DUMMYFUNCTION("GOOGLETRANSLATE(B6058,""en"",""hy"")"),"Յոսիհիդե Շուգա.")</f>
        <v>Յոսիհիդե Շուգա.</v>
      </c>
    </row>
    <row r="6059">
      <c r="A6059" s="5" t="s">
        <v>7738</v>
      </c>
      <c r="B6059" s="5" t="s">
        <v>7739</v>
      </c>
      <c r="C6059" s="5" t="str">
        <f>IFERROR(__xludf.DUMMYFUNCTION("GOOGLETRANSLATE(A6059,""en"",""hy"")"),"Ո՞րն է կալցիումի քիմիական նշանը:")</f>
        <v>Ո՞րն է կալցիումի քիմիական նշանը:</v>
      </c>
      <c r="D6059" s="6" t="str">
        <f>IFERROR(__xludf.DUMMYFUNCTION("GOOGLETRANSLATE(B6059,""en"",""hy"")"),"Կալցիումի քիմիական նշանը Ca է:")</f>
        <v>Կալցիումի քիմիական նշանը Ca է:</v>
      </c>
    </row>
    <row r="6060">
      <c r="A6060" s="5" t="s">
        <v>8995</v>
      </c>
      <c r="B6060" s="5" t="s">
        <v>8996</v>
      </c>
      <c r="C6060" s="5" t="str">
        <f>IFERROR(__xludf.DUMMYFUNCTION("GOOGLETRANSLATE(A6060,""en"",""hy"")"),"Ո՞րն է աշխարհի ամենամեծ քաղցրահամ լիճն ըստ մակերեսի:")</f>
        <v>Ո՞րն է աշխարհի ամենամեծ քաղցրահամ լիճն ըստ մակերեսի:</v>
      </c>
      <c r="D6060" s="6" t="str">
        <f>IFERROR(__xludf.DUMMYFUNCTION("GOOGLETRANSLATE(B6060,""en"",""hy"")"),"Մակերեսով աշխարհի ամենամեծ քաղցրահամ լիճը Սուպերիոր լիճն է:")</f>
        <v>Մակերեսով աշխարհի ամենամեծ քաղցրահամ լիճը Սուպերիոր լիճն է:</v>
      </c>
    </row>
    <row r="6061">
      <c r="A6061" s="5" t="s">
        <v>8264</v>
      </c>
      <c r="B6061" s="5" t="s">
        <v>7621</v>
      </c>
      <c r="C6061" s="5" t="str">
        <f>IFERROR(__xludf.DUMMYFUNCTION("GOOGLETRANSLATE(A6061,""en"",""hy"")"),"Ո՞վ է նկարել հայտնի «Վեներայի ծնունդը» ստեղծագործությունը:")</f>
        <v>Ո՞վ է նկարել հայտնի «Վեներայի ծնունդը» ստեղծագործությունը:</v>
      </c>
      <c r="D6061" s="6" t="str">
        <f>IFERROR(__xludf.DUMMYFUNCTION("GOOGLETRANSLATE(B6061,""en"",""hy"")"),"Սանդրո Բոտիչելի.")</f>
        <v>Սանդրո Բոտիչելի.</v>
      </c>
    </row>
    <row r="6062">
      <c r="A6062" s="5" t="s">
        <v>7969</v>
      </c>
      <c r="B6062" s="5" t="s">
        <v>7970</v>
      </c>
      <c r="C6062" s="5" t="str">
        <f>IFERROR(__xludf.DUMMYFUNCTION("GOOGLETRANSLATE(A6062,""en"",""hy"")"),"Քանի՞ ոսկոր կա մարդու գանգում:")</f>
        <v>Քանի՞ ոսկոր կա մարդու գանգում:</v>
      </c>
      <c r="D6062" s="6" t="str">
        <f>IFERROR(__xludf.DUMMYFUNCTION("GOOGLETRANSLATE(B6062,""en"",""hy"")"),"Մարդու գանգում կա 22 ոսկոր։")</f>
        <v>Մարդու գանգում կա 22 ոսկոր։</v>
      </c>
    </row>
    <row r="6063">
      <c r="A6063" s="5" t="s">
        <v>7530</v>
      </c>
      <c r="B6063" s="5" t="s">
        <v>7531</v>
      </c>
      <c r="C6063" s="5" t="str">
        <f>IFERROR(__xludf.DUMMYFUNCTION("GOOGLETRANSLATE(A6063,""en"",""hy"")"),"Ո՞րն է Հնդկաստանի ազգային թռչունը:")</f>
        <v>Ո՞րն է Հնդկաստանի ազգային թռչունը:</v>
      </c>
      <c r="D6063" s="6" t="str">
        <f>IFERROR(__xludf.DUMMYFUNCTION("GOOGLETRANSLATE(B6063,""en"",""hy"")"),"Հնդկաստանի ազգային թռչունը սիրամարգն է։")</f>
        <v>Հնդկաստանի ազգային թռչունը սիրամարգն է։</v>
      </c>
    </row>
    <row r="6064">
      <c r="A6064" s="5" t="s">
        <v>8320</v>
      </c>
      <c r="B6064" s="5" t="s">
        <v>7560</v>
      </c>
      <c r="C6064" s="5" t="str">
        <f>IFERROR(__xludf.DUMMYFUNCTION("GOOGLETRANSLATE(A6064,""en"",""hy"")"),"Ո՞վ է «Աշորայի մեջ բռնողը» գրքի հեղինակը.")</f>
        <v>Ո՞վ է «Աշորայի մեջ բռնողը» գրքի հեղինակը.</v>
      </c>
      <c r="D6064" s="6" t="str">
        <f>IFERROR(__xludf.DUMMYFUNCTION("GOOGLETRANSLATE(B6064,""en"",""hy"")"),"Ջ.Դ.Սելինջեր.")</f>
        <v>Ջ.Դ.Սելինջեր.</v>
      </c>
    </row>
    <row r="6065">
      <c r="A6065" s="5" t="s">
        <v>8997</v>
      </c>
      <c r="B6065" s="5" t="s">
        <v>8196</v>
      </c>
      <c r="C6065" s="5" t="str">
        <f>IFERROR(__xludf.DUMMYFUNCTION("GOOGLETRANSLATE(A6065,""en"",""hy"")"),"Քանի՞ տարի կա հազարամյակում:")</f>
        <v>Քանի՞ տարի կա հազարամյակում:</v>
      </c>
      <c r="D6065" s="6" t="str">
        <f>IFERROR(__xludf.DUMMYFUNCTION("GOOGLETRANSLATE(B6065,""en"",""hy"")"),"Հազարամյակում կա 1000 տարի։")</f>
        <v>Հազարամյակում կա 1000 տարի։</v>
      </c>
    </row>
    <row r="6066">
      <c r="A6066" s="5" t="s">
        <v>7536</v>
      </c>
      <c r="B6066" s="5" t="s">
        <v>7537</v>
      </c>
      <c r="C6066" s="5" t="str">
        <f>IFERROR(__xludf.DUMMYFUNCTION("GOOGLETRANSLATE(A6066,""en"",""hy"")"),"Ո՞րն է Ռուսաստանի մայրաքաղաքը:")</f>
        <v>Ո՞րն է Ռուսաստանի մայրաքաղաքը:</v>
      </c>
      <c r="D6066" s="6" t="str">
        <f>IFERROR(__xludf.DUMMYFUNCTION("GOOGLETRANSLATE(B6066,""en"",""hy"")"),"Մոսկվա")</f>
        <v>Մոսկվա</v>
      </c>
    </row>
    <row r="6067">
      <c r="A6067" s="5" t="s">
        <v>8998</v>
      </c>
      <c r="B6067" s="5" t="s">
        <v>7499</v>
      </c>
      <c r="C6067" s="5" t="str">
        <f>IFERROR(__xludf.DUMMYFUNCTION("GOOGLETRANSLATE(A6067,""en"",""hy"")"),"Ո՞վ է մշակել հարաբերականության տեսությունը:")</f>
        <v>Ո՞վ է մշակել հարաբերականության տեսությունը:</v>
      </c>
      <c r="D6067" s="6" t="str">
        <f>IFERROR(__xludf.DUMMYFUNCTION("GOOGLETRANSLATE(B6067,""en"",""hy"")"),"Albert Einstein")</f>
        <v>Albert Einstein</v>
      </c>
    </row>
    <row r="6068">
      <c r="A6068" s="5" t="s">
        <v>8999</v>
      </c>
      <c r="B6068" s="5" t="s">
        <v>9000</v>
      </c>
      <c r="C6068" s="5" t="str">
        <f>IFERROR(__xludf.DUMMYFUNCTION("GOOGLETRANSLATE(A6068,""en"",""hy"")"),"Ո՞րն է Բրազիլիայի ամենամեծ քաղաքը:")</f>
        <v>Ո՞րն է Բրազիլիայի ամենամեծ քաղաքը:</v>
      </c>
      <c r="D6068" s="6" t="str">
        <f>IFERROR(__xludf.DUMMYFUNCTION("GOOGLETRANSLATE(B6068,""en"",""hy"")"),"Սան Պաուլո.")</f>
        <v>Սան Պաուլո.</v>
      </c>
    </row>
    <row r="6069">
      <c r="A6069" s="5" t="s">
        <v>7592</v>
      </c>
      <c r="B6069" s="5" t="s">
        <v>7593</v>
      </c>
      <c r="C6069" s="5" t="str">
        <f>IFERROR(__xludf.DUMMYFUNCTION("GOOGLETRANSLATE(A6069,""en"",""hy"")"),"Ո՞րն է թթվածնի քիմիական նշանը:")</f>
        <v>Ո՞րն է թթվածնի քիմիական նշանը:</v>
      </c>
      <c r="D6069" s="6" t="str">
        <f>IFERROR(__xludf.DUMMYFUNCTION("GOOGLETRANSLATE(B6069,""en"",""hy"")"),"Թթվածնի քիմիական նշանը O է:")</f>
        <v>Թթվածնի քիմիական նշանը O է:</v>
      </c>
    </row>
    <row r="6070">
      <c r="A6070" s="5" t="s">
        <v>7850</v>
      </c>
      <c r="B6070" s="5" t="s">
        <v>8301</v>
      </c>
      <c r="C6070" s="5" t="str">
        <f>IFERROR(__xludf.DUMMYFUNCTION("GOOGLETRANSLATE(A6070,""en"",""hy"")"),"Ո՞րն է մեր արեգակնային համակարգի ամենափոքր մոլորակը:")</f>
        <v>Ո՞րն է մեր արեգակնային համակարգի ամենափոքր մոլորակը:</v>
      </c>
      <c r="D6070" s="6" t="str">
        <f>IFERROR(__xludf.DUMMYFUNCTION("GOOGLETRANSLATE(B6070,""en"",""hy"")"),"Մերկուրի.")</f>
        <v>Մերկուրի.</v>
      </c>
    </row>
    <row r="6071">
      <c r="A6071" s="5" t="s">
        <v>9001</v>
      </c>
      <c r="B6071" s="5" t="s">
        <v>7967</v>
      </c>
      <c r="C6071" s="5" t="str">
        <f>IFERROR(__xludf.DUMMYFUNCTION("GOOGLETRANSLATE(A6071,""en"",""hy"")"),"Ո՞վ է եղել առաջին կինը, ով արժանացել է քիմիայի Նոբելյան մրցանակի:")</f>
        <v>Ո՞վ է եղել առաջին կինը, ով արժանացել է քիմիայի Նոբելյան մրցանակի:</v>
      </c>
      <c r="D6071" s="6" t="str">
        <f>IFERROR(__xludf.DUMMYFUNCTION("GOOGLETRANSLATE(B6071,""en"",""hy"")"),"Մարի Կյուրի.")</f>
        <v>Մարի Կյուրի.</v>
      </c>
    </row>
    <row r="6072">
      <c r="A6072" s="5" t="s">
        <v>7817</v>
      </c>
      <c r="B6072" s="5" t="s">
        <v>7818</v>
      </c>
      <c r="C6072" s="5" t="str">
        <f>IFERROR(__xludf.DUMMYFUNCTION("GOOGLETRANSLATE(A6072,""en"",""hy"")"),"Ո՞րն է Կանադայի ազգային կենդանին:")</f>
        <v>Ո՞րն է Կանադայի ազգային կենդանին:</v>
      </c>
      <c r="D6072" s="6" t="str">
        <f>IFERROR(__xludf.DUMMYFUNCTION("GOOGLETRANSLATE(B6072,""en"",""hy"")"),"Կանադայի ազգային կենդանին կեղևն է:")</f>
        <v>Կանադայի ազգային կենդանին կեղևն է:</v>
      </c>
    </row>
    <row r="6073">
      <c r="A6073" s="5" t="s">
        <v>8433</v>
      </c>
      <c r="B6073" s="5" t="s">
        <v>9002</v>
      </c>
      <c r="C6073" s="5" t="str">
        <f>IFERROR(__xludf.DUMMYFUNCTION("GOOGLETRANSLATE(A6073,""en"",""hy"")"),"Քանի՞ ոտք ունի ծովախեցգետինը:")</f>
        <v>Քանի՞ ոտք ունի ծովախեցգետինը:</v>
      </c>
      <c r="D6073" s="6" t="str">
        <f>IFERROR(__xludf.DUMMYFUNCTION("GOOGLETRANSLATE(B6073,""en"",""hy"")"),"Խեցգետինը 10 ոտք ունի։")</f>
        <v>Խեցգետինը 10 ոտք ունի։</v>
      </c>
    </row>
    <row r="6074">
      <c r="A6074" s="5" t="s">
        <v>8171</v>
      </c>
      <c r="B6074" s="5" t="s">
        <v>7181</v>
      </c>
      <c r="C6074" s="5" t="str">
        <f>IFERROR(__xludf.DUMMYFUNCTION("GOOGLETRANSLATE(A6074,""en"",""hy"")"),"Ո՞ր երկրում կգտնեք Մեծ արգելախութը:")</f>
        <v>Ո՞ր երկրում կգտնեք Մեծ արգելախութը:</v>
      </c>
      <c r="D6074" s="6" t="str">
        <f>IFERROR(__xludf.DUMMYFUNCTION("GOOGLETRANSLATE(B6074,""en"",""hy"")"),"Ավստրալիա")</f>
        <v>Ավստրալիա</v>
      </c>
    </row>
    <row r="6075">
      <c r="A6075" s="5" t="s">
        <v>7601</v>
      </c>
      <c r="B6075" s="5" t="s">
        <v>8838</v>
      </c>
      <c r="C6075" s="5" t="str">
        <f>IFERROR(__xludf.DUMMYFUNCTION("GOOGLETRANSLATE(A6075,""en"",""hy"")"),"Ո՞վ է Ֆրանսիայի ներկայիս նախագահը.")</f>
        <v>Ո՞վ է Ֆրանսիայի ներկայիս նախագահը.</v>
      </c>
      <c r="D6075" s="6" t="str">
        <f>IFERROR(__xludf.DUMMYFUNCTION("GOOGLETRANSLATE(B6075,""en"",""hy"")"),"Ֆրանսիայի ներկայիս նախագահը Էմանուել Մակրոնն է։")</f>
        <v>Ֆրանսիայի ներկայիս նախագահը Էմանուել Մակրոնն է։</v>
      </c>
    </row>
    <row r="6076">
      <c r="A6076" s="5" t="s">
        <v>7761</v>
      </c>
      <c r="B6076" s="5" t="s">
        <v>7762</v>
      </c>
      <c r="C6076" s="5" t="str">
        <f>IFERROR(__xludf.DUMMYFUNCTION("GOOGLETRANSLATE(A6076,""en"",""hy"")"),"Ո՞րն է ջրածնի քիմիական նշանը:")</f>
        <v>Ո՞րն է ջրածնի քիմիական նշանը:</v>
      </c>
      <c r="D6076" s="6" t="str">
        <f>IFERROR(__xludf.DUMMYFUNCTION("GOOGLETRANSLATE(B6076,""en"",""hy"")"),"Հ")</f>
        <v>Հ</v>
      </c>
    </row>
    <row r="6077">
      <c r="A6077" s="5" t="s">
        <v>8112</v>
      </c>
      <c r="B6077" s="5" t="s">
        <v>8754</v>
      </c>
      <c r="C6077" s="5" t="str">
        <f>IFERROR(__xludf.DUMMYFUNCTION("GOOGLETRANSLATE(A6077,""en"",""hy"")"),"Ո՞րն է Հյուսիսային Ամերիկայի ամենաբարձր լեռը:")</f>
        <v>Ո՞րն է Հյուսիսային Ամերիկայի ամենաբարձր լեռը:</v>
      </c>
      <c r="D6077" s="6" t="str">
        <f>IFERROR(__xludf.DUMMYFUNCTION("GOOGLETRANSLATE(B6077,""en"",""hy"")"),"Դենալի լեռ.")</f>
        <v>Դենալի լեռ.</v>
      </c>
    </row>
    <row r="6078">
      <c r="A6078" s="5" t="s">
        <v>7744</v>
      </c>
      <c r="B6078" s="5" t="s">
        <v>7745</v>
      </c>
      <c r="C6078" s="5" t="str">
        <f>IFERROR(__xludf.DUMMYFUNCTION("GOOGLETRANSLATE(A6078,""en"",""hy"")"),"Ո՞վ է նկարել հայտնի «Հիշողության համառությունը» ստեղծագործությունը:")</f>
        <v>Ո՞վ է նկարել հայտնի «Հիշողության համառությունը» ստեղծագործությունը:</v>
      </c>
      <c r="D6078" s="6" t="str">
        <f>IFERROR(__xludf.DUMMYFUNCTION("GOOGLETRANSLATE(B6078,""en"",""hy"")"),"Սալվադոր Դալի.")</f>
        <v>Սալվադոր Դալի.</v>
      </c>
    </row>
    <row r="6079">
      <c r="A6079" s="5" t="s">
        <v>8129</v>
      </c>
      <c r="B6079" s="5" t="s">
        <v>8130</v>
      </c>
      <c r="C6079" s="5" t="str">
        <f>IFERROR(__xludf.DUMMYFUNCTION("GOOGLETRANSLATE(A6079,""en"",""hy"")"),"Քանի՞ ժամային գոտի կա աշխարհում:")</f>
        <v>Քանի՞ ժամային գոտի կա աշխարհում:</v>
      </c>
      <c r="D6079" s="6" t="str">
        <f>IFERROR(__xludf.DUMMYFUNCTION("GOOGLETRANSLATE(B6079,""en"",""hy"")"),"Աշխարհում կա 24 ժամային գոտի:")</f>
        <v>Աշխարհում կա 24 ժամային գոտի:</v>
      </c>
    </row>
    <row r="6080">
      <c r="A6080" s="5" t="s">
        <v>8330</v>
      </c>
      <c r="B6080" s="5" t="s">
        <v>8331</v>
      </c>
      <c r="C6080" s="5" t="str">
        <f>IFERROR(__xludf.DUMMYFUNCTION("GOOGLETRANSLATE(A6080,""en"",""hy"")"),"Ո՞րն է Միացյալ Նահանգների ազգային ծաղիկը:")</f>
        <v>Ո՞րն է Միացյալ Նահանգների ազգային ծաղիկը:</v>
      </c>
      <c r="D6080" s="6" t="str">
        <f>IFERROR(__xludf.DUMMYFUNCTION("GOOGLETRANSLATE(B6080,""en"",""hy"")"),"Միացյալ Նահանգների ազգային ծաղիկը վարդն է։")</f>
        <v>Միացյալ Նահանգների ազգային ծաղիկը վարդն է։</v>
      </c>
    </row>
    <row r="6081">
      <c r="A6081" s="5" t="s">
        <v>7500</v>
      </c>
      <c r="B6081" s="5" t="s">
        <v>7501</v>
      </c>
      <c r="C6081" s="5" t="str">
        <f>IFERROR(__xludf.DUMMYFUNCTION("GOOGLETRANSLATE(A6081,""en"",""hy"")"),"Ո՞րն է Ֆրանսիայի մայրաքաղաքը:")</f>
        <v>Ո՞րն է Ֆրանսիայի մայրաքաղաքը:</v>
      </c>
      <c r="D6081" s="6" t="str">
        <f>IFERROR(__xludf.DUMMYFUNCTION("GOOGLETRANSLATE(B6081,""en"",""hy"")"),"Փարիզ.")</f>
        <v>Փարիզ.</v>
      </c>
    </row>
    <row r="6082">
      <c r="A6082" s="5" t="s">
        <v>7447</v>
      </c>
      <c r="B6082" s="5" t="s">
        <v>7448</v>
      </c>
      <c r="C6082" s="5" t="str">
        <f>IFERROR(__xludf.DUMMYFUNCTION("GOOGLETRANSLATE(A6082,""en"",""hy"")"),"Ո՞վ է նկարել Մոնա Լիզան:")</f>
        <v>Ո՞վ է նկարել Մոնա Լիզան:</v>
      </c>
      <c r="D6082" s="6" t="str">
        <f>IFERROR(__xludf.DUMMYFUNCTION("GOOGLETRANSLATE(B6082,""en"",""hy"")"),"Լեոնարդո դա Վինչի.")</f>
        <v>Լեոնարդո դա Վինչի.</v>
      </c>
    </row>
    <row r="6083">
      <c r="A6083" s="5" t="s">
        <v>7455</v>
      </c>
      <c r="B6083" s="5" t="s">
        <v>8453</v>
      </c>
      <c r="C6083" s="5" t="str">
        <f>IFERROR(__xludf.DUMMYFUNCTION("GOOGLETRANSLATE(A6083,""en"",""hy"")"),"Ո՞րն է աշխարհի ամենամեծ օվկիանոսը:")</f>
        <v>Ո՞րն է աշխարհի ամենամեծ օվկիանոսը:</v>
      </c>
      <c r="D6083" s="6" t="str">
        <f>IFERROR(__xludf.DUMMYFUNCTION("GOOGLETRANSLATE(B6083,""en"",""hy"")"),"Աշխարհի ամենամեծ օվկիանոսը Խաղաղ օվկիանոսն է։")</f>
        <v>Աշխարհի ամենամեծ օվկիանոսը Խաղաղ օվկիանոսն է։</v>
      </c>
    </row>
    <row r="6084">
      <c r="A6084" s="5" t="s">
        <v>8247</v>
      </c>
      <c r="B6084" s="5" t="s">
        <v>3535</v>
      </c>
      <c r="C6084" s="5" t="str">
        <f>IFERROR(__xludf.DUMMYFUNCTION("GOOGLETRANSLATE(A6084,""en"",""hy"")"),"Ո՞ր երկրում է գտնվում Մեծ արգելախութը:")</f>
        <v>Ո՞ր երկրում է գտնվում Մեծ արգելախութը:</v>
      </c>
      <c r="D6084" s="6" t="str">
        <f>IFERROR(__xludf.DUMMYFUNCTION("GOOGLETRANSLATE(B6084,""en"",""hy"")"),"Ավստրալիա.")</f>
        <v>Ավստրալիա.</v>
      </c>
    </row>
    <row r="6085">
      <c r="A6085" s="5" t="s">
        <v>7632</v>
      </c>
      <c r="B6085" s="5" t="s">
        <v>7633</v>
      </c>
      <c r="C6085" s="5" t="str">
        <f>IFERROR(__xludf.DUMMYFUNCTION("GOOGLETRANSLATE(A6085,""en"",""hy"")"),"Ո՞րն է մեր արեգակնային համակարգի ամենամեծ մոլորակը:")</f>
        <v>Ո՞րն է մեր արեգակնային համակարգի ամենամեծ մոլորակը:</v>
      </c>
      <c r="D6085" s="6" t="str">
        <f>IFERROR(__xludf.DUMMYFUNCTION("GOOGLETRANSLATE(B6085,""en"",""hy"")"),"Յուպիտեր.")</f>
        <v>Յուպիտեր.</v>
      </c>
    </row>
    <row r="6086">
      <c r="A6086" s="5" t="s">
        <v>7849</v>
      </c>
      <c r="B6086" s="5" t="s">
        <v>7541</v>
      </c>
      <c r="C6086" s="5" t="str">
        <f>IFERROR(__xludf.DUMMYFUNCTION("GOOGLETRANSLATE(A6086,""en"",""hy"")"),"Ո՞վ է գրել «Սպանել ծաղրող թռչունին» վեպը:")</f>
        <v>Ո՞վ է գրել «Սպանել ծաղրող թռչունին» վեպը:</v>
      </c>
      <c r="D6086" s="6" t="str">
        <f>IFERROR(__xludf.DUMMYFUNCTION("GOOGLETRANSLATE(B6086,""en"",""hy"")"),"Հարփեր Լի.")</f>
        <v>Հարփեր Լի.</v>
      </c>
    </row>
    <row r="6087">
      <c r="A6087" s="5" t="s">
        <v>7469</v>
      </c>
      <c r="B6087" s="7">
        <v>1945.0</v>
      </c>
      <c r="C6087" s="5" t="str">
        <f>IFERROR(__xludf.DUMMYFUNCTION("GOOGLETRANSLATE(A6087,""en"",""hy"")"),"Ո՞ր տարում ավարտվեց Երկրորդ համաշխարհային պատերազմը:")</f>
        <v>Ո՞ր տարում ավարտվեց Երկրորդ համաշխարհային պատերազմը:</v>
      </c>
      <c r="D6087" s="6" t="str">
        <f>IFERROR(__xludf.DUMMYFUNCTION("GOOGLETRANSLATE(B6087,""en"",""hy"")"),"1945 թ")</f>
        <v>1945 թ</v>
      </c>
    </row>
    <row r="6088">
      <c r="A6088" s="5" t="s">
        <v>7463</v>
      </c>
      <c r="B6088" s="5" t="s">
        <v>7464</v>
      </c>
      <c r="C6088" s="5" t="str">
        <f>IFERROR(__xludf.DUMMYFUNCTION("GOOGLETRANSLATE(A6088,""en"",""hy"")"),"Ո՞րն է աշխարհի ամենաբարձր լեռը:")</f>
        <v>Ո՞րն է աշխարհի ամենաբարձր լեռը:</v>
      </c>
      <c r="D6088" s="6" t="str">
        <f>IFERROR(__xludf.DUMMYFUNCTION("GOOGLETRANSLATE(B6088,""en"",""hy"")"),"Էվերեստ լեռ.")</f>
        <v>Էվերեստ լեռ.</v>
      </c>
    </row>
    <row r="6089">
      <c r="A6089" s="5" t="s">
        <v>8914</v>
      </c>
      <c r="B6089" s="5" t="s">
        <v>7576</v>
      </c>
      <c r="C6089" s="5" t="str">
        <f>IFERROR(__xludf.DUMMYFUNCTION("GOOGLETRANSLATE(A6089,""en"",""hy"")"),"Քանի՞ գույն կա ծիածանի մեջ:")</f>
        <v>Քանի՞ գույն կա ծիածանի մեջ:</v>
      </c>
      <c r="D6089" s="6" t="str">
        <f>IFERROR(__xludf.DUMMYFUNCTION("GOOGLETRANSLATE(B6089,""en"",""hy"")"),"Ծիածանի մեջ յոթ գույն կա:")</f>
        <v>Ծիածանի մեջ յոթ գույն կա:</v>
      </c>
    </row>
    <row r="6090">
      <c r="A6090" s="5" t="s">
        <v>7452</v>
      </c>
      <c r="B6090" s="5" t="s">
        <v>7631</v>
      </c>
      <c r="C6090" s="5" t="str">
        <f>IFERROR(__xludf.DUMMYFUNCTION("GOOGLETRANSLATE(A6090,""en"",""hy"")"),"Ո՞րն է ոսկու քիմիական նշանը:")</f>
        <v>Ո՞րն է ոսկու քիմիական նշանը:</v>
      </c>
      <c r="D6090" s="6" t="str">
        <f>IFERROR(__xludf.DUMMYFUNCTION("GOOGLETRANSLATE(B6090,""en"",""hy"")"),"Ավ")</f>
        <v>Ավ</v>
      </c>
    </row>
    <row r="6091">
      <c r="A6091" s="5" t="s">
        <v>7925</v>
      </c>
      <c r="B6091" s="5" t="s">
        <v>7673</v>
      </c>
      <c r="C6091" s="5" t="str">
        <f>IFERROR(__xludf.DUMMYFUNCTION("GOOGLETRANSLATE(A6091,""en"",""hy"")"),"Ո՞ր երկիրն է հայտնի աշխարհում ամենաշատ սուրճ արտադրողով.")</f>
        <v>Ո՞ր երկիրն է հայտնի աշխարհում ամենաշատ սուրճ արտադրողով.</v>
      </c>
      <c r="D6091" s="6" t="str">
        <f>IFERROR(__xludf.DUMMYFUNCTION("GOOGLETRANSLATE(B6091,""en"",""hy"")"),"Բրազիլիա.")</f>
        <v>Բրազիլիա.</v>
      </c>
    </row>
    <row r="6092">
      <c r="A6092" s="5" t="s">
        <v>7852</v>
      </c>
      <c r="B6092" s="5" t="s">
        <v>7853</v>
      </c>
      <c r="C6092" s="5" t="str">
        <f>IFERROR(__xludf.DUMMYFUNCTION("GOOGLETRANSLATE(A6092,""en"",""hy"")"),"Ո՞վ է ներկայիս Անգլիայի թագուհին:")</f>
        <v>Ո՞վ է ներկայիս Անգլիայի թագուհին:</v>
      </c>
      <c r="D6092" s="6" t="str">
        <f>IFERROR(__xludf.DUMMYFUNCTION("GOOGLETRANSLATE(B6092,""en"",""hy"")"),"Եղիսաբեթ II թագուհին.")</f>
        <v>Եղիսաբեթ II թագուհին.</v>
      </c>
    </row>
    <row r="6093">
      <c r="A6093" s="5" t="s">
        <v>8106</v>
      </c>
      <c r="B6093" s="5" t="s">
        <v>7916</v>
      </c>
      <c r="C6093" s="5" t="str">
        <f>IFERROR(__xludf.DUMMYFUNCTION("GOOGLETRANSLATE(A6093,""en"",""hy"")"),"Քանի՞ ոսկոր կա մարդու մարմնում:")</f>
        <v>Քանի՞ ոսկոր կա մարդու մարմնում:</v>
      </c>
      <c r="D6093" s="6" t="str">
        <f>IFERROR(__xludf.DUMMYFUNCTION("GOOGLETRANSLATE(B6093,""en"",""hy"")"),"Մարդու մարմնում կա 206 ոսկոր։")</f>
        <v>Մարդու մարմնում կա 206 ոսկոր։</v>
      </c>
    </row>
    <row r="6094">
      <c r="A6094" s="5" t="s">
        <v>9003</v>
      </c>
      <c r="B6094" s="5" t="s">
        <v>1016</v>
      </c>
      <c r="C6094" s="5" t="str">
        <f>IFERROR(__xludf.DUMMYFUNCTION("GOOGLETRANSLATE(A6094,""en"",""hy"")"),"Ո՞վ է գրել Ռոմեո և Ջուլիետ և Համլետ պիեսները:")</f>
        <v>Ո՞վ է գրել Ռոմեո և Ջուլիետ և Համլետ պիեսները:</v>
      </c>
      <c r="D6094" s="6" t="str">
        <f>IFERROR(__xludf.DUMMYFUNCTION("GOOGLETRANSLATE(B6094,""en"",""hy"")"),"Ուիլյամ Շեքսպիր.")</f>
        <v>Ուիլյամ Շեքսպիր.</v>
      </c>
    </row>
    <row r="6095">
      <c r="A6095" s="5" t="s">
        <v>7791</v>
      </c>
      <c r="B6095" s="5" t="s">
        <v>8128</v>
      </c>
      <c r="C6095" s="5" t="str">
        <f>IFERROR(__xludf.DUMMYFUNCTION("GOOGLETRANSLATE(A6095,""en"",""hy"")"),"Ո՞րն է Ավստրալիայի ազգային կենդանին:")</f>
        <v>Ո՞րն է Ավստրալիայի ազգային կենդանին:</v>
      </c>
      <c r="D6095" s="6" t="str">
        <f>IFERROR(__xludf.DUMMYFUNCTION("GOOGLETRANSLATE(B6095,""en"",""hy"")"),"Կենգուրու.")</f>
        <v>Կենգուրու.</v>
      </c>
    </row>
    <row r="6096">
      <c r="A6096" s="5" t="s">
        <v>8743</v>
      </c>
      <c r="B6096" s="5" t="s">
        <v>9004</v>
      </c>
      <c r="C6096" s="5" t="str">
        <f>IFERROR(__xludf.DUMMYFUNCTION("GOOGLETRANSLATE(A6096,""en"",""hy"")"),"Ո՞րն է աշխարհի ամենամեծ տաք անապատը:")</f>
        <v>Ո՞րն է աշխարհի ամենամեծ տաք անապատը:</v>
      </c>
      <c r="D6096" s="6" t="str">
        <f>IFERROR(__xludf.DUMMYFUNCTION("GOOGLETRANSLATE(B6096,""en"",""hy"")"),"Սահարա.")</f>
        <v>Սահարա.</v>
      </c>
    </row>
    <row r="6097">
      <c r="A6097" s="5" t="s">
        <v>8108</v>
      </c>
      <c r="B6097" s="5" t="s">
        <v>7499</v>
      </c>
      <c r="C6097" s="5" t="str">
        <f>IFERROR(__xludf.DUMMYFUNCTION("GOOGLETRANSLATE(A6097,""en"",""hy"")"),"Ո՞ր հայտնի գիտնականն է մշակել հարաբերականության տեսությունը:")</f>
        <v>Ո՞ր հայտնի գիտնականն է մշակել հարաբերականության տեսությունը:</v>
      </c>
      <c r="D6097" s="6" t="str">
        <f>IFERROR(__xludf.DUMMYFUNCTION("GOOGLETRANSLATE(B6097,""en"",""hy"")"),"Albert Einstein")</f>
        <v>Albert Einstein</v>
      </c>
    </row>
    <row r="6098">
      <c r="A6098" s="5" t="s">
        <v>8031</v>
      </c>
      <c r="B6098" s="5" t="s">
        <v>8032</v>
      </c>
      <c r="C6098" s="5" t="str">
        <f>IFERROR(__xludf.DUMMYFUNCTION("GOOGLETRANSLATE(A6098,""en"",""hy"")"),"Ո՞րն է աշխարհի ամենամեծ թռչունը:")</f>
        <v>Ո՞րն է աշխարհի ամենամեծ թռչունը:</v>
      </c>
      <c r="D6098" s="6" t="str">
        <f>IFERROR(__xludf.DUMMYFUNCTION("GOOGLETRANSLATE(B6098,""en"",""hy"")"),"Ջայլամը.")</f>
        <v>Ջայլամը.</v>
      </c>
    </row>
    <row r="6099">
      <c r="A6099" s="5" t="s">
        <v>9005</v>
      </c>
      <c r="B6099" s="5" t="s">
        <v>9006</v>
      </c>
      <c r="C6099" s="5" t="str">
        <f>IFERROR(__xludf.DUMMYFUNCTION("GOOGLETRANSLATE(A6099,""en"",""hy"")"),"Ո՞ր քաղաքում են սկսվել Օլիմպիական խաղերը:")</f>
        <v>Ո՞ր քաղաքում են սկսվել Օլիմպիական խաղերը:</v>
      </c>
      <c r="D6099" s="6" t="str">
        <f>IFERROR(__xludf.DUMMYFUNCTION("GOOGLETRANSLATE(B6099,""en"",""hy"")"),"Օլիմպիական խաղերը սկիզբ են առել Հունաստանի Օլիմպիայից։")</f>
        <v>Օլիմպիական խաղերը սկիզբ են առել Հունաստանի Օլիմպիայից։</v>
      </c>
    </row>
    <row r="6100">
      <c r="A6100" s="5" t="s">
        <v>8395</v>
      </c>
      <c r="B6100" s="5" t="s">
        <v>8396</v>
      </c>
      <c r="C6100" s="5" t="str">
        <f>IFERROR(__xludf.DUMMYFUNCTION("GOOGLETRANSLATE(A6100,""en"",""hy"")"),"Ո՞րն է ջրի քիմիական նշանը:")</f>
        <v>Ո՞րն է ջրի քիմիական նշանը:</v>
      </c>
      <c r="D6100" s="6" t="str">
        <f>IFERROR(__xludf.DUMMYFUNCTION("GOOGLETRANSLATE(B6100,""en"",""hy"")"),"Ջրի քիմիական նշանը H2O է:")</f>
        <v>Ջրի քիմիական նշանը H2O է:</v>
      </c>
    </row>
    <row r="6101">
      <c r="A6101" s="5" t="s">
        <v>7473</v>
      </c>
      <c r="B6101" s="5" t="s">
        <v>7474</v>
      </c>
      <c r="C6101" s="5" t="str">
        <f>IFERROR(__xludf.DUMMYFUNCTION("GOOGLETRANSLATE(A6101,""en"",""hy"")"),"Ո՞վ է նկարել Սիքստինյան կապելլայի առաստաղը:")</f>
        <v>Ո՞վ է նկարել Սիքստինյան կապելլայի առաստաղը:</v>
      </c>
      <c r="D6101" s="6" t="str">
        <f>IFERROR(__xludf.DUMMYFUNCTION("GOOGLETRANSLATE(B6101,""en"",""hy"")"),"Միքելանջելո.")</f>
        <v>Միքելանջելո.</v>
      </c>
    </row>
    <row r="6102">
      <c r="A6102" s="5" t="s">
        <v>7779</v>
      </c>
      <c r="B6102" s="5" t="s">
        <v>7446</v>
      </c>
      <c r="C6102" s="5" t="str">
        <f>IFERROR(__xludf.DUMMYFUNCTION("GOOGLETRANSLATE(A6102,""en"",""hy"")"),"Ո՞ր մոլորակն է հայտնի որպես «Կարմիր մոլորակ»:")</f>
        <v>Ո՞ր մոլորակն է հայտնի որպես «Կարմիր մոլորակ»:</v>
      </c>
      <c r="D6102" s="6" t="str">
        <f>IFERROR(__xludf.DUMMYFUNCTION("GOOGLETRANSLATE(B6102,""en"",""hy"")"),"Մարս.")</f>
        <v>Մարս.</v>
      </c>
    </row>
    <row r="6103">
      <c r="A6103" s="5" t="s">
        <v>9007</v>
      </c>
      <c r="B6103" s="5" t="s">
        <v>7462</v>
      </c>
      <c r="C6103" s="5" t="str">
        <f>IFERROR(__xludf.DUMMYFUNCTION("GOOGLETRANSLATE(A6103,""en"",""hy"")"),"Ո՞րն է մարդու մարմնի ամենամեծ օրգանը:")</f>
        <v>Ո՞րն է մարդու մարմնի ամենամեծ օրգանը:</v>
      </c>
      <c r="D6103" s="6" t="str">
        <f>IFERROR(__xludf.DUMMYFUNCTION("GOOGLETRANSLATE(B6103,""en"",""hy"")"),"Մաշկը.")</f>
        <v>Մաշկը.</v>
      </c>
    </row>
    <row r="6104">
      <c r="A6104" s="5" t="s">
        <v>8039</v>
      </c>
      <c r="B6104" s="5" t="s">
        <v>7921</v>
      </c>
      <c r="C6104" s="5" t="str">
        <f>IFERROR(__xludf.DUMMYFUNCTION("GOOGLETRANSLATE(A6104,""en"",""hy"")"),"Ո՞ր երկիրն է հայտնի Թաջ Մահալով:")</f>
        <v>Ո՞ր երկիրն է հայտնի Թաջ Մահալով:</v>
      </c>
      <c r="D6104" s="6" t="str">
        <f>IFERROR(__xludf.DUMMYFUNCTION("GOOGLETRANSLATE(B6104,""en"",""hy"")"),"Հնդկաստան.")</f>
        <v>Հնդկաստան.</v>
      </c>
    </row>
    <row r="6105">
      <c r="A6105" s="5" t="s">
        <v>7504</v>
      </c>
      <c r="B6105" s="5" t="s">
        <v>7505</v>
      </c>
      <c r="C6105" s="5" t="str">
        <f>IFERROR(__xludf.DUMMYFUNCTION("GOOGLETRANSLATE(A6105,""en"",""hy"")"),"Ո՞վ է Միացյալ Նահանգների ներկայիս նախագահը:")</f>
        <v>Ո՞վ է Միացյալ Նահանգների ներկայիս նախագահը:</v>
      </c>
      <c r="D6105" s="6" t="str">
        <f>IFERROR(__xludf.DUMMYFUNCTION("GOOGLETRANSLATE(B6105,""en"",""hy"")"),"Ջո Բայդեն.")</f>
        <v>Ջո Բայդեն.</v>
      </c>
    </row>
    <row r="6106">
      <c r="A6106" s="5" t="s">
        <v>7672</v>
      </c>
      <c r="B6106" s="5" t="s">
        <v>7673</v>
      </c>
      <c r="C6106" s="5" t="str">
        <f>IFERROR(__xludf.DUMMYFUNCTION("GOOGLETRANSLATE(A6106,""en"",""hy"")"),"Ո՞րն է Հարավային Ամերիկայի ամենամեծ երկիրը:")</f>
        <v>Ո՞րն է Հարավային Ամերիկայի ամենամեծ երկիրը:</v>
      </c>
      <c r="D6106" s="6" t="str">
        <f>IFERROR(__xludf.DUMMYFUNCTION("GOOGLETRANSLATE(B6106,""en"",""hy"")"),"Բրազիլիա.")</f>
        <v>Բրազիլիա.</v>
      </c>
    </row>
    <row r="6107">
      <c r="A6107" s="5" t="s">
        <v>7769</v>
      </c>
      <c r="B6107" s="5" t="s">
        <v>7486</v>
      </c>
      <c r="C6107" s="5" t="str">
        <f>IFERROR(__xludf.DUMMYFUNCTION("GOOGLETRANSLATE(A6107,""en"",""hy"")"),"Ո՞վ է Հարրի Փոթերի գրքերի շարքի հեղինակը:")</f>
        <v>Ո՞վ է Հարրի Փոթերի գրքերի շարքի հեղինակը:</v>
      </c>
      <c r="D6107" s="6" t="str">
        <f>IFERROR(__xludf.DUMMYFUNCTION("GOOGLETRANSLATE(B6107,""en"",""hy"")"),"Ջ.Կ. Ռոուլինգ.")</f>
        <v>Ջ.Կ. Ռոուլինգ.</v>
      </c>
    </row>
    <row r="6108">
      <c r="A6108" s="5" t="s">
        <v>8161</v>
      </c>
      <c r="B6108" s="5" t="s">
        <v>9008</v>
      </c>
      <c r="C6108" s="5" t="str">
        <f>IFERROR(__xludf.DUMMYFUNCTION("GOOGLETRANSLATE(A6108,""en"",""hy"")"),"Ո՞րն է Ճապոնիայի ազգային ծաղիկը:")</f>
        <v>Ո՞րն է Ճապոնիայի ազգային ծաղիկը:</v>
      </c>
      <c r="D6108" s="6" t="str">
        <f>IFERROR(__xludf.DUMMYFUNCTION("GOOGLETRANSLATE(B6108,""en"",""hy"")"),"Բալի ծաղիկը.")</f>
        <v>Բալի ծաղիկը.</v>
      </c>
    </row>
    <row r="6109">
      <c r="A6109" s="5" t="s">
        <v>9009</v>
      </c>
      <c r="B6109" s="5" t="s">
        <v>8359</v>
      </c>
      <c r="C6109" s="5" t="str">
        <f>IFERROR(__xludf.DUMMYFUNCTION("GOOGLETRANSLATE(A6109,""en"",""hy"")"),"Ո՞ր մայրցամաքն է հայտնի որպես «Մութ մայրցամաք»:")</f>
        <v>Ո՞ր մայրցամաքն է հայտնի որպես «Մութ մայրցամաք»:</v>
      </c>
      <c r="D6109" s="6" t="str">
        <f>IFERROR(__xludf.DUMMYFUNCTION("GOOGLETRANSLATE(B6109,""en"",""hy"")"),"Աֆրիկա.")</f>
        <v>Աֆրիկա.</v>
      </c>
    </row>
    <row r="6110">
      <c r="A6110" s="5" t="s">
        <v>9010</v>
      </c>
      <c r="B6110" s="5" t="s">
        <v>7501</v>
      </c>
      <c r="C6110" s="5" t="str">
        <f>IFERROR(__xludf.DUMMYFUNCTION("GOOGLETRANSLATE(A6110,""en"",""hy"")"),"Ո՞ր քաղաքում է գտնվում Էյֆելյան աշտարակի հայտնի տեսարժան վայրը:")</f>
        <v>Ո՞ր քաղաքում է գտնվում Էյֆելյան աշտարակի հայտնի տեսարժան վայրը:</v>
      </c>
      <c r="D6110" s="6" t="str">
        <f>IFERROR(__xludf.DUMMYFUNCTION("GOOGLETRANSLATE(B6110,""en"",""hy"")"),"Փարիզ.")</f>
        <v>Փարիզ.</v>
      </c>
    </row>
    <row r="6111">
      <c r="A6111" s="5" t="s">
        <v>7557</v>
      </c>
      <c r="B6111" s="5" t="s">
        <v>7857</v>
      </c>
      <c r="C6111" s="5" t="str">
        <f>IFERROR(__xludf.DUMMYFUNCTION("GOOGLETRANSLATE(A6111,""en"",""hy"")"),"Ո՞րն է երկաթի քիմիական նշանը:")</f>
        <v>Ո՞րն է երկաթի քիմիական նշանը:</v>
      </c>
      <c r="D6111" s="6" t="str">
        <f>IFERROR(__xludf.DUMMYFUNCTION("GOOGLETRANSLATE(B6111,""en"",""hy"")"),"Երկաթի քիմիական նշանը Fe է:")</f>
        <v>Երկաթի քիմիական նշանը Fe է:</v>
      </c>
    </row>
    <row r="6112">
      <c r="A6112" s="5" t="s">
        <v>7634</v>
      </c>
      <c r="B6112" s="5" t="s">
        <v>8960</v>
      </c>
      <c r="C6112" s="5" t="str">
        <f>IFERROR(__xludf.DUMMYFUNCTION("GOOGLETRANSLATE(A6112,""en"",""hy"")"),"Ո՞վ էր առաջին մարդը, ով ոտք դրեց լուսնի վրա:")</f>
        <v>Ո՞վ էր առաջին մարդը, ով ոտք դրեց լուսնի վրա:</v>
      </c>
      <c r="D6112" s="6" t="str">
        <f>IFERROR(__xludf.DUMMYFUNCTION("GOOGLETRANSLATE(B6112,""en"",""hy"")"),"Նիլ Արմսթրոնգ")</f>
        <v>Նիլ Արմսթրոնգ</v>
      </c>
    </row>
    <row r="6113">
      <c r="A6113" s="5" t="s">
        <v>8099</v>
      </c>
      <c r="B6113" s="5" t="s">
        <v>8100</v>
      </c>
      <c r="C6113" s="5" t="str">
        <f>IFERROR(__xludf.DUMMYFUNCTION("GOOGLETRANSLATE(A6113,""en"",""hy"")"),"Քանի՞ մոլորակ կա մեր արեգակնային համակարգում:")</f>
        <v>Քանի՞ մոլորակ կա մեր արեգակնային համակարգում:</v>
      </c>
      <c r="D6113" s="6" t="str">
        <f>IFERROR(__xludf.DUMMYFUNCTION("GOOGLETRANSLATE(B6113,""en"",""hy"")"),"Մեր Արեգակնային համակարգում կա ութ մոլորակ:")</f>
        <v>Մեր Արեգակնային համակարգում կա ութ մոլորակ:</v>
      </c>
    </row>
    <row r="6114">
      <c r="A6114" s="5" t="s">
        <v>7817</v>
      </c>
      <c r="B6114" s="5" t="s">
        <v>7818</v>
      </c>
      <c r="C6114" s="5" t="str">
        <f>IFERROR(__xludf.DUMMYFUNCTION("GOOGLETRANSLATE(A6114,""en"",""hy"")"),"Ո՞րն է Կանադայի ազգային կենդանին:")</f>
        <v>Ո՞րն է Կանադայի ազգային կենդանին:</v>
      </c>
      <c r="D6114" s="6" t="str">
        <f>IFERROR(__xludf.DUMMYFUNCTION("GOOGLETRANSLATE(B6114,""en"",""hy"")"),"Կանադայի ազգային կենդանին կեղևն է:")</f>
        <v>Կանադայի ազգային կենդանին կեղևն է:</v>
      </c>
    </row>
    <row r="6115">
      <c r="A6115" s="5" t="s">
        <v>7477</v>
      </c>
      <c r="B6115" s="5" t="s">
        <v>7478</v>
      </c>
      <c r="C6115" s="5" t="str">
        <f>IFERROR(__xludf.DUMMYFUNCTION("GOOGLETRANSLATE(A6115,""en"",""hy"")"),"Ո՞ր երկիրն է հայտնի որպես «Ծագող արևի երկիր»:")</f>
        <v>Ո՞ր երկիրն է հայտնի որպես «Ծագող արևի երկիր»:</v>
      </c>
      <c r="D6115" s="6" t="str">
        <f>IFERROR(__xludf.DUMMYFUNCTION("GOOGLETRANSLATE(B6115,""en"",""hy"")"),"Ճապոնիա.")</f>
        <v>Ճապոնիա.</v>
      </c>
    </row>
    <row r="6116">
      <c r="A6116" s="5" t="s">
        <v>7443</v>
      </c>
      <c r="B6116" s="5" t="s">
        <v>7444</v>
      </c>
      <c r="C6116" s="5" t="str">
        <f>IFERROR(__xludf.DUMMYFUNCTION("GOOGLETRANSLATE(A6116,""en"",""hy"")"),"Ո՞վ է գրել «1984» վեպը։")</f>
        <v>Ո՞վ է գրել «1984» վեպը։</v>
      </c>
      <c r="D6116" s="6" t="str">
        <f>IFERROR(__xludf.DUMMYFUNCTION("GOOGLETRANSLATE(B6116,""en"",""hy"")"),"Ջորջ Օրուել.")</f>
        <v>Ջորջ Օրուել.</v>
      </c>
    </row>
    <row r="6117">
      <c r="A6117" s="5" t="s">
        <v>9011</v>
      </c>
      <c r="B6117" s="5" t="s">
        <v>9012</v>
      </c>
      <c r="C6117" s="5" t="str">
        <f>IFERROR(__xludf.DUMMYFUNCTION("GOOGLETRANSLATE(A6117,""en"",""hy"")"),"Քանի՞ տարի է մեկ դարը:")</f>
        <v>Քանի՞ տարի է մեկ դարը:</v>
      </c>
      <c r="D6117" s="6" t="str">
        <f>IFERROR(__xludf.DUMMYFUNCTION("GOOGLETRANSLATE(B6117,""en"",""hy"")"),"Մեկ դարում կա 100 տարի։")</f>
        <v>Մեկ դարում կա 100 տարի։</v>
      </c>
    </row>
    <row r="6118">
      <c r="A6118" s="5" t="s">
        <v>9013</v>
      </c>
      <c r="B6118" s="5" t="s">
        <v>9014</v>
      </c>
      <c r="C6118" s="5" t="str">
        <f>IFERROR(__xludf.DUMMYFUNCTION("GOOGLETRANSLATE(A6118,""en"",""hy"")"),"Ո՞րն է աշխարհի ամենամեծ օձը:")</f>
        <v>Ո՞րն է աշխարհի ամենամեծ օձը:</v>
      </c>
      <c r="D6118" s="6" t="str">
        <f>IFERROR(__xludf.DUMMYFUNCTION("GOOGLETRANSLATE(B6118,""en"",""hy"")"),"Աշխարհի ամենամեծ օձը կանաչ անակոնդան է:")</f>
        <v>Աշխարհի ամենամեծ օձը կանաչ անակոնդան է:</v>
      </c>
    </row>
    <row r="6119">
      <c r="A6119" s="5" t="s">
        <v>8624</v>
      </c>
      <c r="B6119" s="5" t="s">
        <v>2790</v>
      </c>
      <c r="C6119" s="5" t="str">
        <f>IFERROR(__xludf.DUMMYFUNCTION("GOOGLETRANSLATE(A6119,""en"",""hy"")"),"Ո՞ր երկիրն է հայտնի Մեծ պարիսպով:")</f>
        <v>Ո՞ր երկիրն է հայտնի Մեծ պարիսպով:</v>
      </c>
      <c r="D6119" s="6" t="str">
        <f>IFERROR(__xludf.DUMMYFUNCTION("GOOGLETRANSLATE(B6119,""en"",""hy"")"),"Չինաստան.")</f>
        <v>Չինաստան.</v>
      </c>
    </row>
    <row r="6120">
      <c r="A6120" s="5" t="s">
        <v>9015</v>
      </c>
      <c r="B6120" s="5" t="s">
        <v>9016</v>
      </c>
      <c r="C6120" s="5" t="str">
        <f>IFERROR(__xludf.DUMMYFUNCTION("GOOGLETRANSLATE(A6120,""en"",""hy"")"),"Ո՞ր քաղաքում է գտնվում Քրիստոսի Քավիչի հայտնի արձանը։")</f>
        <v>Ո՞ր քաղաքում է գտնվում Քրիստոսի Քավիչի հայտնի արձանը։</v>
      </c>
      <c r="D6120" s="6" t="str">
        <f>IFERROR(__xludf.DUMMYFUNCTION("GOOGLETRANSLATE(B6120,""en"",""hy"")"),"Ռիո դե Ժանեյրո.")</f>
        <v>Ռիո դե Ժանեյրո.</v>
      </c>
    </row>
    <row r="6121">
      <c r="A6121" s="5" t="s">
        <v>7592</v>
      </c>
      <c r="B6121" s="5" t="s">
        <v>7593</v>
      </c>
      <c r="C6121" s="5" t="str">
        <f>IFERROR(__xludf.DUMMYFUNCTION("GOOGLETRANSLATE(A6121,""en"",""hy"")"),"Ո՞րն է թթվածնի քիմիական նշանը:")</f>
        <v>Ո՞րն է թթվածնի քիմիական նշանը:</v>
      </c>
      <c r="D6121" s="6" t="str">
        <f>IFERROR(__xludf.DUMMYFUNCTION("GOOGLETRANSLATE(B6121,""en"",""hy"")"),"Թթվածնի քիմիական նշանը O է:")</f>
        <v>Թթվածնի քիմիական նշանը O է:</v>
      </c>
    </row>
    <row r="6122">
      <c r="A6122" s="5" t="s">
        <v>7491</v>
      </c>
      <c r="B6122" s="5" t="s">
        <v>7648</v>
      </c>
      <c r="C6122" s="5" t="str">
        <f>IFERROR(__xludf.DUMMYFUNCTION("GOOGLETRANSLATE(A6122,""en"",""hy"")"),"Ո՞վ է նկարել Աստղային գիշերը:")</f>
        <v>Ո՞վ է նկարել Աստղային գիշերը:</v>
      </c>
      <c r="D6122" s="6" t="str">
        <f>IFERROR(__xludf.DUMMYFUNCTION("GOOGLETRANSLATE(B6122,""en"",""hy"")"),"Վինսենթ վան Գոգ.")</f>
        <v>Վինսենթ վան Գոգ.</v>
      </c>
    </row>
    <row r="6123">
      <c r="A6123" s="5" t="s">
        <v>8151</v>
      </c>
      <c r="B6123" s="5" t="s">
        <v>8251</v>
      </c>
      <c r="C6123" s="5" t="str">
        <f>IFERROR(__xludf.DUMMYFUNCTION("GOOGLETRANSLATE(A6123,""en"",""hy"")"),"Ո՞րն է Հնդկաստանի ազգային կենդանին:")</f>
        <v>Ո՞րն է Հնդկաստանի ազգային կենդանին:</v>
      </c>
      <c r="D6123" s="6" t="str">
        <f>IFERROR(__xludf.DUMMYFUNCTION("GOOGLETRANSLATE(B6123,""en"",""hy"")"),"Հնդկաստանի ազգային կենդանին բենգալյան վագրն է։")</f>
        <v>Հնդկաստանի ազգային կենդանին բենգալյան վագրն է։</v>
      </c>
    </row>
    <row r="6124">
      <c r="A6124" s="5" t="s">
        <v>7497</v>
      </c>
      <c r="B6124" s="5" t="s">
        <v>1299</v>
      </c>
      <c r="C6124" s="5" t="str">
        <f>IFERROR(__xludf.DUMMYFUNCTION("GOOGLETRANSLATE(A6124,""en"",""hy"")"),"Ո՞րն է աշխարհի ամենամեծ մայրցամաքը:")</f>
        <v>Ո՞րն է աշխարհի ամենամեծ մայրցամաքը:</v>
      </c>
      <c r="D6124" s="6" t="str">
        <f>IFERROR(__xludf.DUMMYFUNCTION("GOOGLETRANSLATE(B6124,""en"",""hy"")"),"Ասիա.")</f>
        <v>Ասիա.</v>
      </c>
    </row>
    <row r="6125">
      <c r="A6125" s="5" t="s">
        <v>9017</v>
      </c>
      <c r="B6125" s="5" t="s">
        <v>8309</v>
      </c>
      <c r="C6125" s="5" t="str">
        <f>IFERROR(__xludf.DUMMYFUNCTION("GOOGLETRANSLATE(A6125,""en"",""hy"")"),"Ո՞վ էր հունական իմաստության աստվածուհին:")</f>
        <v>Ո՞վ էր հունական իմաստության աստվածուհին:</v>
      </c>
      <c r="D6125" s="6" t="str">
        <f>IFERROR(__xludf.DUMMYFUNCTION("GOOGLETRANSLATE(B6125,""en"",""hy"")"),"Աթենա.")</f>
        <v>Աթենա.</v>
      </c>
    </row>
    <row r="6126">
      <c r="A6126" s="5" t="s">
        <v>8172</v>
      </c>
      <c r="B6126" s="5" t="s">
        <v>7733</v>
      </c>
      <c r="C6126" s="5" t="str">
        <f>IFERROR(__xludf.DUMMYFUNCTION("GOOGLETRANSLATE(A6126,""en"",""hy"")"),"Ո՞րն է աշխարհի ամենաբարձր ջրվեժը:")</f>
        <v>Ո՞րն է աշխարհի ամենաբարձր ջրվեժը:</v>
      </c>
      <c r="D6126" s="6" t="str">
        <f>IFERROR(__xludf.DUMMYFUNCTION("GOOGLETRANSLATE(B6126,""en"",""hy"")"),"Angel Falls.")</f>
        <v>Angel Falls.</v>
      </c>
    </row>
    <row r="6127">
      <c r="A6127" s="5" t="s">
        <v>7480</v>
      </c>
      <c r="B6127" s="5" t="s">
        <v>7481</v>
      </c>
      <c r="C6127" s="5" t="str">
        <f>IFERROR(__xludf.DUMMYFUNCTION("GOOGLETRANSLATE(A6127,""en"",""hy"")"),"Ո՞րն է Միացյալ Նահանգների ազգային թռչունը:")</f>
        <v>Ո՞րն է Միացյալ Նահանգների ազգային թռչունը:</v>
      </c>
      <c r="D6127" s="6" t="str">
        <f>IFERROR(__xludf.DUMMYFUNCTION("GOOGLETRANSLATE(B6127,""en"",""hy"")"),"Միացյալ Նահանգների ազգային թռչունը ճաղատ արծիվն է։")</f>
        <v>Միացյալ Նահանգների ազգային թռչունը ճաղատ արծիվն է։</v>
      </c>
    </row>
    <row r="6128">
      <c r="A6128" s="5" t="s">
        <v>9018</v>
      </c>
      <c r="B6128" s="5" t="s">
        <v>7545</v>
      </c>
      <c r="C6128" s="5" t="str">
        <f>IFERROR(__xludf.DUMMYFUNCTION("GOOGLETRANSLATE(A6128,""en"",""hy"")"),"Ո՞ր քաղաքում է գտնվում հայտնի տեսարժան վայրը Կոլիզեյը:")</f>
        <v>Ո՞ր քաղաքում է գտնվում հայտնի տեսարժան վայրը Կոլիզեյը:</v>
      </c>
      <c r="D6128" s="6" t="str">
        <f>IFERROR(__xludf.DUMMYFUNCTION("GOOGLETRANSLATE(B6128,""en"",""hy"")"),"Հռոմ.")</f>
        <v>Հռոմ.</v>
      </c>
    </row>
    <row r="6129">
      <c r="A6129" s="5" t="s">
        <v>7699</v>
      </c>
      <c r="B6129" s="5" t="s">
        <v>8615</v>
      </c>
      <c r="C6129" s="5" t="str">
        <f>IFERROR(__xludf.DUMMYFUNCTION("GOOGLETRANSLATE(A6129,""en"",""hy"")"),"Ո՞րն է ածխածնի քիմիական նշանը:")</f>
        <v>Ո՞րն է ածխածնի քիմիական նշանը:</v>
      </c>
      <c r="D6129" s="6" t="str">
        <f>IFERROR(__xludf.DUMMYFUNCTION("GOOGLETRANSLATE(B6129,""en"",""hy"")"),"Գ")</f>
        <v>Գ</v>
      </c>
    </row>
    <row r="6130">
      <c r="A6130" s="5" t="s">
        <v>7698</v>
      </c>
      <c r="B6130" s="5" t="s">
        <v>7630</v>
      </c>
      <c r="C6130" s="5" t="str">
        <f>IFERROR(__xludf.DUMMYFUNCTION("GOOGLETRANSLATE(A6130,""en"",""hy"")"),"Ո՞վ է գրել «Հպարտություն և նախապաշարմունք» վեպը:")</f>
        <v>Ո՞վ է գրել «Հպարտություն և նախապաշարմունք» վեպը:</v>
      </c>
      <c r="D6130" s="6" t="str">
        <f>IFERROR(__xludf.DUMMYFUNCTION("GOOGLETRANSLATE(B6130,""en"",""hy"")"),"Ջեյն Օսթին.")</f>
        <v>Ջեյն Օսթին.</v>
      </c>
    </row>
    <row r="6131">
      <c r="A6131" s="5" t="s">
        <v>8198</v>
      </c>
      <c r="B6131" s="5" t="s">
        <v>8199</v>
      </c>
      <c r="C6131" s="5" t="str">
        <f>IFERROR(__xludf.DUMMYFUNCTION("GOOGLETRANSLATE(A6131,""en"",""hy"")"),"Ո՞րն է Չինաստանի ազգային կենդանին:")</f>
        <v>Ո՞րն է Չինաստանի ազգային կենդանին:</v>
      </c>
      <c r="D6131" s="6" t="str">
        <f>IFERROR(__xludf.DUMMYFUNCTION("GOOGLETRANSLATE(B6131,""en"",""hy"")"),"Չինաստանի ազգային կենդանին հսկա պանդան է։")</f>
        <v>Չինաստանի ազգային կենդանին հսկա պանդան է։</v>
      </c>
    </row>
    <row r="6132">
      <c r="A6132" s="5" t="s">
        <v>8819</v>
      </c>
      <c r="B6132" s="5" t="s">
        <v>8249</v>
      </c>
      <c r="C6132" s="5" t="str">
        <f>IFERROR(__xludf.DUMMYFUNCTION("GOOGLETRANSLATE(A6132,""en"",""hy"")"),"Ո՞ր երկրում է գտնվում Գիզայի բուրգերը:")</f>
        <v>Ո՞ր երկրում է գտնվում Գիզայի բուրգերը:</v>
      </c>
      <c r="D6132" s="6" t="str">
        <f>IFERROR(__xludf.DUMMYFUNCTION("GOOGLETRANSLATE(B6132,""en"",""hy"")"),"Եգիպտոս")</f>
        <v>Եգիպտոս</v>
      </c>
    </row>
    <row r="6133">
      <c r="A6133" s="5" t="s">
        <v>8637</v>
      </c>
      <c r="B6133" s="5" t="s">
        <v>7607</v>
      </c>
      <c r="C6133" s="5" t="str">
        <f>IFERROR(__xludf.DUMMYFUNCTION("GOOGLETRANSLATE(A6133,""en"",""hy"")"),"Ո՞վ է հայտնի որպես «Էվոլյուցիայի հայր»:")</f>
        <v>Ո՞վ է հայտնի որպես «Էվոլյուցիայի հայր»:</v>
      </c>
      <c r="D6133" s="6" t="str">
        <f>IFERROR(__xludf.DUMMYFUNCTION("GOOGLETRANSLATE(B6133,""en"",""hy"")"),"Չարլզ Դարվին.")</f>
        <v>Չարլզ Դարվին.</v>
      </c>
    </row>
    <row r="6134">
      <c r="A6134" s="5" t="s">
        <v>9019</v>
      </c>
      <c r="B6134" s="5" t="s">
        <v>9020</v>
      </c>
      <c r="C6134" s="5" t="str">
        <f>IFERROR(__xludf.DUMMYFUNCTION("GOOGLETRANSLATE(A6134,""en"",""hy"")"),"Ո՞րն է աշխարհի ամենամեծ ցամաքային կաթնասունը:")</f>
        <v>Ո՞րն է աշխարհի ամենամեծ ցամաքային կաթնասունը:</v>
      </c>
      <c r="D6134" s="6" t="str">
        <f>IFERROR(__xludf.DUMMYFUNCTION("GOOGLETRANSLATE(B6134,""en"",""hy"")"),"Աշխարհի ամենամեծ ցամաքային կաթնասունը աֆրիկյան փիղն է:")</f>
        <v>Աշխարհի ամենամեծ ցամաքային կաթնասունը աֆրիկյան փիղն է:</v>
      </c>
    </row>
    <row r="6135">
      <c r="A6135" s="5" t="s">
        <v>8665</v>
      </c>
      <c r="B6135" s="5" t="s">
        <v>8201</v>
      </c>
      <c r="C6135" s="5" t="str">
        <f>IFERROR(__xludf.DUMMYFUNCTION("GOOGLETRANSLATE(A6135,""en"",""hy"")"),"Ո՞ր երկիրն է հայտնի Ակրոպոլիսով:")</f>
        <v>Ո՞ր երկիրն է հայտնի Ակրոպոլիսով:</v>
      </c>
      <c r="D6135" s="6" t="str">
        <f>IFERROR(__xludf.DUMMYFUNCTION("GOOGLETRANSLATE(B6135,""en"",""hy"")"),"Հունաստան.")</f>
        <v>Հունաստան.</v>
      </c>
    </row>
    <row r="6136">
      <c r="A6136" s="5" t="s">
        <v>7509</v>
      </c>
      <c r="B6136" s="5" t="s">
        <v>7684</v>
      </c>
      <c r="C6136" s="5" t="str">
        <f>IFERROR(__xludf.DUMMYFUNCTION("GOOGLETRANSLATE(A6136,""en"",""hy"")"),"Ո՞րն է արծաթի քիմիական նշանը:")</f>
        <v>Ո՞րն է արծաթի քիմիական նշանը:</v>
      </c>
      <c r="D6136" s="6" t="str">
        <f>IFERROR(__xludf.DUMMYFUNCTION("GOOGLETRANSLATE(B6136,""en"",""hy"")"),"Արծաթի քիմիական խորհրդանիշն է Ag.")</f>
        <v>Արծաթի քիմիական խորհրդանիշն է Ag.</v>
      </c>
    </row>
    <row r="6137">
      <c r="A6137" s="5" t="s">
        <v>7517</v>
      </c>
      <c r="B6137" s="5" t="s">
        <v>7448</v>
      </c>
      <c r="C6137" s="5" t="str">
        <f>IFERROR(__xludf.DUMMYFUNCTION("GOOGLETRANSLATE(A6137,""en"",""hy"")"),"Ո՞վ է նկարել Վերջին ընթրիքը:")</f>
        <v>Ո՞վ է նկարել Վերջին ընթրիքը:</v>
      </c>
      <c r="D6137" s="6" t="str">
        <f>IFERROR(__xludf.DUMMYFUNCTION("GOOGLETRANSLATE(B6137,""en"",""hy"")"),"Լեոնարդո դա Վինչի.")</f>
        <v>Լեոնարդո դա Վինչի.</v>
      </c>
    </row>
    <row r="6138">
      <c r="A6138" s="5" t="s">
        <v>8213</v>
      </c>
      <c r="B6138" s="5" t="s">
        <v>8214</v>
      </c>
      <c r="C6138" s="5" t="str">
        <f>IFERROR(__xludf.DUMMYFUNCTION("GOOGLETRANSLATE(A6138,""en"",""hy"")"),"Ո՞րն է Ռուսաստանի ազգային կենդանին:")</f>
        <v>Ո՞րն է Ռուսաստանի ազգային կենդանին:</v>
      </c>
      <c r="D6138" s="6" t="str">
        <f>IFERROR(__xludf.DUMMYFUNCTION("GOOGLETRANSLATE(B6138,""en"",""hy"")"),"Ռուսաստանի ազգային կենդանին գորշ արջն է։")</f>
        <v>Ռուսաստանի ազգային կենդանին գորշ արջն է։</v>
      </c>
    </row>
    <row r="6139">
      <c r="A6139" s="5" t="s">
        <v>7969</v>
      </c>
      <c r="B6139" s="5" t="s">
        <v>7970</v>
      </c>
      <c r="C6139" s="5" t="str">
        <f>IFERROR(__xludf.DUMMYFUNCTION("GOOGLETRANSLATE(A6139,""en"",""hy"")"),"Քանի՞ ոսկոր կա մարդու գանգում:")</f>
        <v>Քանի՞ ոսկոր կա մարդու գանգում:</v>
      </c>
      <c r="D6139" s="6" t="str">
        <f>IFERROR(__xludf.DUMMYFUNCTION("GOOGLETRANSLATE(B6139,""en"",""hy"")"),"Մարդու գանգում կա 22 ոսկոր։")</f>
        <v>Մարդու գանգում կա 22 ոսկոր։</v>
      </c>
    </row>
    <row r="6140">
      <c r="A6140" s="5" t="s">
        <v>7566</v>
      </c>
      <c r="B6140" s="5" t="s">
        <v>9021</v>
      </c>
      <c r="C6140" s="5" t="str">
        <f>IFERROR(__xludf.DUMMYFUNCTION("GOOGLETRANSLATE(A6140,""en"",""hy"")"),"Ո՞վ է Կանադայի ներկայիս վարչապետը:")</f>
        <v>Ո՞վ է Կանադայի ներկայիս վարչապետը:</v>
      </c>
      <c r="D6140" s="6" t="str">
        <f>IFERROR(__xludf.DUMMYFUNCTION("GOOGLETRANSLATE(B6140,""en"",""hy"")"),"2021 թվականի սեպտեմբերին իմ գիտելիքների թարմացման տվյալներով՝ Կանադայի ներկայիս վարչապետը Ջասթին Թրյուդոն է:")</f>
        <v>2021 թվականի սեպտեմբերին իմ գիտելիքների թարմացման տվյալներով՝ Կանադայի ներկայիս վարչապետը Ջասթին Թրյուդոն է:</v>
      </c>
    </row>
    <row r="6141">
      <c r="A6141" s="5" t="s">
        <v>7506</v>
      </c>
      <c r="B6141" s="5" t="s">
        <v>7507</v>
      </c>
      <c r="C6141" s="5" t="str">
        <f>IFERROR(__xludf.DUMMYFUNCTION("GOOGLETRANSLATE(A6141,""en"",""hy"")"),"Ո՞րն է աշխարհի ամենափոքր երկիրը:")</f>
        <v>Ո՞րն է աշխարհի ամենափոքր երկիրը:</v>
      </c>
      <c r="D6141" s="6" t="str">
        <f>IFERROR(__xludf.DUMMYFUNCTION("GOOGLETRANSLATE(B6141,""en"",""hy"")"),"Քաղաք Վատիկան.")</f>
        <v>Քաղաք Վատիկան.</v>
      </c>
    </row>
    <row r="6142">
      <c r="A6142" s="5" t="s">
        <v>9022</v>
      </c>
      <c r="B6142" s="5" t="s">
        <v>9023</v>
      </c>
      <c r="C6142" s="5" t="str">
        <f>IFERROR(__xludf.DUMMYFUNCTION("GOOGLETRANSLATE(A6142,""en"",""hy"")"),"Ո՞ր քաղաքում է գտնվում Ազատության արձանը հայտնի տեսարժան վայրերը:")</f>
        <v>Ո՞ր քաղաքում է գտնվում Ազատության արձանը հայտնի տեսարժան վայրերը:</v>
      </c>
      <c r="D6142" s="6" t="str">
        <f>IFERROR(__xludf.DUMMYFUNCTION("GOOGLETRANSLATE(B6142,""en"",""hy"")"),"Նյու Յորք քաղաք")</f>
        <v>Նյու Յորք քաղաք</v>
      </c>
    </row>
    <row r="6143">
      <c r="A6143" s="5" t="s">
        <v>7761</v>
      </c>
      <c r="B6143" s="5" t="s">
        <v>7762</v>
      </c>
      <c r="C6143" s="5" t="str">
        <f>IFERROR(__xludf.DUMMYFUNCTION("GOOGLETRANSLATE(A6143,""en"",""hy"")"),"Ո՞րն է ջրածնի քիմիական նշանը:")</f>
        <v>Ո՞րն է ջրածնի քիմիական նշանը:</v>
      </c>
      <c r="D6143" s="6" t="str">
        <f>IFERROR(__xludf.DUMMYFUNCTION("GOOGLETRANSLATE(B6143,""en"",""hy"")"),"Հ")</f>
        <v>Հ</v>
      </c>
    </row>
    <row r="6144">
      <c r="A6144" s="5" t="s">
        <v>7737</v>
      </c>
      <c r="B6144" s="5" t="s">
        <v>9024</v>
      </c>
      <c r="C6144" s="5" t="str">
        <f>IFERROR(__xludf.DUMMYFUNCTION("GOOGLETRANSLATE(A6144,""en"",""hy"")"),"Ո՞վ է գրել «Շորայի մեջ բռնողը» վեպը:")</f>
        <v>Ո՞վ է գրել «Շորայի մեջ բռնողը» վեպը:</v>
      </c>
      <c r="D6144" s="6" t="str">
        <f>IFERROR(__xludf.DUMMYFUNCTION("GOOGLETRANSLATE(B6144,""en"",""hy"")"),"Ջ.Դ.Սելինջեր")</f>
        <v>Ջ.Դ.Սելինջեր</v>
      </c>
    </row>
    <row r="6145">
      <c r="A6145" s="5" t="s">
        <v>7791</v>
      </c>
      <c r="B6145" s="5" t="s">
        <v>8128</v>
      </c>
      <c r="C6145" s="5" t="str">
        <f>IFERROR(__xludf.DUMMYFUNCTION("GOOGLETRANSLATE(A6145,""en"",""hy"")"),"Ո՞րն է Ավստրալիայի ազգային կենդանին:")</f>
        <v>Ո՞րն է Ավստրալիայի ազգային կենդանին:</v>
      </c>
      <c r="D6145" s="6" t="str">
        <f>IFERROR(__xludf.DUMMYFUNCTION("GOOGLETRANSLATE(B6145,""en"",""hy"")"),"Կենգուրու.")</f>
        <v>Կենգուրու.</v>
      </c>
    </row>
    <row r="6146">
      <c r="A6146" s="5" t="s">
        <v>7526</v>
      </c>
      <c r="B6146" s="5" t="s">
        <v>7527</v>
      </c>
      <c r="C6146" s="5" t="str">
        <f>IFERROR(__xludf.DUMMYFUNCTION("GOOGLETRANSLATE(A6146,""en"",""hy"")"),"Ո՞րն է աշխարհի ամենամեծ կղզին:")</f>
        <v>Ո՞րն է աշխարհի ամենամեծ կղզին:</v>
      </c>
      <c r="D6146" s="6" t="str">
        <f>IFERROR(__xludf.DUMMYFUNCTION("GOOGLETRANSLATE(B6146,""en"",""hy"")"),"Գրենլանդիա.")</f>
        <v>Գրենլանդիա.</v>
      </c>
    </row>
    <row r="6147">
      <c r="A6147" s="5" t="s">
        <v>9025</v>
      </c>
      <c r="B6147" s="5" t="s">
        <v>9026</v>
      </c>
      <c r="C6147" s="5" t="str">
        <f>IFERROR(__xludf.DUMMYFUNCTION("GOOGLETRANSLATE(A6147,""en"",""hy"")"),"Ո՞ր երկիրն է հայտնի աշխարհում ամենաշատ շոկոլադ արտադրողով.")</f>
        <v>Ո՞ր երկիրն է հայտնի աշխարհում ամենաշատ շոկոլադ արտադրողով.</v>
      </c>
      <c r="D6147" s="6" t="str">
        <f>IFERROR(__xludf.DUMMYFUNCTION("GOOGLETRANSLATE(B6147,""en"",""hy"")"),"Շվեյցարիա.")</f>
        <v>Շվեյցարիա.</v>
      </c>
    </row>
    <row r="6148">
      <c r="A6148" s="5" t="s">
        <v>7528</v>
      </c>
      <c r="B6148" s="5" t="s">
        <v>7529</v>
      </c>
      <c r="C6148" s="5" t="str">
        <f>IFERROR(__xludf.DUMMYFUNCTION("GOOGLETRANSLATE(A6148,""en"",""hy"")"),"Ո՞վ է Գերմանիայի ներկայիս կանցլերը:")</f>
        <v>Ո՞վ է Գերմանիայի ներկայիս կանցլերը:</v>
      </c>
      <c r="D6148" s="6" t="str">
        <f>IFERROR(__xludf.DUMMYFUNCTION("GOOGLETRANSLATE(B6148,""en"",""hy"")"),"Անգելա Մերկել.")</f>
        <v>Անգելա Մերկել.</v>
      </c>
    </row>
    <row r="6149">
      <c r="A6149" s="5" t="s">
        <v>7665</v>
      </c>
      <c r="B6149" s="5" t="s">
        <v>7666</v>
      </c>
      <c r="C6149" s="5" t="str">
        <f>IFERROR(__xludf.DUMMYFUNCTION("GOOGLETRANSLATE(A6149,""en"",""hy"")"),"Ո՞րն է նատրիումի քիմիական նշանը:")</f>
        <v>Ո՞րն է նատրիումի քիմիական նշանը:</v>
      </c>
      <c r="D6149" s="6" t="str">
        <f>IFERROR(__xludf.DUMMYFUNCTION("GOOGLETRANSLATE(B6149,""en"",""hy"")"),"Նա")</f>
        <v>Նա</v>
      </c>
    </row>
    <row r="6150">
      <c r="A6150" s="5" t="s">
        <v>7548</v>
      </c>
      <c r="B6150" s="5" t="s">
        <v>7549</v>
      </c>
      <c r="C6150" s="5" t="str">
        <f>IFERROR(__xludf.DUMMYFUNCTION("GOOGLETRANSLATE(A6150,""en"",""hy"")"),"Ո՞վ է նկարել մարգարիտ ականջօղով աղջկան:")</f>
        <v>Ո՞վ է նկարել մարգարիտ ականջօղով աղջկան:</v>
      </c>
      <c r="D6150" s="6" t="str">
        <f>IFERROR(__xludf.DUMMYFUNCTION("GOOGLETRANSLATE(B6150,""en"",""hy"")"),"Յոհաննես Վերմեեր.")</f>
        <v>Յոհաննես Վերմեեր.</v>
      </c>
    </row>
    <row r="6151">
      <c r="A6151" s="5" t="s">
        <v>9027</v>
      </c>
      <c r="B6151" s="5" t="s">
        <v>9028</v>
      </c>
      <c r="C6151" s="5" t="str">
        <f>IFERROR(__xludf.DUMMYFUNCTION("GOOGLETRANSLATE(A6151,""en"",""hy"")"),"Ո՞րն է Բրազիլիայի ազգային կենդանին:")</f>
        <v>Ո՞րն է Բրազիլիայի ազգային կենդանին:</v>
      </c>
      <c r="D6151" s="6" t="str">
        <f>IFERROR(__xludf.DUMMYFUNCTION("GOOGLETRANSLATE(B6151,""en"",""hy"")"),"Բրազիլիայի ազգային կենդանին յագուարն է։")</f>
        <v>Բրազիլիայի ազգային կենդանին յագուարն է։</v>
      </c>
    </row>
    <row r="6152">
      <c r="A6152" s="5" t="s">
        <v>8121</v>
      </c>
      <c r="B6152" s="5" t="s">
        <v>8122</v>
      </c>
      <c r="C6152" s="5" t="str">
        <f>IFERROR(__xludf.DUMMYFUNCTION("GOOGLETRANSLATE(A6152,""en"",""hy"")"),"Քանի՞ աստղ կա ամերիկյան դրոշի վրա:")</f>
        <v>Քանի՞ աստղ կա ամերիկյան դրոշի վրա:</v>
      </c>
      <c r="D6152" s="6" t="str">
        <f>IFERROR(__xludf.DUMMYFUNCTION("GOOGLETRANSLATE(B6152,""en"",""hy"")"),"Ամերիկյան դրոշի վրա 50 աստղ կա։")</f>
        <v>Ամերիկյան դրոշի վրա 50 աստղ կա։</v>
      </c>
    </row>
    <row r="6153">
      <c r="A6153" s="5" t="s">
        <v>9029</v>
      </c>
      <c r="B6153" s="5" t="s">
        <v>9030</v>
      </c>
      <c r="C6153" s="5" t="str">
        <f>IFERROR(__xludf.DUMMYFUNCTION("GOOGLETRANSLATE(A6153,""en"",""hy"")"),"Ո՞ր քաղաքում է գտնվում հայտնի տեսարժան վայրը Թաջ Մահալը:")</f>
        <v>Ո՞ր քաղաքում է գտնվում հայտնի տեսարժան վայրը Թաջ Մահալը:</v>
      </c>
      <c r="D6153" s="6" t="str">
        <f>IFERROR(__xludf.DUMMYFUNCTION("GOOGLETRANSLATE(B6153,""en"",""hy"")"),"Ագրա.")</f>
        <v>Ագրա.</v>
      </c>
    </row>
    <row r="6154">
      <c r="A6154" s="5" t="s">
        <v>7875</v>
      </c>
      <c r="B6154" s="5" t="s">
        <v>7876</v>
      </c>
      <c r="C6154" s="5" t="str">
        <f>IFERROR(__xludf.DUMMYFUNCTION("GOOGLETRANSLATE(A6154,""en"",""hy"")"),"Ո՞րն է ազոտի քիմիական նշանը:")</f>
        <v>Ո՞րն է ազոտի քիմիական նշանը:</v>
      </c>
      <c r="D6154" s="6" t="str">
        <f>IFERROR(__xludf.DUMMYFUNCTION("GOOGLETRANSLATE(B6154,""en"",""hy"")"),"Ազոտի քիմիական նշանն է N.")</f>
        <v>Ազոտի քիմիական նշանն է N.</v>
      </c>
    </row>
    <row r="6155">
      <c r="A6155" s="5" t="s">
        <v>7594</v>
      </c>
      <c r="B6155" s="5" t="s">
        <v>1016</v>
      </c>
      <c r="C6155" s="5" t="str">
        <f>IFERROR(__xludf.DUMMYFUNCTION("GOOGLETRANSLATE(A6155,""en"",""hy"")"),"Ո՞վ է գրել «Մակբեթ» պիեսը:")</f>
        <v>Ո՞վ է գրել «Մակբեթ» պիեսը:</v>
      </c>
      <c r="D6155" s="6" t="str">
        <f>IFERROR(__xludf.DUMMYFUNCTION("GOOGLETRANSLATE(B6155,""en"",""hy"")"),"Ուիլյամ Շեքսպիր.")</f>
        <v>Ուիլյամ Շեքսպիր.</v>
      </c>
    </row>
    <row r="6156">
      <c r="A6156" s="5" t="s">
        <v>8016</v>
      </c>
      <c r="B6156" s="5" t="s">
        <v>8017</v>
      </c>
      <c r="C6156" s="5" t="str">
        <f>IFERROR(__xludf.DUMMYFUNCTION("GOOGLETRANSLATE(A6156,""en"",""hy"")"),"Ո՞րն է Անգլիայի ազգային ծաղիկը:")</f>
        <v>Ո՞րն է Անգլիայի ազգային ծաղիկը:</v>
      </c>
      <c r="D6156" s="6" t="str">
        <f>IFERROR(__xludf.DUMMYFUNCTION("GOOGLETRANSLATE(B6156,""en"",""hy"")"),"Անգլիայի ազգային ծաղիկը վարդն է։")</f>
        <v>Անգլիայի ազգային ծաղիկը վարդն է։</v>
      </c>
    </row>
    <row r="6157">
      <c r="A6157" s="5" t="s">
        <v>9031</v>
      </c>
      <c r="B6157" s="5" t="s">
        <v>3535</v>
      </c>
      <c r="C6157" s="5" t="str">
        <f>IFERROR(__xludf.DUMMYFUNCTION("GOOGLETRANSLATE(A6157,""en"",""hy"")"),"Ո՞ր մայրցամաքն է հայտնի «Land Down Under» անունով:")</f>
        <v>Ո՞ր մայրցամաքն է հայտնի «Land Down Under» անունով:</v>
      </c>
      <c r="D6157" s="6" t="str">
        <f>IFERROR(__xludf.DUMMYFUNCTION("GOOGLETRANSLATE(B6157,""en"",""hy"")"),"Ավստրալիա.")</f>
        <v>Ավստրալիա.</v>
      </c>
    </row>
    <row r="6158">
      <c r="A6158" s="5" t="s">
        <v>7854</v>
      </c>
      <c r="B6158" s="5" t="s">
        <v>7458</v>
      </c>
      <c r="C6158" s="5" t="str">
        <f>IFERROR(__xludf.DUMMYFUNCTION("GOOGLETRANSLATE(A6158,""en"",""hy"")"),"Ո՞վ էր Միացյալ Նահանգների առաջին նախագահը:")</f>
        <v>Ո՞վ էր Միացյալ Նահանգների առաջին նախագահը:</v>
      </c>
      <c r="D6158" s="6" t="str">
        <f>IFERROR(__xludf.DUMMYFUNCTION("GOOGLETRANSLATE(B6158,""en"",""hy"")"),"Ջորջ Վաշինգտոն.")</f>
        <v>Ջորջ Վաշինգտոն.</v>
      </c>
    </row>
    <row r="6159">
      <c r="A6159" s="5" t="s">
        <v>8440</v>
      </c>
      <c r="B6159" s="5" t="s">
        <v>8111</v>
      </c>
      <c r="C6159" s="5" t="str">
        <f>IFERROR(__xludf.DUMMYFUNCTION("GOOGLETRANSLATE(A6159,""en"",""hy"")"),"Քանի՞ խաղացող կա ֆուտբոլային թիմում:")</f>
        <v>Քանի՞ խաղացող կա ֆուտբոլային թիմում:</v>
      </c>
      <c r="D6159" s="6" t="str">
        <f>IFERROR(__xludf.DUMMYFUNCTION("GOOGLETRANSLATE(B6159,""en"",""hy"")"),"Ֆուտբոլային թիմում կա 11 խաղացող։")</f>
        <v>Ֆուտբոլային թիմում կա 11 խաղացող։</v>
      </c>
    </row>
    <row r="6160">
      <c r="A6160" s="5" t="s">
        <v>8290</v>
      </c>
      <c r="B6160" s="5" t="s">
        <v>8291</v>
      </c>
      <c r="C6160" s="5" t="str">
        <f>IFERROR(__xludf.DUMMYFUNCTION("GOOGLETRANSLATE(A6160,""en"",""hy"")"),"Ո՞րն է Հարավային Աֆրիկայի ազգային կենդանին:")</f>
        <v>Ո՞րն է Հարավային Աֆրիկայի ազգային կենդանին:</v>
      </c>
      <c r="D6160" s="6" t="str">
        <f>IFERROR(__xludf.DUMMYFUNCTION("GOOGLETRANSLATE(B6160,""en"",""hy"")"),"Հարավային Աֆրիկայի ազգային կենդանին սփրինգբոկն է։")</f>
        <v>Հարավային Աֆրիկայի ազգային կենդանին սփրինգբոկն է։</v>
      </c>
    </row>
    <row r="6161">
      <c r="A6161" s="5" t="s">
        <v>9032</v>
      </c>
      <c r="B6161" s="5" t="s">
        <v>7673</v>
      </c>
      <c r="C6161" s="5" t="str">
        <f>IFERROR(__xludf.DUMMYFUNCTION("GOOGLETRANSLATE(A6161,""en"",""hy"")"),"Ո՞ր երկրում է գտնվում Ամազոնի անձրևային անտառը:")</f>
        <v>Ո՞ր երկրում է գտնվում Ամազոնի անձրևային անտառը:</v>
      </c>
      <c r="D6161" s="6" t="str">
        <f>IFERROR(__xludf.DUMMYFUNCTION("GOOGLETRANSLATE(B6161,""en"",""hy"")"),"Բրազիլիա.")</f>
        <v>Բրազիլիա.</v>
      </c>
    </row>
    <row r="6162">
      <c r="A6162" s="5" t="s">
        <v>7738</v>
      </c>
      <c r="B6162" s="5" t="s">
        <v>7739</v>
      </c>
      <c r="C6162" s="5" t="str">
        <f>IFERROR(__xludf.DUMMYFUNCTION("GOOGLETRANSLATE(A6162,""en"",""hy"")"),"Ո՞րն է կալցիումի քիմիական նշանը:")</f>
        <v>Ո՞րն է կալցիումի քիմիական նշանը:</v>
      </c>
      <c r="D6162" s="6" t="str">
        <f>IFERROR(__xludf.DUMMYFUNCTION("GOOGLETRANSLATE(B6162,""en"",""hy"")"),"Կալցիումի քիմիական նշանը Ca է:")</f>
        <v>Կալցիումի քիմիական նշանը Ca է:</v>
      </c>
    </row>
    <row r="6163">
      <c r="A6163" s="5" t="s">
        <v>8211</v>
      </c>
      <c r="B6163" s="5" t="s">
        <v>8212</v>
      </c>
      <c r="C6163" s="5" t="str">
        <f>IFERROR(__xludf.DUMMYFUNCTION("GOOGLETRANSLATE(A6163,""en"",""hy"")"),"Ո՞վ է նկարել «Ջրաշուշաններ» շարքը:")</f>
        <v>Ո՞վ է նկարել «Ջրաշուշաններ» շարքը:</v>
      </c>
      <c r="D6163" s="6" t="str">
        <f>IFERROR(__xludf.DUMMYFUNCTION("GOOGLETRANSLATE(B6163,""en"",""hy"")"),"Կլոդ Մոնե.")</f>
        <v>Կլոդ Մոնե.</v>
      </c>
    </row>
    <row r="6164">
      <c r="A6164" s="5" t="s">
        <v>8233</v>
      </c>
      <c r="B6164" s="5" t="s">
        <v>9033</v>
      </c>
      <c r="C6164" s="5" t="str">
        <f>IFERROR(__xludf.DUMMYFUNCTION("GOOGLETRANSLATE(A6164,""en"",""hy"")"),"Ո՞րն է Գերմանիայի ազգային կենդանին:")</f>
        <v>Ո՞րն է Գերմանիայի ազգային կենդանին:</v>
      </c>
      <c r="D6164" s="6" t="str">
        <f>IFERROR(__xludf.DUMMYFUNCTION("GOOGLETRANSLATE(B6164,""en"",""hy"")"),"Գերմանիայի ազգային կենդանին արծիվն է։")</f>
        <v>Գերմանիայի ազգային կենդանին արծիվն է։</v>
      </c>
    </row>
    <row r="6165">
      <c r="A6165" s="5" t="s">
        <v>7502</v>
      </c>
      <c r="B6165" s="5" t="s">
        <v>7503</v>
      </c>
      <c r="C6165" s="5" t="str">
        <f>IFERROR(__xludf.DUMMYFUNCTION("GOOGLETRANSLATE(A6165,""en"",""hy"")"),"Քանի՞ կողմ ունի վեցանկյունը:")</f>
        <v>Քանի՞ կողմ ունի վեցանկյունը:</v>
      </c>
      <c r="D6165" s="6" t="str">
        <f>IFERROR(__xludf.DUMMYFUNCTION("GOOGLETRANSLATE(B6165,""en"",""hy"")"),"Վեցանկյունն ունի վեց կողմ:")</f>
        <v>Վեցանկյունն ունի վեց կողմ:</v>
      </c>
    </row>
    <row r="6166">
      <c r="A6166" s="5" t="s">
        <v>8057</v>
      </c>
      <c r="B6166" s="5" t="s">
        <v>9034</v>
      </c>
      <c r="C6166" s="5" t="str">
        <f>IFERROR(__xludf.DUMMYFUNCTION("GOOGLETRANSLATE(A6166,""en"",""hy"")"),"Ո՞վ է հայտնի որպես «փոփի թագուհի»:")</f>
        <v>Ո՞վ է հայտնի որպես «փոփի թագուհի»:</v>
      </c>
      <c r="D6166" s="6" t="str">
        <f>IFERROR(__xludf.DUMMYFUNCTION("GOOGLETRANSLATE(B6166,""en"",""hy"")"),"Մադոննա.")</f>
        <v>Մադոննա.</v>
      </c>
    </row>
    <row r="6167">
      <c r="A6167" s="5" t="s">
        <v>8136</v>
      </c>
      <c r="B6167" s="5" t="s">
        <v>9035</v>
      </c>
      <c r="C6167" s="5" t="str">
        <f>IFERROR(__xludf.DUMMYFUNCTION("GOOGLETRANSLATE(A6167,""en"",""hy"")"),"Ո՞րն է Ֆրանսիայի ազգային ծաղիկը:")</f>
        <v>Ո՞րն է Ֆրանսիայի ազգային ծաղիկը:</v>
      </c>
      <c r="D6167" s="6" t="str">
        <f>IFERROR(__xludf.DUMMYFUNCTION("GOOGLETRANSLATE(B6167,""en"",""hy"")"),"Ֆրանսիայի ազգային ծաղիկը Fleur-de-lis-ն է:")</f>
        <v>Ֆրանսիայի ազգային ծաղիկը Fleur-de-lis-ն է:</v>
      </c>
    </row>
    <row r="6168">
      <c r="A6168" s="5" t="s">
        <v>9036</v>
      </c>
      <c r="B6168" s="5" t="s">
        <v>8968</v>
      </c>
      <c r="C6168" s="5" t="str">
        <f>IFERROR(__xludf.DUMMYFUNCTION("GOOGLETRANSLATE(A6168,""en"",""hy"")"),"Ո՞ր մայրցամաքն է հայտնի ամենացուրտն ու չորը:")</f>
        <v>Ո՞ր մայրցամաքն է հայտնի ամենացուրտն ու չորը:</v>
      </c>
      <c r="D6168" s="6" t="str">
        <f>IFERROR(__xludf.DUMMYFUNCTION("GOOGLETRANSLATE(B6168,""en"",""hy"")"),"Անտարկտիկա.")</f>
        <v>Անտարկտիկա.</v>
      </c>
    </row>
    <row r="6169">
      <c r="A6169" s="5" t="s">
        <v>7893</v>
      </c>
      <c r="B6169" s="5" t="s">
        <v>7894</v>
      </c>
      <c r="C6169" s="5" t="str">
        <f>IFERROR(__xludf.DUMMYFUNCTION("GOOGLETRANSLATE(A6169,""en"",""hy"")"),"Ո՞րն է կալիումի քիմիական նշանը:")</f>
        <v>Ո՞րն է կալիումի քիմիական նշանը:</v>
      </c>
      <c r="D6169" s="6" t="str">
        <f>IFERROR(__xludf.DUMMYFUNCTION("GOOGLETRANSLATE(B6169,""en"",""hy"")"),"Կալիումի քիմիական նշանը Կ.")</f>
        <v>Կալիումի քիմիական նշանը Կ.</v>
      </c>
    </row>
    <row r="6170">
      <c r="A6170" s="5" t="s">
        <v>8010</v>
      </c>
      <c r="B6170" s="5" t="s">
        <v>7578</v>
      </c>
      <c r="C6170" s="5" t="str">
        <f>IFERROR(__xludf.DUMMYFUNCTION("GOOGLETRANSLATE(A6170,""en"",""hy"")"),"Ո՞վ է գրել «Մոբի-Դիկ» վեպը:")</f>
        <v>Ո՞վ է գրել «Մոբի-Դիկ» վեպը:</v>
      </c>
      <c r="D6170" s="6" t="str">
        <f>IFERROR(__xludf.DUMMYFUNCTION("GOOGLETRANSLATE(B6170,""en"",""hy"")"),"Հերման Մելվիլ.")</f>
        <v>Հերման Մելվիլ.</v>
      </c>
    </row>
    <row r="6171">
      <c r="A6171" s="5" t="s">
        <v>8372</v>
      </c>
      <c r="B6171" s="5" t="s">
        <v>8373</v>
      </c>
      <c r="C6171" s="5" t="str">
        <f>IFERROR(__xludf.DUMMYFUNCTION("GOOGLETRANSLATE(A6171,""en"",""hy"")"),"Ո՞րն է Ճապոնիայի ազգային կենդանին:")</f>
        <v>Ո՞րն է Ճապոնիայի ազգային կենդանին:</v>
      </c>
      <c r="D6171" s="6" t="str">
        <f>IFERROR(__xludf.DUMMYFUNCTION("GOOGLETRANSLATE(B6171,""en"",""hy"")"),"Ճապոնիայի ազգային կենդանին կանաչ փասիանն է։")</f>
        <v>Ճապոնիայի ազգային կենդանին կանաչ փասիանն է։</v>
      </c>
    </row>
    <row r="6172">
      <c r="A6172" s="5" t="s">
        <v>8129</v>
      </c>
      <c r="B6172" s="5" t="s">
        <v>8130</v>
      </c>
      <c r="C6172" s="5" t="str">
        <f>IFERROR(__xludf.DUMMYFUNCTION("GOOGLETRANSLATE(A6172,""en"",""hy"")"),"Քանի՞ ժամային գոտի կա աշխարհում:")</f>
        <v>Քանի՞ ժամային գոտի կա աշխարհում:</v>
      </c>
      <c r="D6172" s="6" t="str">
        <f>IFERROR(__xludf.DUMMYFUNCTION("GOOGLETRANSLATE(B6172,""en"",""hy"")"),"Աշխարհում կա 24 ժամային գոտի:")</f>
        <v>Աշխարհում կա 24 ժամային գոտի:</v>
      </c>
    </row>
    <row r="6173">
      <c r="A6173" s="5" t="s">
        <v>9037</v>
      </c>
      <c r="B6173" s="5" t="s">
        <v>7598</v>
      </c>
      <c r="C6173" s="5" t="str">
        <f>IFERROR(__xludf.DUMMYFUNCTION("GOOGLETRANSLATE(A6173,""en"",""hy"")"),"Ո՞ր քաղաքում է գտնվում Սիդնեյի օպերայի հայտնի տեսարժան վայրը:")</f>
        <v>Ո՞ր քաղաքում է գտնվում Սիդնեյի օպերայի հայտնի տեսարժան վայրը:</v>
      </c>
      <c r="D6173" s="6" t="str">
        <f>IFERROR(__xludf.DUMMYFUNCTION("GOOGLETRANSLATE(B6173,""en"",""hy"")"),"Սիդնեյ.")</f>
        <v>Սիդնեյ.</v>
      </c>
    </row>
    <row r="6174">
      <c r="A6174" s="5" t="s">
        <v>7809</v>
      </c>
      <c r="B6174" s="5" t="s">
        <v>7810</v>
      </c>
      <c r="C6174" s="5" t="str">
        <f>IFERROR(__xludf.DUMMYFUNCTION("GOOGLETRANSLATE(A6174,""en"",""hy"")"),"Ո՞րն է հելիումի քիմիական նշանը:")</f>
        <v>Ո՞րն է հելիումի քիմիական նշանը:</v>
      </c>
      <c r="D6174" s="6" t="str">
        <f>IFERROR(__xludf.DUMMYFUNCTION("GOOGLETRANSLATE(B6174,""en"",""hy"")"),"Նա")</f>
        <v>Նա</v>
      </c>
    </row>
    <row r="6175">
      <c r="A6175" s="5" t="s">
        <v>8197</v>
      </c>
      <c r="B6175" s="5" t="s">
        <v>7710</v>
      </c>
      <c r="C6175" s="5" t="str">
        <f>IFERROR(__xludf.DUMMYFUNCTION("GOOGLETRANSLATE(A6175,""en"",""hy"")"),"Ո՞վ է նկարել Գերնիկան:")</f>
        <v>Ո՞վ է նկարել Գերնիկան:</v>
      </c>
      <c r="D6175" s="6" t="str">
        <f>IFERROR(__xludf.DUMMYFUNCTION("GOOGLETRANSLATE(B6175,""en"",""hy"")"),"Պաբլո Պիկասո.")</f>
        <v>Պաբլո Պիկասո.</v>
      </c>
    </row>
    <row r="6176">
      <c r="A6176" s="5" t="s">
        <v>9038</v>
      </c>
      <c r="B6176" s="5" t="s">
        <v>9039</v>
      </c>
      <c r="C6176" s="5" t="str">
        <f>IFERROR(__xludf.DUMMYFUNCTION("GOOGLETRANSLATE(A6176,""en"",""hy"")"),"Ո՞րն է Մեքսիկայի ազգային կենդանին:")</f>
        <v>Ո՞րն է Մեքսիկայի ազգային կենդանին:</v>
      </c>
      <c r="D6176" s="6" t="str">
        <f>IFERROR(__xludf.DUMMYFUNCTION("GOOGLETRANSLATE(B6176,""en"",""hy"")"),"Մեքսիկայի ազգային կենդանին ոսկե արծիվն է:")</f>
        <v>Մեքսիկայի ազգային կենդանին ոսկե արծիվն է:</v>
      </c>
    </row>
    <row r="6177">
      <c r="A6177" s="5" t="s">
        <v>7927</v>
      </c>
      <c r="B6177" s="5" t="s">
        <v>9040</v>
      </c>
      <c r="C6177" s="5" t="str">
        <f>IFERROR(__xludf.DUMMYFUNCTION("GOOGLETRANSLATE(A6177,""en"",""hy"")"),"Քանի՞ խաղացող կա բասկետբոլի թիմում:")</f>
        <v>Քանի՞ խաղացող կա բասկետբոլի թիմում:</v>
      </c>
      <c r="D6177" s="6" t="str">
        <f>IFERROR(__xludf.DUMMYFUNCTION("GOOGLETRANSLATE(B6177,""en"",""hy"")"),"Բասկետբոլի թիմը սովորաբար ունի հինգ խաղացող:")</f>
        <v>Բասկետբոլի թիմը սովորաբար ունի հինգ խաղացող:</v>
      </c>
    </row>
    <row r="6178">
      <c r="A6178" s="5" t="s">
        <v>9041</v>
      </c>
      <c r="B6178" s="5" t="s">
        <v>9042</v>
      </c>
      <c r="C6178" s="5" t="str">
        <f>IFERROR(__xludf.DUMMYFUNCTION("GOOGLETRANSLATE(A6178,""en"",""hy"")"),"Ո՞րն է Իտալիայի ազգային կենդանին:")</f>
        <v>Ո՞րն է Իտալիայի ազգային կենդանին:</v>
      </c>
      <c r="D6178" s="6" t="str">
        <f>IFERROR(__xludf.DUMMYFUNCTION("GOOGLETRANSLATE(B6178,""en"",""hy"")"),"Իտալիայի ազգային կենդանին իտալական գայլն է։")</f>
        <v>Իտալիայի ազգային կենդանին իտալական գայլն է։</v>
      </c>
    </row>
    <row r="6179">
      <c r="A6179" s="5" t="s">
        <v>9043</v>
      </c>
      <c r="B6179" s="5" t="s">
        <v>8660</v>
      </c>
      <c r="C6179" s="5" t="str">
        <f>IFERROR(__xludf.DUMMYFUNCTION("GOOGLETRANSLATE(A6179,""en"",""hy"")"),"Ո՞ր երկրում է գտնվում Սերենգետի ազգային պարկը:")</f>
        <v>Ո՞ր երկրում է գտնվում Սերենգետի ազգային պարկը:</v>
      </c>
      <c r="D6179" s="6" t="str">
        <f>IFERROR(__xludf.DUMMYFUNCTION("GOOGLETRANSLATE(B6179,""en"",""hy"")"),"Տանզանիա.")</f>
        <v>Տանզանիա.</v>
      </c>
    </row>
    <row r="6180">
      <c r="A6180" s="5" t="s">
        <v>8384</v>
      </c>
      <c r="B6180" s="5" t="s">
        <v>8385</v>
      </c>
      <c r="C6180" s="5" t="str">
        <f>IFERROR(__xludf.DUMMYFUNCTION("GOOGLETRANSLATE(A6180,""en"",""hy"")"),"Ո՞րն է կապարի քիմիական նշանը:")</f>
        <v>Ո՞րն է կապարի քիմիական նշանը:</v>
      </c>
      <c r="D6180" s="6" t="str">
        <f>IFERROR(__xludf.DUMMYFUNCTION("GOOGLETRANSLATE(B6180,""en"",""hy"")"),"Կապարի քիմիական նշանը Pb է:")</f>
        <v>Կապարի քիմիական նշանը Pb է:</v>
      </c>
    </row>
    <row r="6181">
      <c r="A6181" s="5" t="s">
        <v>7678</v>
      </c>
      <c r="B6181" s="5" t="s">
        <v>7451</v>
      </c>
      <c r="C6181" s="5" t="str">
        <f>IFERROR(__xludf.DUMMYFUNCTION("GOOGLETRANSLATE(A6181,""en"",""hy"")"),"Ո՞րն է Ավստրալիայի մայրաքաղաքը:")</f>
        <v>Ո՞րն է Ավստրալիայի մայրաքաղաքը:</v>
      </c>
      <c r="D6181" s="6" t="str">
        <f>IFERROR(__xludf.DUMMYFUNCTION("GOOGLETRANSLATE(B6181,""en"",""hy"")"),"Կանբերա.")</f>
        <v>Կանբերա.</v>
      </c>
    </row>
    <row r="6182">
      <c r="A6182" s="5" t="s">
        <v>7854</v>
      </c>
      <c r="B6182" s="5" t="s">
        <v>7458</v>
      </c>
      <c r="C6182" s="5" t="str">
        <f>IFERROR(__xludf.DUMMYFUNCTION("GOOGLETRANSLATE(A6182,""en"",""hy"")"),"Ո՞վ էր Միացյալ Նահանգների առաջին նախագահը:")</f>
        <v>Ո՞վ էր Միացյալ Նահանգների առաջին նախագահը:</v>
      </c>
      <c r="D6182" s="6" t="str">
        <f>IFERROR(__xludf.DUMMYFUNCTION("GOOGLETRANSLATE(B6182,""en"",""hy"")"),"Ջորջ Վաշինգտոն.")</f>
        <v>Ջորջ Վաշինգտոն.</v>
      </c>
    </row>
    <row r="6183">
      <c r="A6183" s="5" t="s">
        <v>7842</v>
      </c>
      <c r="B6183" s="5" t="s">
        <v>7767</v>
      </c>
      <c r="C6183" s="5" t="str">
        <f>IFERROR(__xludf.DUMMYFUNCTION("GOOGLETRANSLATE(A6183,""en"",""hy"")"),"Ո՞րն է աշխարհի ամենաերկար գետը:")</f>
        <v>Ո՞րն է աշխարհի ամենաերկար գետը:</v>
      </c>
      <c r="D6183" s="6" t="str">
        <f>IFERROR(__xludf.DUMMYFUNCTION("GOOGLETRANSLATE(B6183,""en"",""hy"")"),"Նեղոս.")</f>
        <v>Նեղոս.</v>
      </c>
    </row>
    <row r="6184">
      <c r="A6184" s="5" t="s">
        <v>7447</v>
      </c>
      <c r="B6184" s="5" t="s">
        <v>7448</v>
      </c>
      <c r="C6184" s="5" t="str">
        <f>IFERROR(__xludf.DUMMYFUNCTION("GOOGLETRANSLATE(A6184,""en"",""hy"")"),"Ո՞վ է նկարել Մոնա Լիզան:")</f>
        <v>Ո՞վ է նկարել Մոնա Լիզան:</v>
      </c>
      <c r="D6184" s="6" t="str">
        <f>IFERROR(__xludf.DUMMYFUNCTION("GOOGLETRANSLATE(B6184,""en"",""hy"")"),"Լեոնարդո դա Վինչի.")</f>
        <v>Լեոնարդո դա Վինչի.</v>
      </c>
    </row>
    <row r="6185">
      <c r="A6185" s="5" t="s">
        <v>7463</v>
      </c>
      <c r="B6185" s="5" t="s">
        <v>7464</v>
      </c>
      <c r="C6185" s="5" t="str">
        <f>IFERROR(__xludf.DUMMYFUNCTION("GOOGLETRANSLATE(A6185,""en"",""hy"")"),"Ո՞րն է աշխարհի ամենաբարձր լեռը:")</f>
        <v>Ո՞րն է աշխարհի ամենաբարձր լեռը:</v>
      </c>
      <c r="D6185" s="6" t="str">
        <f>IFERROR(__xludf.DUMMYFUNCTION("GOOGLETRANSLATE(B6185,""en"",""hy"")"),"Էվերեստ լեռ.")</f>
        <v>Էվերեստ լեռ.</v>
      </c>
    </row>
    <row r="6186">
      <c r="A6186" s="5" t="s">
        <v>7779</v>
      </c>
      <c r="B6186" s="5" t="s">
        <v>7446</v>
      </c>
      <c r="C6186" s="5" t="str">
        <f>IFERROR(__xludf.DUMMYFUNCTION("GOOGLETRANSLATE(A6186,""en"",""hy"")"),"Ո՞ր մոլորակն է հայտնի որպես «Կարմիր մոլորակ»:")</f>
        <v>Ո՞ր մոլորակն է հայտնի որպես «Կարմիր մոլորակ»:</v>
      </c>
      <c r="D6186" s="6" t="str">
        <f>IFERROR(__xludf.DUMMYFUNCTION("GOOGLETRANSLATE(B6186,""en"",""hy"")"),"Մարս.")</f>
        <v>Մարս.</v>
      </c>
    </row>
    <row r="6187">
      <c r="A6187" s="5" t="s">
        <v>7467</v>
      </c>
      <c r="B6187" s="5" t="s">
        <v>7468</v>
      </c>
      <c r="C6187" s="5" t="str">
        <f>IFERROR(__xludf.DUMMYFUNCTION("GOOGLETRANSLATE(A6187,""en"",""hy"")"),"Ո՞րն է Ճապոնիայի արժույթը:")</f>
        <v>Ո՞րն է Ճապոնիայի արժույթը:</v>
      </c>
      <c r="D6187" s="6" t="str">
        <f>IFERROR(__xludf.DUMMYFUNCTION("GOOGLETRANSLATE(B6187,""en"",""hy"")"),"Ճապոնիայի արժույթը ճապոնական իենն է։")</f>
        <v>Ճապոնիայի արժույթը ճապոնական իենն է։</v>
      </c>
    </row>
    <row r="6188">
      <c r="A6188" s="5" t="s">
        <v>7454</v>
      </c>
      <c r="B6188" s="5" t="s">
        <v>1016</v>
      </c>
      <c r="C6188" s="5" t="str">
        <f>IFERROR(__xludf.DUMMYFUNCTION("GOOGLETRANSLATE(A6188,""en"",""hy"")"),"Ո՞վ է գրել Ռոմեո և Ջուլիետ պիեսը:")</f>
        <v>Ո՞վ է գրել Ռոմեո և Ջուլիետ պիեսը:</v>
      </c>
      <c r="D6188" s="6" t="str">
        <f>IFERROR(__xludf.DUMMYFUNCTION("GOOGLETRANSLATE(B6188,""en"",""hy"")"),"Ուիլյամ Շեքսպիր.")</f>
        <v>Ուիլյամ Շեքսպիր.</v>
      </c>
    </row>
    <row r="6189">
      <c r="A6189" s="5" t="s">
        <v>8106</v>
      </c>
      <c r="B6189" s="5" t="s">
        <v>7916</v>
      </c>
      <c r="C6189" s="5" t="str">
        <f>IFERROR(__xludf.DUMMYFUNCTION("GOOGLETRANSLATE(A6189,""en"",""hy"")"),"Քանի՞ ոսկոր կա մարդու մարմնում:")</f>
        <v>Քանի՞ ոսկոր կա մարդու մարմնում:</v>
      </c>
      <c r="D6189" s="6" t="str">
        <f>IFERROR(__xludf.DUMMYFUNCTION("GOOGLETRANSLATE(B6189,""en"",""hy"")"),"Մարդու մարմնում կա 206 ոսկոր։")</f>
        <v>Մարդու մարմնում կա 206 ոսկոր։</v>
      </c>
    </row>
    <row r="6190">
      <c r="A6190" s="5" t="s">
        <v>7919</v>
      </c>
      <c r="B6190" s="5" t="s">
        <v>7556</v>
      </c>
      <c r="C6190" s="5" t="str">
        <f>IFERROR(__xludf.DUMMYFUNCTION("GOOGLETRANSLATE(A6190,""en"",""hy"")"),"Ո՞վ է հայտնաբերել հարաբերականության տեսությունը:")</f>
        <v>Ո՞վ է հայտնաբերել հարաբերականության տեսությունը:</v>
      </c>
      <c r="D6190" s="6" t="str">
        <f>IFERROR(__xludf.DUMMYFUNCTION("GOOGLETRANSLATE(B6190,""en"",""hy"")"),"Albert Einstein.")</f>
        <v>Albert Einstein.</v>
      </c>
    </row>
    <row r="6191">
      <c r="A6191" s="5" t="s">
        <v>7455</v>
      </c>
      <c r="B6191" s="5" t="s">
        <v>7646</v>
      </c>
      <c r="C6191" s="5" t="str">
        <f>IFERROR(__xludf.DUMMYFUNCTION("GOOGLETRANSLATE(A6191,""en"",""hy"")"),"Ո՞րն է աշխարհի ամենամեծ օվկիանոսը:")</f>
        <v>Ո՞րն է աշխարհի ամենամեծ օվկիանոսը:</v>
      </c>
      <c r="D6191" s="6" t="str">
        <f>IFERROR(__xludf.DUMMYFUNCTION("GOOGLETRANSLATE(B6191,""en"",""hy"")"),"Խաղաղ օվկիանոս.")</f>
        <v>Խաղաղ օվկիանոս.</v>
      </c>
    </row>
    <row r="6192">
      <c r="A6192" s="5" t="s">
        <v>7452</v>
      </c>
      <c r="B6192" s="5" t="s">
        <v>7453</v>
      </c>
      <c r="C6192" s="5" t="str">
        <f>IFERROR(__xludf.DUMMYFUNCTION("GOOGLETRANSLATE(A6192,""en"",""hy"")"),"Ո՞րն է ոսկու քիմիական նշանը:")</f>
        <v>Ո՞րն է ոսկու քիմիական նշանը:</v>
      </c>
      <c r="D6192" s="6" t="str">
        <f>IFERROR(__xludf.DUMMYFUNCTION("GOOGLETRANSLATE(B6192,""en"",""hy"")"),"Ոսկու քիմիական նշանը Au-ն է:")</f>
        <v>Ոսկու քիմիական նշանը Au-ն է:</v>
      </c>
    </row>
    <row r="6193">
      <c r="A6193" s="5" t="s">
        <v>7479</v>
      </c>
      <c r="B6193" s="5" t="s">
        <v>1996</v>
      </c>
      <c r="C6193" s="5" t="str">
        <f>IFERROR(__xludf.DUMMYFUNCTION("GOOGLETRANSLATE(A6193,""en"",""hy"")"),"Ո՞վ է Միացյալ Թագավորության ներկայիս վարչապետը:")</f>
        <v>Ո՞վ է Միացյալ Թագավորության ներկայիս վարչապետը:</v>
      </c>
      <c r="D6193" s="6" t="str">
        <f>IFERROR(__xludf.DUMMYFUNCTION("GOOGLETRANSLATE(B6193,""en"",""hy"")"),"Բորիս Ջոնսոն.")</f>
        <v>Բորիս Ջոնսոն.</v>
      </c>
    </row>
    <row r="6194">
      <c r="A6194" s="5" t="s">
        <v>7845</v>
      </c>
      <c r="B6194" s="5" t="s">
        <v>3533</v>
      </c>
      <c r="C6194" s="5" t="str">
        <f>IFERROR(__xludf.DUMMYFUNCTION("GOOGLETRANSLATE(A6194,""en"",""hy"")"),"Ո՞րն է Բրազիլիայի պաշտոնական լեզուն:")</f>
        <v>Ո՞րն է Բրազիլիայի պաշտոնական լեզուն:</v>
      </c>
      <c r="D6194" s="6" t="str">
        <f>IFERROR(__xludf.DUMMYFUNCTION("GOOGLETRANSLATE(B6194,""en"",""hy"")"),"Բրազիլիայի պաշտոնական լեզուն պորտուգալերենն է։")</f>
        <v>Բրազիլիայի պաշտոնական լեզուն պորտուգալերենն է։</v>
      </c>
    </row>
    <row r="6195">
      <c r="A6195" s="5" t="s">
        <v>7477</v>
      </c>
      <c r="B6195" s="5" t="s">
        <v>7784</v>
      </c>
      <c r="C6195" s="5" t="str">
        <f>IFERROR(__xludf.DUMMYFUNCTION("GOOGLETRANSLATE(A6195,""en"",""hy"")"),"Ո՞ր երկիրն է հայտնի որպես «Ծագող արևի երկիր»:")</f>
        <v>Ո՞ր երկիրն է հայտնի որպես «Ծագող արևի երկիր»:</v>
      </c>
      <c r="D6195" s="6" t="str">
        <f>IFERROR(__xludf.DUMMYFUNCTION("GOOGLETRANSLATE(B6195,""en"",""hy"")"),"Ճապոնիա")</f>
        <v>Ճապոնիա</v>
      </c>
    </row>
    <row r="6196">
      <c r="A6196" s="5" t="s">
        <v>7491</v>
      </c>
      <c r="B6196" s="5" t="s">
        <v>7648</v>
      </c>
      <c r="C6196" s="5" t="str">
        <f>IFERROR(__xludf.DUMMYFUNCTION("GOOGLETRANSLATE(A6196,""en"",""hy"")"),"Ո՞վ է նկարել Աստղային գիշերը:")</f>
        <v>Ո՞վ է նկարել Աստղային գիշերը:</v>
      </c>
      <c r="D6196" s="6" t="str">
        <f>IFERROR(__xludf.DUMMYFUNCTION("GOOGLETRANSLATE(B6196,""en"",""hy"")"),"Վինսենթ վան Գոգ.")</f>
        <v>Վինսենթ վան Գոգ.</v>
      </c>
    </row>
    <row r="6197">
      <c r="A6197" s="5" t="s">
        <v>9044</v>
      </c>
      <c r="B6197" s="5" t="s">
        <v>9045</v>
      </c>
      <c r="C6197" s="5" t="str">
        <f>IFERROR(__xludf.DUMMYFUNCTION("GOOGLETRANSLATE(A6197,""en"",""hy"")"),"Ո՞րն է Բուդդայի ծննդավայրը:")</f>
        <v>Ո՞րն է Բուդդայի ծննդավայրը:</v>
      </c>
      <c r="D6197" s="6" t="str">
        <f>IFERROR(__xludf.DUMMYFUNCTION("GOOGLETRANSLATE(B6197,""en"",""hy"")"),"Բուդդայի ծննդավայրը Լումբինին է, Նեպալ։")</f>
        <v>Բուդդայի ծննդավայրը Լումբինին է, Նեպալ։</v>
      </c>
    </row>
    <row r="6198">
      <c r="A6198" s="5" t="s">
        <v>8287</v>
      </c>
      <c r="B6198" s="5" t="s">
        <v>8288</v>
      </c>
      <c r="C6198" s="5" t="str">
        <f>IFERROR(__xludf.DUMMYFUNCTION("GOOGLETRANSLATE(A6198,""en"",""hy"")"),"Քանի՞ մայրցամաք կա:")</f>
        <v>Քանի՞ մայրցամաք կա:</v>
      </c>
      <c r="D6198" s="6" t="str">
        <f>IFERROR(__xludf.DUMMYFUNCTION("GOOGLETRANSLATE(B6198,""en"",""hy"")"),"Կան յոթ մայրցամաքներ.")</f>
        <v>Կան յոթ մայրցամաքներ.</v>
      </c>
    </row>
    <row r="6199">
      <c r="A6199" s="5" t="s">
        <v>9046</v>
      </c>
      <c r="B6199" s="5" t="s">
        <v>8038</v>
      </c>
      <c r="C6199" s="5" t="str">
        <f>IFERROR(__xludf.DUMMYFUNCTION("GOOGLETRANSLATE(A6199,""en"",""hy"")"),"Ո՞վ է հորինել «Օդ ուրախությանը» սիմֆոնիան:")</f>
        <v>Ո՞վ է հորինել «Օդ ուրախությանը» սիմֆոնիան:</v>
      </c>
      <c r="D6199" s="6" t="str">
        <f>IFERROR(__xludf.DUMMYFUNCTION("GOOGLETRANSLATE(B6199,""en"",""hy"")"),"Լյուդվիգ վան Բեթհովեն.")</f>
        <v>Լյուդվիգ վան Բեթհովեն.</v>
      </c>
    </row>
    <row r="6200">
      <c r="A6200" s="5" t="s">
        <v>8789</v>
      </c>
      <c r="B6200" s="5" t="s">
        <v>7673</v>
      </c>
      <c r="C6200" s="5" t="str">
        <f>IFERROR(__xludf.DUMMYFUNCTION("GOOGLETRANSLATE(A6200,""en"",""hy"")"),"Ո՞ր երկիրն է աշխարհում սուրճի ամենամեծ արտադրողը:")</f>
        <v>Ո՞ր երկիրն է աշխարհում սուրճի ամենամեծ արտադրողը:</v>
      </c>
      <c r="D6200" s="6" t="str">
        <f>IFERROR(__xludf.DUMMYFUNCTION("GOOGLETRANSLATE(B6200,""en"",""hy"")"),"Բրազիլիա.")</f>
        <v>Բրազիլիա.</v>
      </c>
    </row>
    <row r="6201">
      <c r="A6201" s="5" t="s">
        <v>7513</v>
      </c>
      <c r="B6201" s="5" t="s">
        <v>8337</v>
      </c>
      <c r="C6201" s="5" t="str">
        <f>IFERROR(__xludf.DUMMYFUNCTION("GOOGLETRANSLATE(A6201,""en"",""hy"")"),"Ո՞րն է աշխարհի ամենամեծ անապատը:")</f>
        <v>Ո՞րն է աշխարհի ամենամեծ անապատը:</v>
      </c>
      <c r="D6201" s="6" t="str">
        <f>IFERROR(__xludf.DUMMYFUNCTION("GOOGLETRANSLATE(B6201,""en"",""hy"")"),"Աշխարհի ամենամեծ անապատը Անտարկտիդայի անապատն է։")</f>
        <v>Աշխարհի ամենամեծ անապատը Անտարկտիդայի անապատն է։</v>
      </c>
    </row>
    <row r="6202">
      <c r="A6202" s="5" t="s">
        <v>7540</v>
      </c>
      <c r="B6202" s="5" t="s">
        <v>7541</v>
      </c>
      <c r="C6202" s="5" t="str">
        <f>IFERROR(__xludf.DUMMYFUNCTION("GOOGLETRANSLATE(A6202,""en"",""hy"")"),"Ո՞վ է գրել «Սպանել ծաղրող թռչունին» վեպը:")</f>
        <v>Ո՞վ է գրել «Սպանել ծաղրող թռչունին» վեպը:</v>
      </c>
      <c r="D6202" s="6" t="str">
        <f>IFERROR(__xludf.DUMMYFUNCTION("GOOGLETRANSLATE(B6202,""en"",""hy"")"),"Հարփեր Լի.")</f>
        <v>Հարփեր Լի.</v>
      </c>
    </row>
    <row r="6203">
      <c r="A6203" s="5" t="s">
        <v>7667</v>
      </c>
      <c r="B6203" s="5" t="s">
        <v>9047</v>
      </c>
      <c r="C6203" s="5" t="str">
        <f>IFERROR(__xludf.DUMMYFUNCTION("GOOGLETRANSLATE(A6203,""en"",""hy"")"),"Ո՞րն է Հարավային Աֆրիկայի մայրաքաղաքը:")</f>
        <v>Ո՞րն է Հարավային Աֆրիկայի մայրաքաղաքը:</v>
      </c>
      <c r="D6203" s="6" t="str">
        <f>IFERROR(__xludf.DUMMYFUNCTION("GOOGLETRANSLATE(B6203,""en"",""hy"")"),"Հարավային Աֆրիկայի մայրաքաղաքը Պրետորիան է։")</f>
        <v>Հարավային Աֆրիկայի մայրաքաղաքը Պրետորիան է։</v>
      </c>
    </row>
    <row r="6204">
      <c r="A6204" s="5" t="s">
        <v>9048</v>
      </c>
      <c r="B6204" s="5" t="s">
        <v>9049</v>
      </c>
      <c r="C6204" s="5" t="str">
        <f>IFERROR(__xludf.DUMMYFUNCTION("GOOGLETRANSLATE(A6204,""en"",""hy"")"),"Ո՞ր կենդանին է հայտնի որպես «Ջունգլիների արքա»:")</f>
        <v>Ո՞ր կենդանին է հայտնի որպես «Ջունգլիների արքա»:</v>
      </c>
      <c r="D6204" s="6" t="str">
        <f>IFERROR(__xludf.DUMMYFUNCTION("GOOGLETRANSLATE(B6204,""en"",""hy"")"),"Առյուծ.")</f>
        <v>Առյուծ.</v>
      </c>
    </row>
    <row r="6205">
      <c r="A6205" s="5" t="s">
        <v>7534</v>
      </c>
      <c r="B6205" s="5" t="s">
        <v>7835</v>
      </c>
      <c r="C6205" s="5" t="str">
        <f>IFERROR(__xludf.DUMMYFUNCTION("GOOGLETRANSLATE(A6205,""en"",""hy"")"),"Ո՞վ է հորինել հեռախոսը:")</f>
        <v>Ո՞վ է հորինել հեռախոսը:</v>
      </c>
      <c r="D6205" s="6" t="str">
        <f>IFERROR(__xludf.DUMMYFUNCTION("GOOGLETRANSLATE(B6205,""en"",""hy"")"),"Ալեքսանդր Գրեհեմ Բելը հորինել է հեռախոսը։")</f>
        <v>Ալեքսանդր Գրեհեմ Բելը հորինել է հեռախոսը։</v>
      </c>
    </row>
    <row r="6206">
      <c r="A6206" s="5" t="s">
        <v>7449</v>
      </c>
      <c r="B6206" s="5" t="s">
        <v>7343</v>
      </c>
      <c r="C6206" s="5" t="str">
        <f>IFERROR(__xludf.DUMMYFUNCTION("GOOGLETRANSLATE(A6206,""en"",""hy"")"),"Ո՞րն է աշխարհի ամենամեծ երկիրը ցամաքային տարածքով:")</f>
        <v>Ո՞րն է աշխարհի ամենամեծ երկիրը ցամաքային տարածքով:</v>
      </c>
      <c r="D6206" s="6" t="str">
        <f>IFERROR(__xludf.DUMMYFUNCTION("GOOGLETRANSLATE(B6206,""en"",""hy"")"),"Ռուսաստան.")</f>
        <v>Ռուսաստան.</v>
      </c>
    </row>
    <row r="6207">
      <c r="A6207" s="5" t="s">
        <v>7557</v>
      </c>
      <c r="B6207" s="5" t="s">
        <v>7857</v>
      </c>
      <c r="C6207" s="5" t="str">
        <f>IFERROR(__xludf.DUMMYFUNCTION("GOOGLETRANSLATE(A6207,""en"",""hy"")"),"Ո՞րն է երկաթի քիմիական նշանը:")</f>
        <v>Ո՞րն է երկաթի քիմիական նշանը:</v>
      </c>
      <c r="D6207" s="6" t="str">
        <f>IFERROR(__xludf.DUMMYFUNCTION("GOOGLETRANSLATE(B6207,""en"",""hy"")"),"Երկաթի քիմիական նշանը Fe է:")</f>
        <v>Երկաթի քիմիական նշանը Fe է:</v>
      </c>
    </row>
    <row r="6208">
      <c r="A6208" s="5" t="s">
        <v>9050</v>
      </c>
      <c r="B6208" s="5" t="s">
        <v>7486</v>
      </c>
      <c r="C6208" s="5" t="str">
        <f>IFERROR(__xludf.DUMMYFUNCTION("GOOGLETRANSLATE(A6208,""en"",""hy"")"),"Ո՞վ է գրել Հարի Փոթերի գրքերի շարքը:")</f>
        <v>Ո՞վ է գրել Հարի Փոթերի գրքերի շարքը:</v>
      </c>
      <c r="D6208" s="6" t="str">
        <f>IFERROR(__xludf.DUMMYFUNCTION("GOOGLETRANSLATE(B6208,""en"",""hy"")"),"Ջ.Կ. Ռոուլինգ.")</f>
        <v>Ջ.Կ. Ռոուլինգ.</v>
      </c>
    </row>
    <row r="6209">
      <c r="A6209" s="5" t="s">
        <v>8583</v>
      </c>
      <c r="B6209" s="5" t="s">
        <v>3535</v>
      </c>
      <c r="C6209" s="5" t="str">
        <f>IFERROR(__xludf.DUMMYFUNCTION("GOOGLETRANSLATE(A6209,""en"",""hy"")"),"Ո՞ր երկրում է գտնվում Մեծ արգելախութը:")</f>
        <v>Ո՞ր երկրում է գտնվում Մեծ արգելախութը:</v>
      </c>
      <c r="D6209" s="6" t="str">
        <f>IFERROR(__xludf.DUMMYFUNCTION("GOOGLETRANSLATE(B6209,""en"",""hy"")"),"Ավստրալիա.")</f>
        <v>Ավստրալիա.</v>
      </c>
    </row>
    <row r="6210">
      <c r="A6210" s="5" t="s">
        <v>7642</v>
      </c>
      <c r="B6210" s="5" t="s">
        <v>7643</v>
      </c>
      <c r="C6210" s="5" t="str">
        <f>IFERROR(__xludf.DUMMYFUNCTION("GOOGLETRANSLATE(A6210,""en"",""hy"")"),"Ո՞րն է Կանադայի մայրաքաղաքը:")</f>
        <v>Ո՞րն է Կանադայի մայրաքաղաքը:</v>
      </c>
      <c r="D6210" s="6" t="str">
        <f>IFERROR(__xludf.DUMMYFUNCTION("GOOGLETRANSLATE(B6210,""en"",""hy"")"),"Օտտավա")</f>
        <v>Օտտավա</v>
      </c>
    </row>
    <row r="6211">
      <c r="A6211" s="5" t="s">
        <v>9051</v>
      </c>
      <c r="B6211" s="5" t="s">
        <v>9052</v>
      </c>
      <c r="C6211" s="5" t="str">
        <f>IFERROR(__xludf.DUMMYFUNCTION("GOOGLETRANSLATE(A6211,""en"",""hy"")"),"Ո՞րն է Հնդկաստանում խոսվող հիմնական լեզուն:")</f>
        <v>Ո՞րն է Հնդկաստանում խոսվող հիմնական լեզուն:</v>
      </c>
      <c r="D6211" s="6" t="str">
        <f>IFERROR(__xludf.DUMMYFUNCTION("GOOGLETRANSLATE(B6211,""en"",""hy"")"),"Հնդկաստանում խոսվող հիմնական լեզուն հինդին է։")</f>
        <v>Հնդկաստանում խոսվող հիմնական լեզուն հինդին է։</v>
      </c>
    </row>
    <row r="6212">
      <c r="A6212" s="5" t="s">
        <v>7778</v>
      </c>
      <c r="B6212" s="5" t="s">
        <v>7474</v>
      </c>
      <c r="C6212" s="5" t="str">
        <f>IFERROR(__xludf.DUMMYFUNCTION("GOOGLETRANSLATE(A6212,""en"",""hy"")"),"Ո՞վ է նկարել Սիքստինյան կապելլայի առաստաղը:")</f>
        <v>Ո՞վ է նկարել Սիքստինյան կապելլայի առաստաղը:</v>
      </c>
      <c r="D6212" s="6" t="str">
        <f>IFERROR(__xludf.DUMMYFUNCTION("GOOGLETRANSLATE(B6212,""en"",""hy"")"),"Միքելանջելո.")</f>
        <v>Միքելանջելո.</v>
      </c>
    </row>
    <row r="6213">
      <c r="A6213" s="5" t="s">
        <v>7703</v>
      </c>
      <c r="B6213" s="5" t="s">
        <v>7545</v>
      </c>
      <c r="C6213" s="5" t="str">
        <f>IFERROR(__xludf.DUMMYFUNCTION("GOOGLETRANSLATE(A6213,""en"",""hy"")"),"Ո՞րն է Իտալիայի մայրաքաղաքը:")</f>
        <v>Ո՞րն է Իտալիայի մայրաքաղաքը:</v>
      </c>
      <c r="D6213" s="6" t="str">
        <f>IFERROR(__xludf.DUMMYFUNCTION("GOOGLETRANSLATE(B6213,""en"",""hy"")"),"Հռոմ.")</f>
        <v>Հռոմ.</v>
      </c>
    </row>
    <row r="6214">
      <c r="A6214" s="5" t="s">
        <v>7461</v>
      </c>
      <c r="B6214" s="5" t="s">
        <v>7639</v>
      </c>
      <c r="C6214" s="5" t="str">
        <f>IFERROR(__xludf.DUMMYFUNCTION("GOOGLETRANSLATE(A6214,""en"",""hy"")"),"Ո՞րն է մարդու մարմնի ամենամեծ օրգանը:")</f>
        <v>Ո՞րն է մարդու մարմնի ամենամեծ օրգանը:</v>
      </c>
      <c r="D6214" s="6" t="str">
        <f>IFERROR(__xludf.DUMMYFUNCTION("GOOGLETRANSLATE(B6214,""en"",""hy"")"),"Մարդու մարմնի ամենամեծ օրգանը մաշկն է։")</f>
        <v>Մարդու մարմնի ամենամեծ օրգանը մաշկն է։</v>
      </c>
    </row>
    <row r="6215">
      <c r="A6215" s="5" t="s">
        <v>7773</v>
      </c>
      <c r="B6215" s="5" t="s">
        <v>7774</v>
      </c>
      <c r="C6215" s="5" t="str">
        <f>IFERROR(__xludf.DUMMYFUNCTION("GOOGLETRANSLATE(A6215,""en"",""hy"")"),"Ո՞վ է հայտնաբերել պենիցիլինը:")</f>
        <v>Ո՞վ է հայտնաբերել պենիցիլինը:</v>
      </c>
      <c r="D6215" s="6" t="str">
        <f>IFERROR(__xludf.DUMMYFUNCTION("GOOGLETRANSLATE(B6215,""en"",""hy"")"),"Ալեքսանդր Ֆլեմինգը հայտնաբերել է պենիցիլին:")</f>
        <v>Ալեքսանդր Ֆլեմինգը հայտնաբերել է պենիցիլին:</v>
      </c>
    </row>
    <row r="6216">
      <c r="A6216" s="5" t="s">
        <v>7579</v>
      </c>
      <c r="B6216" s="5" t="s">
        <v>8035</v>
      </c>
      <c r="C6216" s="5" t="str">
        <f>IFERROR(__xludf.DUMMYFUNCTION("GOOGLETRANSLATE(A6216,""en"",""hy"")"),"Ո՞րն է Գերմանիայի արժույթը:")</f>
        <v>Ո՞րն է Գերմանիայի արժույթը:</v>
      </c>
      <c r="D6216" s="6" t="str">
        <f>IFERROR(__xludf.DUMMYFUNCTION("GOOGLETRANSLATE(B6216,""en"",""hy"")"),"եվրո.")</f>
        <v>եվրո.</v>
      </c>
    </row>
    <row r="6217">
      <c r="A6217" s="5" t="s">
        <v>7823</v>
      </c>
      <c r="B6217" s="5" t="s">
        <v>7824</v>
      </c>
      <c r="C6217" s="5" t="str">
        <f>IFERROR(__xludf.DUMMYFUNCTION("GOOGLETRANSLATE(A6217,""en"",""hy"")"),"Ո՞ր երկիրն է հայտնի որպես «կրակի և սառույցի երկիր»:")</f>
        <v>Ո՞ր երկիրն է հայտնի որպես «կրակի և սառույցի երկիր»:</v>
      </c>
      <c r="D6217" s="6" t="str">
        <f>IFERROR(__xludf.DUMMYFUNCTION("GOOGLETRANSLATE(B6217,""en"",""hy"")"),"Իսլանդիա.")</f>
        <v>Իսլանդիա.</v>
      </c>
    </row>
    <row r="6218">
      <c r="A6218" s="5" t="s">
        <v>7465</v>
      </c>
      <c r="B6218" s="5" t="s">
        <v>7630</v>
      </c>
      <c r="C6218" s="5" t="str">
        <f>IFERROR(__xludf.DUMMYFUNCTION("GOOGLETRANSLATE(A6218,""en"",""hy"")"),"Ո՞վ է գրել «Հպարտություն և նախապաշարմունք» վեպը:")</f>
        <v>Ո՞վ է գրել «Հպարտություն և նախապաշարմունք» վեպը:</v>
      </c>
      <c r="D6218" s="6" t="str">
        <f>IFERROR(__xludf.DUMMYFUNCTION("GOOGLETRANSLATE(B6218,""en"",""hy"")"),"Ջեյն Օսթին.")</f>
        <v>Ջեյն Օսթին.</v>
      </c>
    </row>
    <row r="6219">
      <c r="A6219" s="5" t="s">
        <v>9053</v>
      </c>
      <c r="B6219" s="5" t="s">
        <v>7646</v>
      </c>
      <c r="C6219" s="5" t="str">
        <f>IFERROR(__xludf.DUMMYFUNCTION("GOOGLETRANSLATE(A6219,""en"",""hy"")"),"Ո՞րն է աշխարհի ամենախոր օվկիանոսը:")</f>
        <v>Ո՞րն է աշխարհի ամենախոր օվկիանոսը:</v>
      </c>
      <c r="D6219" s="6" t="str">
        <f>IFERROR(__xludf.DUMMYFUNCTION("GOOGLETRANSLATE(B6219,""en"",""hy"")"),"Խաղաղ օվկիանոս.")</f>
        <v>Խաղաղ օվկիանոս.</v>
      </c>
    </row>
    <row r="6220">
      <c r="A6220" s="5" t="s">
        <v>8105</v>
      </c>
      <c r="B6220" s="5" t="s">
        <v>7635</v>
      </c>
      <c r="C6220" s="5" t="str">
        <f>IFERROR(__xludf.DUMMYFUNCTION("GOOGLETRANSLATE(A6220,""en"",""hy"")"),"Ո՞վ էր առաջին մարդը, ով քայլեց լուսնի վրա:")</f>
        <v>Ո՞վ էր առաջին մարդը, ով քայլեց լուսնի վրա:</v>
      </c>
      <c r="D6220" s="6" t="str">
        <f>IFERROR(__xludf.DUMMYFUNCTION("GOOGLETRANSLATE(B6220,""en"",""hy"")"),"Նիլ Արմսթրոնգ.")</f>
        <v>Նիլ Արմսթրոնգ.</v>
      </c>
    </row>
    <row r="6221">
      <c r="A6221" s="5" t="s">
        <v>7592</v>
      </c>
      <c r="B6221" s="5" t="s">
        <v>7593</v>
      </c>
      <c r="C6221" s="5" t="str">
        <f>IFERROR(__xludf.DUMMYFUNCTION("GOOGLETRANSLATE(A6221,""en"",""hy"")"),"Ո՞րն է թթվածնի քիմիական նշանը:")</f>
        <v>Ո՞րն է թթվածնի քիմիական նշանը:</v>
      </c>
      <c r="D6221" s="6" t="str">
        <f>IFERROR(__xludf.DUMMYFUNCTION("GOOGLETRANSLATE(B6221,""en"",""hy"")"),"Թթվածնի քիմիական նշանը O է:")</f>
        <v>Թթվածնի քիմիական նշանը O է:</v>
      </c>
    </row>
    <row r="6222">
      <c r="A6222" s="5" t="s">
        <v>7711</v>
      </c>
      <c r="B6222" s="5" t="s">
        <v>7712</v>
      </c>
      <c r="C6222" s="5" t="str">
        <f>IFERROR(__xludf.DUMMYFUNCTION("GOOGLETRANSLATE(A6222,""en"",""hy"")"),"Ո՞րն է Միացյալ Նահանգների ամենամեծ քաղաքը:")</f>
        <v>Ո՞րն է Միացյալ Նահանգների ամենամեծ քաղաքը:</v>
      </c>
      <c r="D6222" s="6" t="str">
        <f>IFERROR(__xludf.DUMMYFUNCTION("GOOGLETRANSLATE(B6222,""en"",""hy"")"),"Նյու Յորք քաղաք.")</f>
        <v>Նյու Յորք քաղաք.</v>
      </c>
    </row>
    <row r="6223">
      <c r="A6223" s="5" t="s">
        <v>7517</v>
      </c>
      <c r="B6223" s="5" t="s">
        <v>7448</v>
      </c>
      <c r="C6223" s="5" t="str">
        <f>IFERROR(__xludf.DUMMYFUNCTION("GOOGLETRANSLATE(A6223,""en"",""hy"")"),"Ո՞վ է նկարել Վերջին ընթրիքը:")</f>
        <v>Ո՞վ է նկարել Վերջին ընթրիքը:</v>
      </c>
      <c r="D6223" s="6" t="str">
        <f>IFERROR(__xludf.DUMMYFUNCTION("GOOGLETRANSLATE(B6223,""en"",""hy"")"),"Լեոնարդո դա Վինչի.")</f>
        <v>Լեոնարդո դա Վինչի.</v>
      </c>
    </row>
    <row r="6224">
      <c r="A6224" s="5" t="s">
        <v>7791</v>
      </c>
      <c r="B6224" s="5" t="s">
        <v>8128</v>
      </c>
      <c r="C6224" s="5" t="str">
        <f>IFERROR(__xludf.DUMMYFUNCTION("GOOGLETRANSLATE(A6224,""en"",""hy"")"),"Ո՞րն է Ավստրալիայի ազգային կենդանին:")</f>
        <v>Ո՞րն է Ավստրալիայի ազգային կենդանին:</v>
      </c>
      <c r="D6224" s="6" t="str">
        <f>IFERROR(__xludf.DUMMYFUNCTION("GOOGLETRANSLATE(B6224,""en"",""hy"")"),"Կենգուրու.")</f>
        <v>Կենգուրու.</v>
      </c>
    </row>
    <row r="6225">
      <c r="A6225" s="5" t="s">
        <v>7477</v>
      </c>
      <c r="B6225" s="5" t="s">
        <v>7478</v>
      </c>
      <c r="C6225" s="5" t="str">
        <f>IFERROR(__xludf.DUMMYFUNCTION("GOOGLETRANSLATE(A6225,""en"",""hy"")"),"Ո՞ր երկիրն է հայտնի որպես «Ծագող արևի երկիր»:")</f>
        <v>Ո՞ր երկիրն է հայտնի որպես «Ծագող արևի երկիր»:</v>
      </c>
      <c r="D6225" s="6" t="str">
        <f>IFERROR(__xludf.DUMMYFUNCTION("GOOGLETRANSLATE(B6225,""en"",""hy"")"),"Ճապոնիա.")</f>
        <v>Ճապոնիա.</v>
      </c>
    </row>
    <row r="6226">
      <c r="A6226" s="5" t="s">
        <v>7508</v>
      </c>
      <c r="B6226" s="5" t="s">
        <v>7444</v>
      </c>
      <c r="C6226" s="5" t="str">
        <f>IFERROR(__xludf.DUMMYFUNCTION("GOOGLETRANSLATE(A6226,""en"",""hy"")"),"Ո՞վ է գրել վեպը 1984 թ.")</f>
        <v>Ո՞վ է գրել վեպը 1984 թ.</v>
      </c>
      <c r="D6226" s="6" t="str">
        <f>IFERROR(__xludf.DUMMYFUNCTION("GOOGLETRANSLATE(B6226,""en"",""hy"")"),"Ջորջ Օրուել.")</f>
        <v>Ջորջ Օրուել.</v>
      </c>
    </row>
    <row r="6227">
      <c r="A6227" s="5" t="s">
        <v>7627</v>
      </c>
      <c r="B6227" s="5" t="s">
        <v>7501</v>
      </c>
      <c r="C6227" s="5" t="str">
        <f>IFERROR(__xludf.DUMMYFUNCTION("GOOGLETRANSLATE(A6227,""en"",""hy"")"),"Ո՞րն է Ֆրանսիայի մայրաքաղաքը:")</f>
        <v>Ո՞րն է Ֆրանսիայի մայրաքաղաքը:</v>
      </c>
      <c r="D6227" s="6" t="str">
        <f>IFERROR(__xludf.DUMMYFUNCTION("GOOGLETRANSLATE(B6227,""en"",""hy"")"),"Փարիզ.")</f>
        <v>Փարիզ.</v>
      </c>
    </row>
    <row r="6228">
      <c r="A6228" s="5" t="s">
        <v>8743</v>
      </c>
      <c r="B6228" s="5" t="s">
        <v>7783</v>
      </c>
      <c r="C6228" s="5" t="str">
        <f>IFERROR(__xludf.DUMMYFUNCTION("GOOGLETRANSLATE(A6228,""en"",""hy"")"),"Ո՞րն է աշխարհի ամենամեծ տաք անապատը:")</f>
        <v>Ո՞րն է աշխարհի ամենամեծ տաք անապատը:</v>
      </c>
      <c r="D6228" s="6" t="str">
        <f>IFERROR(__xludf.DUMMYFUNCTION("GOOGLETRANSLATE(B6228,""en"",""hy"")"),"Սահարա անապատ.")</f>
        <v>Սահարա անապատ.</v>
      </c>
    </row>
    <row r="6229">
      <c r="A6229" s="5" t="s">
        <v>9054</v>
      </c>
      <c r="B6229" s="5" t="s">
        <v>7573</v>
      </c>
      <c r="C6229" s="5" t="str">
        <f>IFERROR(__xludf.DUMMYFUNCTION("GOOGLETRANSLATE(A6229,""en"",""hy"")"),"Ո՞վ է հորինել լույսի լամպը:")</f>
        <v>Ո՞վ է հորինել լույսի լամպը:</v>
      </c>
      <c r="D6229" s="6" t="str">
        <f>IFERROR(__xludf.DUMMYFUNCTION("GOOGLETRANSLATE(B6229,""en"",""hy"")"),"Թոմաս Էդիսոն.")</f>
        <v>Թոմաս Էդիսոն.</v>
      </c>
    </row>
    <row r="6230">
      <c r="A6230" s="5" t="s">
        <v>7561</v>
      </c>
      <c r="B6230" s="5" t="s">
        <v>7669</v>
      </c>
      <c r="C6230" s="5" t="str">
        <f>IFERROR(__xludf.DUMMYFUNCTION("GOOGLETRANSLATE(A6230,""en"",""hy"")"),"Ո՞րն է Մեքսիկայի արժույթը:")</f>
        <v>Ո՞րն է Մեքսիկայի արժույթը:</v>
      </c>
      <c r="D6230" s="6" t="str">
        <f>IFERROR(__xludf.DUMMYFUNCTION("GOOGLETRANSLATE(B6230,""en"",""hy"")"),"Մեքսիկայի արժույթը մեքսիկական պեսոն է։")</f>
        <v>Մեքսիկայի արժույթը մեքսիկական պեսոն է։</v>
      </c>
    </row>
    <row r="6231">
      <c r="A6231" s="5" t="s">
        <v>7772</v>
      </c>
      <c r="B6231" s="5" t="s">
        <v>7181</v>
      </c>
      <c r="C6231" s="5" t="str">
        <f>IFERROR(__xludf.DUMMYFUNCTION("GOOGLETRANSLATE(A6231,""en"",""hy"")"),"Ո՞ր երկիրն է հայտնի որպես «Land Down Under»:")</f>
        <v>Ո՞ր երկիրն է հայտնի որպես «Land Down Under»:</v>
      </c>
      <c r="D6231" s="6" t="str">
        <f>IFERROR(__xludf.DUMMYFUNCTION("GOOGLETRANSLATE(B6231,""en"",""hy"")"),"Ավստրալիա")</f>
        <v>Ավստրալիա</v>
      </c>
    </row>
    <row r="6232">
      <c r="A6232" s="5" t="s">
        <v>7548</v>
      </c>
      <c r="B6232" s="5" t="s">
        <v>7549</v>
      </c>
      <c r="C6232" s="5" t="str">
        <f>IFERROR(__xludf.DUMMYFUNCTION("GOOGLETRANSLATE(A6232,""en"",""hy"")"),"Ո՞վ է նկարել մարգարիտ ականջօղով աղջկան:")</f>
        <v>Ո՞վ է նկարել մարգարիտ ականջօղով աղջկան:</v>
      </c>
      <c r="D6232" s="6" t="str">
        <f>IFERROR(__xludf.DUMMYFUNCTION("GOOGLETRANSLATE(B6232,""en"",""hy"")"),"Յոհաննես Վերմեեր.")</f>
        <v>Յոհաննես Վերմեեր.</v>
      </c>
    </row>
    <row r="6233">
      <c r="A6233" s="5" t="s">
        <v>8172</v>
      </c>
      <c r="B6233" s="5" t="s">
        <v>7733</v>
      </c>
      <c r="C6233" s="5" t="str">
        <f>IFERROR(__xludf.DUMMYFUNCTION("GOOGLETRANSLATE(A6233,""en"",""hy"")"),"Ո՞րն է աշխարհի ամենաբարձր ջրվեժը:")</f>
        <v>Ո՞րն է աշխարհի ամենաբարձր ջրվեժը:</v>
      </c>
      <c r="D6233" s="6" t="str">
        <f>IFERROR(__xludf.DUMMYFUNCTION("GOOGLETRANSLATE(B6233,""en"",""hy"")"),"Angel Falls.")</f>
        <v>Angel Falls.</v>
      </c>
    </row>
    <row r="6234">
      <c r="A6234" s="5" t="s">
        <v>7665</v>
      </c>
      <c r="B6234" s="5" t="s">
        <v>7781</v>
      </c>
      <c r="C6234" s="5" t="str">
        <f>IFERROR(__xludf.DUMMYFUNCTION("GOOGLETRANSLATE(A6234,""en"",""hy"")"),"Ո՞րն է նատրիումի քիմիական նշանը:")</f>
        <v>Ո՞րն է նատրիումի քիմիական նշանը:</v>
      </c>
      <c r="D6234" s="6" t="str">
        <f>IFERROR(__xludf.DUMMYFUNCTION("GOOGLETRANSLATE(B6234,""en"",""hy"")"),"Նատրիումի քիմիական նշանը Na է:")</f>
        <v>Նատրիումի քիմիական նշանը Na է:</v>
      </c>
    </row>
    <row r="6235">
      <c r="A6235" s="5" t="s">
        <v>9055</v>
      </c>
      <c r="B6235" s="5" t="s">
        <v>8038</v>
      </c>
      <c r="C6235" s="5" t="str">
        <f>IFERROR(__xludf.DUMMYFUNCTION("GOOGLETRANSLATE(A6235,""en"",""hy"")"),"Ո՞վ է հեղինակել «Սիմֆոնիա թիվ 5» կոչվող սիմֆոնիան։")</f>
        <v>Ո՞վ է հեղինակել «Սիմֆոնիա թիվ 5» կոչվող սիմֆոնիան։</v>
      </c>
      <c r="D6235" s="6" t="str">
        <f>IFERROR(__xludf.DUMMYFUNCTION("GOOGLETRANSLATE(B6235,""en"",""hy"")"),"Լյուդվիգ վան Բեթհովեն.")</f>
        <v>Լյուդվիգ վան Բեթհովեն.</v>
      </c>
    </row>
    <row r="6236">
      <c r="A6236" s="5" t="s">
        <v>7729</v>
      </c>
      <c r="B6236" s="5" t="s">
        <v>7525</v>
      </c>
      <c r="C6236" s="5" t="str">
        <f>IFERROR(__xludf.DUMMYFUNCTION("GOOGLETRANSLATE(A6236,""en"",""hy"")"),"Ո՞րն է Չինաստանի մայրաքաղաքը:")</f>
        <v>Ո՞րն է Չինաստանի մայրաքաղաքը:</v>
      </c>
      <c r="D6236" s="6" t="str">
        <f>IFERROR(__xludf.DUMMYFUNCTION("GOOGLETRANSLATE(B6236,""en"",""hy"")"),"Պեկին.")</f>
        <v>Պեկին.</v>
      </c>
    </row>
    <row r="6237">
      <c r="A6237" s="5" t="s">
        <v>8751</v>
      </c>
      <c r="B6237" s="5" t="s">
        <v>8109</v>
      </c>
      <c r="C6237" s="5" t="str">
        <f>IFERROR(__xludf.DUMMYFUNCTION("GOOGLETRANSLATE(A6237,""en"",""hy"")"),"Ո՞ր կենդանին է հայտնի իր երկար պարանոցով:")</f>
        <v>Ո՞ր կենդանին է հայտնի իր երկար պարանոցով:</v>
      </c>
      <c r="D6237" s="6" t="str">
        <f>IFERROR(__xludf.DUMMYFUNCTION("GOOGLETRANSLATE(B6237,""en"",""hy"")"),"Ընձուղտ.")</f>
        <v>Ընձուղտ.</v>
      </c>
    </row>
    <row r="6238">
      <c r="A6238" s="5" t="s">
        <v>7594</v>
      </c>
      <c r="B6238" s="5" t="s">
        <v>8107</v>
      </c>
      <c r="C6238" s="5" t="str">
        <f>IFERROR(__xludf.DUMMYFUNCTION("GOOGLETRANSLATE(A6238,""en"",""hy"")"),"Ո՞վ է գրել «Մակբեթ» պիեսը:")</f>
        <v>Ո՞վ է գրել «Մակբեթ» պիեսը:</v>
      </c>
      <c r="D6238" s="6" t="str">
        <f>IFERROR(__xludf.DUMMYFUNCTION("GOOGLETRANSLATE(B6238,""en"",""hy"")"),"Ուիլյամ Շեքսպիր")</f>
        <v>Ուիլյամ Շեքսպիր</v>
      </c>
    </row>
    <row r="6239">
      <c r="A6239" s="5" t="s">
        <v>7662</v>
      </c>
      <c r="B6239" s="5" t="s">
        <v>7663</v>
      </c>
      <c r="C6239" s="5" t="str">
        <f>IFERROR(__xludf.DUMMYFUNCTION("GOOGLETRANSLATE(A6239,""en"",""hy"")"),"Ո՞րն է Հնդկաստանի արժույթը:")</f>
        <v>Ո՞րն է Հնդկաստանի արժույթը:</v>
      </c>
      <c r="D6239" s="6" t="str">
        <f>IFERROR(__xludf.DUMMYFUNCTION("GOOGLETRANSLATE(B6239,""en"",""hy"")"),"Հնդկաստանի արժույթը հնդկական ռուփին է։")</f>
        <v>Հնդկաստանի արժույթը հնդկական ռուփին է։</v>
      </c>
    </row>
    <row r="6240">
      <c r="A6240" s="5" t="s">
        <v>7691</v>
      </c>
      <c r="B6240" s="5" t="s">
        <v>7692</v>
      </c>
      <c r="C6240" s="5" t="str">
        <f>IFERROR(__xludf.DUMMYFUNCTION("GOOGLETRANSLATE(A6240,""en"",""hy"")"),"Ո՞րն է Աֆրիկայի ամենամեծ լիճը:")</f>
        <v>Ո՞րն է Աֆրիկայի ամենամեծ լիճը:</v>
      </c>
      <c r="D6240" s="6" t="str">
        <f>IFERROR(__xludf.DUMMYFUNCTION("GOOGLETRANSLATE(B6240,""en"",""hy"")"),"Վիկտորիա լիճ.")</f>
        <v>Վիկտորիա լիճ.</v>
      </c>
    </row>
    <row r="6241">
      <c r="A6241" s="5" t="s">
        <v>7612</v>
      </c>
      <c r="B6241" s="5" t="s">
        <v>7661</v>
      </c>
      <c r="C6241" s="5" t="str">
        <f>IFERROR(__xludf.DUMMYFUNCTION("GOOGLETRANSLATE(A6241,""en"",""hy"")"),"Ո՞վ է գրել «Մեծն Գեթսբի» վեպը:")</f>
        <v>Ո՞վ է գրել «Մեծն Գեթսբի» վեպը:</v>
      </c>
      <c r="D6241" s="6" t="str">
        <f>IFERROR(__xludf.DUMMYFUNCTION("GOOGLETRANSLATE(B6241,""en"",""hy"")"),"F. Scott Fitzgerald.")</f>
        <v>F. Scott Fitzgerald.</v>
      </c>
    </row>
    <row r="6242">
      <c r="A6242" s="5" t="s">
        <v>8127</v>
      </c>
      <c r="B6242" s="5" t="s">
        <v>2930</v>
      </c>
      <c r="C6242" s="5" t="str">
        <f>IFERROR(__xludf.DUMMYFUNCTION("GOOGLETRANSLATE(A6242,""en"",""hy"")"),"Ո՞րն է Ռուսաստանի պաշտոնական լեզուն:")</f>
        <v>Ո՞րն է Ռուսաստանի պաշտոնական լեզուն:</v>
      </c>
      <c r="D6242" s="6" t="str">
        <f>IFERROR(__xludf.DUMMYFUNCTION("GOOGLETRANSLATE(B6242,""en"",""hy"")"),"ռուսերեն.")</f>
        <v>ռուսերեն.</v>
      </c>
    </row>
    <row r="6243">
      <c r="A6243" s="5" t="s">
        <v>7809</v>
      </c>
      <c r="B6243" s="5" t="s">
        <v>7810</v>
      </c>
      <c r="C6243" s="5" t="str">
        <f>IFERROR(__xludf.DUMMYFUNCTION("GOOGLETRANSLATE(A6243,""en"",""hy"")"),"Ո՞րն է հելիումի քիմիական նշանը:")</f>
        <v>Ո՞րն է հելիումի քիմիական նշանը:</v>
      </c>
      <c r="D6243" s="6" t="str">
        <f>IFERROR(__xludf.DUMMYFUNCTION("GOOGLETRANSLATE(B6243,""en"",""hy"")"),"Նա")</f>
        <v>Նա</v>
      </c>
    </row>
    <row r="6244">
      <c r="A6244" s="5" t="s">
        <v>8197</v>
      </c>
      <c r="B6244" s="5" t="s">
        <v>7710</v>
      </c>
      <c r="C6244" s="5" t="str">
        <f>IFERROR(__xludf.DUMMYFUNCTION("GOOGLETRANSLATE(A6244,""en"",""hy"")"),"Ո՞վ է նկարել Գերնիկան:")</f>
        <v>Ո՞վ է նկարել Գերնիկան:</v>
      </c>
      <c r="D6244" s="6" t="str">
        <f>IFERROR(__xludf.DUMMYFUNCTION("GOOGLETRANSLATE(B6244,""en"",""hy"")"),"Պաբլո Պիկասո.")</f>
        <v>Պաբլո Պիկասո.</v>
      </c>
    </row>
    <row r="6245">
      <c r="A6245" s="5" t="s">
        <v>7659</v>
      </c>
      <c r="B6245" s="5" t="s">
        <v>7516</v>
      </c>
      <c r="C6245" s="5" t="str">
        <f>IFERROR(__xludf.DUMMYFUNCTION("GOOGLETRANSLATE(A6245,""en"",""hy"")"),"Ո՞րն է Բրազիլիայի մայրաքաղաքը:")</f>
        <v>Ո՞րն է Բրազիլիայի մայրաքաղաքը:</v>
      </c>
      <c r="D6245" s="6" t="str">
        <f>IFERROR(__xludf.DUMMYFUNCTION("GOOGLETRANSLATE(B6245,""en"",""hy"")"),"Բրազիլիա.")</f>
        <v>Բրազիլիա.</v>
      </c>
    </row>
    <row r="6246">
      <c r="A6246" s="5" t="s">
        <v>7506</v>
      </c>
      <c r="B6246" s="5" t="s">
        <v>7507</v>
      </c>
      <c r="C6246" s="5" t="str">
        <f>IFERROR(__xludf.DUMMYFUNCTION("GOOGLETRANSLATE(A6246,""en"",""hy"")"),"Ո՞րն է աշխարհի ամենափոքր երկիրը:")</f>
        <v>Ո՞րն է աշխարհի ամենափոքր երկիրը:</v>
      </c>
      <c r="D6246" s="6" t="str">
        <f>IFERROR(__xludf.DUMMYFUNCTION("GOOGLETRANSLATE(B6246,""en"",""hy"")"),"Քաղաք Վատիկան.")</f>
        <v>Քաղաք Վատիկան.</v>
      </c>
    </row>
    <row r="6247">
      <c r="A6247" s="5" t="s">
        <v>7955</v>
      </c>
      <c r="B6247" s="5" t="s">
        <v>9056</v>
      </c>
      <c r="C6247" s="5" t="str">
        <f>IFERROR(__xludf.DUMMYFUNCTION("GOOGLETRANSLATE(A6247,""en"",""hy"")"),"Ո՞վ է հայտնաբերել գրավիտացիան:")</f>
        <v>Ո՞վ է հայտնաբերել գրավիտացիան:</v>
      </c>
      <c r="D6247" s="6" t="str">
        <f>IFERROR(__xludf.DUMMYFUNCTION("GOOGLETRANSLATE(B6247,""en"",""hy"")"),"Սըր Իսահակ Նյուտոն")</f>
        <v>Սըր Իսահակ Նյուտոն</v>
      </c>
    </row>
    <row r="6248">
      <c r="A6248" s="5" t="s">
        <v>7467</v>
      </c>
      <c r="B6248" s="5" t="s">
        <v>8790</v>
      </c>
      <c r="C6248" s="5" t="str">
        <f>IFERROR(__xludf.DUMMYFUNCTION("GOOGLETRANSLATE(A6248,""en"",""hy"")"),"Ո՞րն է Ճապոնիայի արժույթը:")</f>
        <v>Ո՞րն է Ճապոնիայի արժույթը:</v>
      </c>
      <c r="D6248" s="6" t="str">
        <f>IFERROR(__xludf.DUMMYFUNCTION("GOOGLETRANSLATE(B6248,""en"",""hy"")"),"Ճապոնիայի արժույթը իենն է։")</f>
        <v>Ճապոնիայի արժույթը իենն է։</v>
      </c>
    </row>
    <row r="6249">
      <c r="A6249" s="5" t="s">
        <v>7477</v>
      </c>
      <c r="B6249" s="5" t="s">
        <v>7478</v>
      </c>
      <c r="C6249" s="5" t="str">
        <f>IFERROR(__xludf.DUMMYFUNCTION("GOOGLETRANSLATE(A6249,""en"",""hy"")"),"Ո՞ր երկիրն է հայտնի որպես «Ծագող արևի երկիր»:")</f>
        <v>Ո՞ր երկիրն է հայտնի որպես «Ծագող արևի երկիր»:</v>
      </c>
      <c r="D6249" s="6" t="str">
        <f>IFERROR(__xludf.DUMMYFUNCTION("GOOGLETRANSLATE(B6249,""en"",""hy"")"),"Ճապոնիա.")</f>
        <v>Ճապոնիա.</v>
      </c>
    </row>
    <row r="6250">
      <c r="A6250" s="5" t="s">
        <v>8553</v>
      </c>
      <c r="B6250" s="5" t="s">
        <v>8485</v>
      </c>
      <c r="C6250" s="5" t="str">
        <f>IFERROR(__xludf.DUMMYFUNCTION("GOOGLETRANSLATE(A6250,""en"",""hy"")"),"Ո՞վ է գրել «Պատերազմ և խաղաղություն» վեպը:")</f>
        <v>Ո՞վ է գրել «Պատերազմ և խաղաղություն» վեպը:</v>
      </c>
      <c r="D6250" s="6" t="str">
        <f>IFERROR(__xludf.DUMMYFUNCTION("GOOGLETRANSLATE(B6250,""en"",""hy"")"),"Լև Տոլստոյ.")</f>
        <v>Լև Տոլստոյ.</v>
      </c>
    </row>
    <row r="6251">
      <c r="A6251" s="5" t="s">
        <v>7526</v>
      </c>
      <c r="B6251" s="5" t="s">
        <v>7527</v>
      </c>
      <c r="C6251" s="5" t="str">
        <f>IFERROR(__xludf.DUMMYFUNCTION("GOOGLETRANSLATE(A6251,""en"",""hy"")"),"Ո՞րն է աշխարհի ամենամեծ կղզին:")</f>
        <v>Ո՞րն է աշխարհի ամենամեծ կղզին:</v>
      </c>
      <c r="D6251" s="6" t="str">
        <f>IFERROR(__xludf.DUMMYFUNCTION("GOOGLETRANSLATE(B6251,""en"",""hy"")"),"Գրենլանդիա.")</f>
        <v>Գրենլանդիա.</v>
      </c>
    </row>
    <row r="6252">
      <c r="A6252" s="5" t="s">
        <v>7699</v>
      </c>
      <c r="B6252" s="5" t="s">
        <v>7700</v>
      </c>
      <c r="C6252" s="5" t="str">
        <f>IFERROR(__xludf.DUMMYFUNCTION("GOOGLETRANSLATE(A6252,""en"",""hy"")"),"Ո՞րն է ածխածնի քիմիական նշանը:")</f>
        <v>Ո՞րն է ածխածնի քիմիական նշանը:</v>
      </c>
      <c r="D6252" s="6" t="str">
        <f>IFERROR(__xludf.DUMMYFUNCTION("GOOGLETRANSLATE(B6252,""en"",""hy"")"),"Ածխածնի քիմիական նշանը C է:")</f>
        <v>Ածխածնի քիմիական նշանը C է:</v>
      </c>
    </row>
    <row r="6253">
      <c r="A6253" s="5" t="s">
        <v>9057</v>
      </c>
      <c r="B6253" s="5" t="s">
        <v>7474</v>
      </c>
      <c r="C6253" s="5" t="str">
        <f>IFERROR(__xludf.DUMMYFUNCTION("GOOGLETRANSLATE(A6253,""en"",""hy"")"),"Ո՞վ է նկարել Ադամի արարումը:")</f>
        <v>Ո՞վ է նկարել Ադամի արարումը:</v>
      </c>
      <c r="D6253" s="6" t="str">
        <f>IFERROR(__xludf.DUMMYFUNCTION("GOOGLETRANSLATE(B6253,""en"",""hy"")"),"Միքելանջելո.")</f>
        <v>Միքելանջելո.</v>
      </c>
    </row>
    <row r="6254">
      <c r="A6254" s="5" t="s">
        <v>7653</v>
      </c>
      <c r="B6254" s="5" t="s">
        <v>1307</v>
      </c>
      <c r="C6254" s="5" t="str">
        <f>IFERROR(__xludf.DUMMYFUNCTION("GOOGLETRANSLATE(A6254,""en"",""hy"")"),"Ո՞րն է Իսպանիայի մայրաքաղաքը:")</f>
        <v>Ո՞րն է Իսպանիայի մայրաքաղաքը:</v>
      </c>
      <c r="D6254" s="6" t="str">
        <f>IFERROR(__xludf.DUMMYFUNCTION("GOOGLETRANSLATE(B6254,""en"",""hy"")"),"Մադրիդ.")</f>
        <v>Մադրիդ.</v>
      </c>
    </row>
    <row r="6255">
      <c r="A6255" s="5" t="s">
        <v>9048</v>
      </c>
      <c r="B6255" s="5" t="s">
        <v>7936</v>
      </c>
      <c r="C6255" s="5" t="str">
        <f>IFERROR(__xludf.DUMMYFUNCTION("GOOGLETRANSLATE(A6255,""en"",""hy"")"),"Ո՞ր կենդանին է հայտնի որպես «Ջունգլիների արքա»:")</f>
        <v>Ո՞ր կենդանին է հայտնի որպես «Ջունգլիների արքա»:</v>
      </c>
      <c r="D6255" s="6" t="str">
        <f>IFERROR(__xludf.DUMMYFUNCTION("GOOGLETRANSLATE(B6255,""en"",""hy"")"),"Առյուծը.")</f>
        <v>Առյուծը.</v>
      </c>
    </row>
    <row r="6256">
      <c r="A6256" s="5" t="s">
        <v>9054</v>
      </c>
      <c r="B6256" s="5" t="s">
        <v>7573</v>
      </c>
      <c r="C6256" s="5" t="str">
        <f>IFERROR(__xludf.DUMMYFUNCTION("GOOGLETRANSLATE(A6256,""en"",""hy"")"),"Ո՞վ է հորինել լույսի լամպը:")</f>
        <v>Ո՞վ է հորինել լույսի լամպը:</v>
      </c>
      <c r="D6256" s="6" t="str">
        <f>IFERROR(__xludf.DUMMYFUNCTION("GOOGLETRANSLATE(B6256,""en"",""hy"")"),"Թոմաս Էդիսոն.")</f>
        <v>Թոմաս Էդիսոն.</v>
      </c>
    </row>
    <row r="6257">
      <c r="A6257" s="5" t="s">
        <v>7579</v>
      </c>
      <c r="B6257" s="5" t="s">
        <v>7580</v>
      </c>
      <c r="C6257" s="5" t="str">
        <f>IFERROR(__xludf.DUMMYFUNCTION("GOOGLETRANSLATE(A6257,""en"",""hy"")"),"Ո՞րն է Գերմանիայի արժույթը:")</f>
        <v>Ո՞րն է Գերմանիայի արժույթը:</v>
      </c>
      <c r="D6257" s="6" t="str">
        <f>IFERROR(__xludf.DUMMYFUNCTION("GOOGLETRANSLATE(B6257,""en"",""hy"")"),"Գերմանիայի արժույթը եվրոն է։")</f>
        <v>Գերմանիայի արժույթը եվրոն է։</v>
      </c>
    </row>
    <row r="6258">
      <c r="A6258" s="5" t="s">
        <v>7823</v>
      </c>
      <c r="B6258" s="5" t="s">
        <v>7824</v>
      </c>
      <c r="C6258" s="5" t="str">
        <f>IFERROR(__xludf.DUMMYFUNCTION("GOOGLETRANSLATE(A6258,""en"",""hy"")"),"Ո՞ր երկիրն է հայտնի որպես «կրակի և սառույցի երկիր»:")</f>
        <v>Ո՞ր երկիրն է հայտնի որպես «կրակի և սառույցի երկիր»:</v>
      </c>
      <c r="D6258" s="6" t="str">
        <f>IFERROR(__xludf.DUMMYFUNCTION("GOOGLETRANSLATE(B6258,""en"",""hy"")"),"Իսլանդիա.")</f>
        <v>Իսլանդիա.</v>
      </c>
    </row>
    <row r="6259">
      <c r="A6259" s="5" t="s">
        <v>7465</v>
      </c>
      <c r="B6259" s="5" t="s">
        <v>7630</v>
      </c>
      <c r="C6259" s="5" t="str">
        <f>IFERROR(__xludf.DUMMYFUNCTION("GOOGLETRANSLATE(A6259,""en"",""hy"")"),"Ո՞վ է գրել «Հպարտություն և նախապաշարմունք» վեպը:")</f>
        <v>Ո՞վ է գրել «Հպարտություն և նախապաշարմունք» վեպը:</v>
      </c>
      <c r="D6259" s="6" t="str">
        <f>IFERROR(__xludf.DUMMYFUNCTION("GOOGLETRANSLATE(B6259,""en"",""hy"")"),"Ջեյն Օսթին.")</f>
        <v>Ջեյն Օսթին.</v>
      </c>
    </row>
    <row r="6260">
      <c r="A6260" s="5" t="s">
        <v>9053</v>
      </c>
      <c r="B6260" s="5" t="s">
        <v>7646</v>
      </c>
      <c r="C6260" s="5" t="str">
        <f>IFERROR(__xludf.DUMMYFUNCTION("GOOGLETRANSLATE(A6260,""en"",""hy"")"),"Ո՞րն է աշխարհի ամենախոր օվկիանոսը:")</f>
        <v>Ո՞րն է աշխարհի ամենախոր օվկիանոսը:</v>
      </c>
      <c r="D6260" s="6" t="str">
        <f>IFERROR(__xludf.DUMMYFUNCTION("GOOGLETRANSLATE(B6260,""en"",""hy"")"),"Խաղաղ օվկիանոս.")</f>
        <v>Խաղաղ օվկիանոս.</v>
      </c>
    </row>
    <row r="6261">
      <c r="A6261" s="5" t="s">
        <v>7449</v>
      </c>
      <c r="B6261" s="5" t="s">
        <v>8141</v>
      </c>
      <c r="C6261" s="5" t="str">
        <f>IFERROR(__xludf.DUMMYFUNCTION("GOOGLETRANSLATE(A6261,""en"",""hy"")"),"Ո՞րն է աշխարհի ամենամեծ երկիրը ցամաքային տարածքով:")</f>
        <v>Ո՞րն է աշխարհի ամենամեծ երկիրը ցամաքային տարածքով:</v>
      </c>
      <c r="D6261" s="6" t="str">
        <f>IFERROR(__xludf.DUMMYFUNCTION("GOOGLETRANSLATE(B6261,""en"",""hy"")"),"Ռուսաստան")</f>
        <v>Ռուսաստան</v>
      </c>
    </row>
    <row r="6262">
      <c r="A6262" s="5" t="s">
        <v>9050</v>
      </c>
      <c r="B6262" s="5" t="s">
        <v>7486</v>
      </c>
      <c r="C6262" s="5" t="str">
        <f>IFERROR(__xludf.DUMMYFUNCTION("GOOGLETRANSLATE(A6262,""en"",""hy"")"),"Ո՞վ է գրել Հարի Փոթերի գրքերի շարքը:")</f>
        <v>Ո՞վ է գրել Հարի Փոթերի գրքերի շարքը:</v>
      </c>
      <c r="D6262" s="6" t="str">
        <f>IFERROR(__xludf.DUMMYFUNCTION("GOOGLETRANSLATE(B6262,""en"",""hy"")"),"Ջ.Կ. Ռոուլինգ.")</f>
        <v>Ջ.Կ. Ռոուլինգ.</v>
      </c>
    </row>
    <row r="6263">
      <c r="A6263" s="5" t="s">
        <v>8583</v>
      </c>
      <c r="B6263" s="5" t="s">
        <v>3535</v>
      </c>
      <c r="C6263" s="5" t="str">
        <f>IFERROR(__xludf.DUMMYFUNCTION("GOOGLETRANSLATE(A6263,""en"",""hy"")"),"Ո՞ր երկրում է գտնվում Մեծ արգելախութը:")</f>
        <v>Ո՞ր երկրում է գտնվում Մեծ արգելախութը:</v>
      </c>
      <c r="D6263" s="6" t="str">
        <f>IFERROR(__xludf.DUMMYFUNCTION("GOOGLETRANSLATE(B6263,""en"",""hy"")"),"Ավստրալիա.")</f>
        <v>Ավստրալիա.</v>
      </c>
    </row>
    <row r="6264">
      <c r="A6264" s="5" t="s">
        <v>7642</v>
      </c>
      <c r="B6264" s="5" t="s">
        <v>2951</v>
      </c>
      <c r="C6264" s="5" t="str">
        <f>IFERROR(__xludf.DUMMYFUNCTION("GOOGLETRANSLATE(A6264,""en"",""hy"")"),"Ո՞րն է Կանադայի մայրաքաղաքը:")</f>
        <v>Ո՞րն է Կանադայի մայրաքաղաքը:</v>
      </c>
      <c r="D6264" s="6" t="str">
        <f>IFERROR(__xludf.DUMMYFUNCTION("GOOGLETRANSLATE(B6264,""en"",""hy"")"),"Օտտավա.")</f>
        <v>Օտտավա.</v>
      </c>
    </row>
    <row r="6265">
      <c r="A6265" s="5" t="s">
        <v>9051</v>
      </c>
      <c r="B6265" s="5" t="s">
        <v>9052</v>
      </c>
      <c r="C6265" s="5" t="str">
        <f>IFERROR(__xludf.DUMMYFUNCTION("GOOGLETRANSLATE(A6265,""en"",""hy"")"),"Ո՞րն է Հնդկաստանում խոսվող հիմնական լեզուն:")</f>
        <v>Ո՞րն է Հնդկաստանում խոսվող հիմնական լեզուն:</v>
      </c>
      <c r="D6265" s="6" t="str">
        <f>IFERROR(__xludf.DUMMYFUNCTION("GOOGLETRANSLATE(B6265,""en"",""hy"")"),"Հնդկաստանում խոսվող հիմնական լեզուն հինդին է։")</f>
        <v>Հնդկաստանում խոսվող հիմնական լեզուն հինդին է։</v>
      </c>
    </row>
    <row r="6266">
      <c r="A6266" s="5" t="s">
        <v>7778</v>
      </c>
      <c r="B6266" s="5" t="s">
        <v>7474</v>
      </c>
      <c r="C6266" s="5" t="str">
        <f>IFERROR(__xludf.DUMMYFUNCTION("GOOGLETRANSLATE(A6266,""en"",""hy"")"),"Ո՞վ է նկարել Սիքստինյան կապելլայի առաստաղը:")</f>
        <v>Ո՞վ է նկարել Սիքստինյան կապելլայի առաստաղը:</v>
      </c>
      <c r="D6266" s="6" t="str">
        <f>IFERROR(__xludf.DUMMYFUNCTION("GOOGLETRANSLATE(B6266,""en"",""hy"")"),"Միքելանջելո.")</f>
        <v>Միքելանջելո.</v>
      </c>
    </row>
    <row r="6267">
      <c r="A6267" s="5" t="s">
        <v>7703</v>
      </c>
      <c r="B6267" s="5" t="s">
        <v>7545</v>
      </c>
      <c r="C6267" s="5" t="str">
        <f>IFERROR(__xludf.DUMMYFUNCTION("GOOGLETRANSLATE(A6267,""en"",""hy"")"),"Ո՞րն է Իտալիայի մայրաքաղաքը:")</f>
        <v>Ո՞րն է Իտալիայի մայրաքաղաքը:</v>
      </c>
      <c r="D6267" s="6" t="str">
        <f>IFERROR(__xludf.DUMMYFUNCTION("GOOGLETRANSLATE(B6267,""en"",""hy"")"),"Հռոմ.")</f>
        <v>Հռոմ.</v>
      </c>
    </row>
    <row r="6268">
      <c r="A6268" s="5" t="s">
        <v>7461</v>
      </c>
      <c r="B6268" s="5" t="s">
        <v>7639</v>
      </c>
      <c r="C6268" s="5" t="str">
        <f>IFERROR(__xludf.DUMMYFUNCTION("GOOGLETRANSLATE(A6268,""en"",""hy"")"),"Ո՞րն է մարդու մարմնի ամենամեծ օրգանը:")</f>
        <v>Ո՞րն է մարդու մարմնի ամենամեծ օրգանը:</v>
      </c>
      <c r="D6268" s="6" t="str">
        <f>IFERROR(__xludf.DUMMYFUNCTION("GOOGLETRANSLATE(B6268,""en"",""hy"")"),"Մարդու մարմնի ամենամեծ օրգանը մաշկն է։")</f>
        <v>Մարդու մարմնի ամենամեծ օրգանը մաշկն է։</v>
      </c>
    </row>
    <row r="6269">
      <c r="A6269" s="5" t="s">
        <v>7773</v>
      </c>
      <c r="B6269" s="5" t="s">
        <v>7774</v>
      </c>
      <c r="C6269" s="5" t="str">
        <f>IFERROR(__xludf.DUMMYFUNCTION("GOOGLETRANSLATE(A6269,""en"",""hy"")"),"Ո՞վ է հայտնաբերել պենիցիլինը:")</f>
        <v>Ո՞վ է հայտնաբերել պենիցիլինը:</v>
      </c>
      <c r="D6269" s="6" t="str">
        <f>IFERROR(__xludf.DUMMYFUNCTION("GOOGLETRANSLATE(B6269,""en"",""hy"")"),"Ալեքսանդր Ֆլեմինգը հայտնաբերել է պենիցիլին:")</f>
        <v>Ալեքսանդր Ֆլեմինգը հայտնաբերել է պենիցիլին:</v>
      </c>
    </row>
    <row r="6270">
      <c r="A6270" s="5" t="s">
        <v>7595</v>
      </c>
      <c r="B6270" s="5" t="s">
        <v>9058</v>
      </c>
      <c r="C6270" s="5" t="str">
        <f>IFERROR(__xludf.DUMMYFUNCTION("GOOGLETRANSLATE(A6270,""en"",""hy"")"),"Ո՞րն է Բրազիլիայի արժույթը:")</f>
        <v>Ո՞րն է Բրազիլիայի արժույթը:</v>
      </c>
      <c r="D6270" s="6" t="str">
        <f>IFERROR(__xludf.DUMMYFUNCTION("GOOGLETRANSLATE(B6270,""en"",""hy"")"),"Բրազիլիայի արժույթը բրազիլական ռեալն է։")</f>
        <v>Բրազիլիայի արժույթը բրազիլական ռեալն է։</v>
      </c>
    </row>
    <row r="6271">
      <c r="A6271" s="5" t="s">
        <v>7477</v>
      </c>
      <c r="B6271" s="5" t="s">
        <v>7478</v>
      </c>
      <c r="C6271" s="5" t="str">
        <f>IFERROR(__xludf.DUMMYFUNCTION("GOOGLETRANSLATE(A6271,""en"",""hy"")"),"Ո՞ր երկիրն է հայտնի որպես «Ծագող արևի երկիր»:")</f>
        <v>Ո՞ր երկիրն է հայտնի որպես «Ծագող արևի երկիր»:</v>
      </c>
      <c r="D6271" s="6" t="str">
        <f>IFERROR(__xludf.DUMMYFUNCTION("GOOGLETRANSLATE(B6271,""en"",""hy"")"),"Ճապոնիա.")</f>
        <v>Ճապոնիա.</v>
      </c>
    </row>
    <row r="6272">
      <c r="A6272" s="5" t="s">
        <v>7508</v>
      </c>
      <c r="B6272" s="5" t="s">
        <v>8355</v>
      </c>
      <c r="C6272" s="5" t="str">
        <f>IFERROR(__xludf.DUMMYFUNCTION("GOOGLETRANSLATE(A6272,""en"",""hy"")"),"Ո՞վ է գրել վեպը 1984 թ.")</f>
        <v>Ո՞վ է գրել վեպը 1984 թ.</v>
      </c>
      <c r="D6272" s="6" t="str">
        <f>IFERROR(__xludf.DUMMYFUNCTION("GOOGLETRANSLATE(B6272,""en"",""hy"")"),"Ջորջ Օրուել")</f>
        <v>Ջորջ Օրուել</v>
      </c>
    </row>
    <row r="6273">
      <c r="A6273" s="5" t="s">
        <v>7627</v>
      </c>
      <c r="B6273" s="5" t="s">
        <v>7501</v>
      </c>
      <c r="C6273" s="5" t="str">
        <f>IFERROR(__xludf.DUMMYFUNCTION("GOOGLETRANSLATE(A6273,""en"",""hy"")"),"Ո՞րն է Ֆրանսիայի մայրաքաղաքը:")</f>
        <v>Ո՞րն է Ֆրանսիայի մայրաքաղաքը:</v>
      </c>
      <c r="D6273" s="6" t="str">
        <f>IFERROR(__xludf.DUMMYFUNCTION("GOOGLETRANSLATE(B6273,""en"",""hy"")"),"Փարիզ.")</f>
        <v>Փարիզ.</v>
      </c>
    </row>
    <row r="6274">
      <c r="A6274" s="5" t="s">
        <v>8743</v>
      </c>
      <c r="B6274" s="5" t="s">
        <v>7783</v>
      </c>
      <c r="C6274" s="5" t="str">
        <f>IFERROR(__xludf.DUMMYFUNCTION("GOOGLETRANSLATE(A6274,""en"",""hy"")"),"Ո՞րն է աշխարհի ամենամեծ տաք անապատը:")</f>
        <v>Ո՞րն է աշխարհի ամենամեծ տաք անապատը:</v>
      </c>
      <c r="D6274" s="6" t="str">
        <f>IFERROR(__xludf.DUMMYFUNCTION("GOOGLETRANSLATE(B6274,""en"",""hy"")"),"Սահարա անապատ.")</f>
        <v>Սահարա անապատ.</v>
      </c>
    </row>
    <row r="6275">
      <c r="A6275" s="5" t="s">
        <v>9054</v>
      </c>
      <c r="B6275" s="5" t="s">
        <v>7573</v>
      </c>
      <c r="C6275" s="5" t="str">
        <f>IFERROR(__xludf.DUMMYFUNCTION("GOOGLETRANSLATE(A6275,""en"",""hy"")"),"Ո՞վ է հորինել լույսի լամպը:")</f>
        <v>Ո՞վ է հորինել լույսի լամպը:</v>
      </c>
      <c r="D6275" s="6" t="str">
        <f>IFERROR(__xludf.DUMMYFUNCTION("GOOGLETRANSLATE(B6275,""en"",""hy"")"),"Թոմաս Էդիսոն.")</f>
        <v>Թոմաս Էդիսոն.</v>
      </c>
    </row>
    <row r="6276">
      <c r="A6276" s="5" t="s">
        <v>7561</v>
      </c>
      <c r="B6276" s="5" t="s">
        <v>7562</v>
      </c>
      <c r="C6276" s="5" t="str">
        <f>IFERROR(__xludf.DUMMYFUNCTION("GOOGLETRANSLATE(A6276,""en"",""hy"")"),"Ո՞րն է Մեքսիկայի արժույթը:")</f>
        <v>Ո՞րն է Մեքսիկայի արժույթը:</v>
      </c>
      <c r="D6276" s="6" t="str">
        <f>IFERROR(__xludf.DUMMYFUNCTION("GOOGLETRANSLATE(B6276,""en"",""hy"")"),"Մեքսիկայի արժույթը մեքսիկական պեսոն է։")</f>
        <v>Մեքսիկայի արժույթը մեքսիկական պեսոն է։</v>
      </c>
    </row>
    <row r="6277">
      <c r="A6277" s="5" t="s">
        <v>7772</v>
      </c>
      <c r="B6277" s="5" t="s">
        <v>3535</v>
      </c>
      <c r="C6277" s="5" t="str">
        <f>IFERROR(__xludf.DUMMYFUNCTION("GOOGLETRANSLATE(A6277,""en"",""hy"")"),"Ո՞ր երկիրն է հայտնի որպես «Land Down Under»:")</f>
        <v>Ո՞ր երկիրն է հայտնի որպես «Land Down Under»:</v>
      </c>
      <c r="D6277" s="6" t="str">
        <f>IFERROR(__xludf.DUMMYFUNCTION("GOOGLETRANSLATE(B6277,""en"",""hy"")"),"Ավստրալիա.")</f>
        <v>Ավստրալիա.</v>
      </c>
    </row>
    <row r="6278">
      <c r="A6278" s="5" t="s">
        <v>7548</v>
      </c>
      <c r="B6278" s="5" t="s">
        <v>7549</v>
      </c>
      <c r="C6278" s="5" t="str">
        <f>IFERROR(__xludf.DUMMYFUNCTION("GOOGLETRANSLATE(A6278,""en"",""hy"")"),"Ո՞վ է նկարել մարգարիտ ականջօղով աղջկան:")</f>
        <v>Ո՞վ է նկարել մարգարիտ ականջօղով աղջկան:</v>
      </c>
      <c r="D6278" s="6" t="str">
        <f>IFERROR(__xludf.DUMMYFUNCTION("GOOGLETRANSLATE(B6278,""en"",""hy"")"),"Յոհաննես Վերմեեր.")</f>
        <v>Յոհաննես Վերմեեր.</v>
      </c>
    </row>
    <row r="6279">
      <c r="A6279" s="5" t="s">
        <v>8172</v>
      </c>
      <c r="B6279" s="5" t="s">
        <v>8173</v>
      </c>
      <c r="C6279" s="5" t="str">
        <f>IFERROR(__xludf.DUMMYFUNCTION("GOOGLETRANSLATE(A6279,""en"",""hy"")"),"Ո՞րն է աշխարհի ամենաբարձր ջրվեժը:")</f>
        <v>Ո՞րն է աշխարհի ամենաբարձր ջրվեժը:</v>
      </c>
      <c r="D6279" s="6" t="str">
        <f>IFERROR(__xludf.DUMMYFUNCTION("GOOGLETRANSLATE(B6279,""en"",""hy"")"),"Angel Falls")</f>
        <v>Angel Falls</v>
      </c>
    </row>
    <row r="6280">
      <c r="A6280" s="5" t="s">
        <v>7665</v>
      </c>
      <c r="B6280" s="5" t="s">
        <v>7781</v>
      </c>
      <c r="C6280" s="5" t="str">
        <f>IFERROR(__xludf.DUMMYFUNCTION("GOOGLETRANSLATE(A6280,""en"",""hy"")"),"Ո՞րն է նատրիումի քիմիական նշանը:")</f>
        <v>Ո՞րն է նատրիումի քիմիական նշանը:</v>
      </c>
      <c r="D6280" s="6" t="str">
        <f>IFERROR(__xludf.DUMMYFUNCTION("GOOGLETRANSLATE(B6280,""en"",""hy"")"),"Նատրիումի քիմիական նշանը Na է:")</f>
        <v>Նատրիումի քիմիական նշանը Na է:</v>
      </c>
    </row>
    <row r="6281">
      <c r="A6281" s="5" t="s">
        <v>7780</v>
      </c>
      <c r="B6281" s="5" t="s">
        <v>2951</v>
      </c>
      <c r="C6281" s="5" t="str">
        <f>IFERROR(__xludf.DUMMYFUNCTION("GOOGLETRANSLATE(A6281,""en"",""hy"")"),"Ո՞րն է Կանադայի մայրաքաղաքը:")</f>
        <v>Ո՞րն է Կանադայի մայրաքաղաքը:</v>
      </c>
      <c r="D6281" s="6" t="str">
        <f>IFERROR(__xludf.DUMMYFUNCTION("GOOGLETRANSLATE(B6281,""en"",""hy"")"),"Օտտավա.")</f>
        <v>Օտտավա.</v>
      </c>
    </row>
    <row r="6282">
      <c r="A6282" s="5" t="s">
        <v>7632</v>
      </c>
      <c r="B6282" s="5" t="s">
        <v>7912</v>
      </c>
      <c r="C6282" s="5" t="str">
        <f>IFERROR(__xludf.DUMMYFUNCTION("GOOGLETRANSLATE(A6282,""en"",""hy"")"),"Ո՞րն է մեր արեգակնային համակարգի ամենամեծ մոլորակը:")</f>
        <v>Ո՞րն է մեր արեգակնային համակարգի ամենամեծ մոլորակը:</v>
      </c>
      <c r="D6282" s="6" t="str">
        <f>IFERROR(__xludf.DUMMYFUNCTION("GOOGLETRANSLATE(B6282,""en"",""hy"")"),"Յուպիտեր")</f>
        <v>Յուպիտեր</v>
      </c>
    </row>
    <row r="6283">
      <c r="A6283" s="5" t="s">
        <v>7447</v>
      </c>
      <c r="B6283" s="5" t="s">
        <v>7448</v>
      </c>
      <c r="C6283" s="5" t="str">
        <f>IFERROR(__xludf.DUMMYFUNCTION("GOOGLETRANSLATE(A6283,""en"",""hy"")"),"Ո՞վ է նկարել Մոնա Լիզան:")</f>
        <v>Ո՞վ է նկարել Մոնա Լիզան:</v>
      </c>
      <c r="D6283" s="6" t="str">
        <f>IFERROR(__xludf.DUMMYFUNCTION("GOOGLETRANSLATE(B6283,""en"",""hy"")"),"Լեոնարդո դա Վինչի.")</f>
        <v>Լեոնարդո դա Վինչի.</v>
      </c>
    </row>
    <row r="6284">
      <c r="A6284" s="5" t="s">
        <v>8011</v>
      </c>
      <c r="B6284" s="7">
        <v>1945.0</v>
      </c>
      <c r="C6284" s="5" t="str">
        <f>IFERROR(__xludf.DUMMYFUNCTION("GOOGLETRANSLATE(A6284,""en"",""hy"")"),"Ո՞ր թվականին ավարտվեց Երկրորդ համաշխարհային պատերազմը:")</f>
        <v>Ո՞ր թվականին ավարտվեց Երկրորդ համաշխարհային պատերազմը:</v>
      </c>
      <c r="D6284" s="6" t="str">
        <f>IFERROR(__xludf.DUMMYFUNCTION("GOOGLETRANSLATE(B6284,""en"",""hy"")"),"1945 թ")</f>
        <v>1945 թ</v>
      </c>
    </row>
    <row r="6285">
      <c r="A6285" s="5" t="s">
        <v>7452</v>
      </c>
      <c r="B6285" s="5" t="s">
        <v>7453</v>
      </c>
      <c r="C6285" s="5" t="str">
        <f>IFERROR(__xludf.DUMMYFUNCTION("GOOGLETRANSLATE(A6285,""en"",""hy"")"),"Ո՞րն է ոսկու քիմիական նշանը:")</f>
        <v>Ո՞րն է ոսկու քիմիական նշանը:</v>
      </c>
      <c r="D6285" s="6" t="str">
        <f>IFERROR(__xludf.DUMMYFUNCTION("GOOGLETRANSLATE(B6285,""en"",""hy"")"),"Ոսկու քիմիական նշանը Au-ն է:")</f>
        <v>Ոսկու քիմիական նշանը Au-ն է:</v>
      </c>
    </row>
    <row r="6286">
      <c r="A6286" s="5" t="s">
        <v>7454</v>
      </c>
      <c r="B6286" s="5" t="s">
        <v>1016</v>
      </c>
      <c r="C6286" s="5" t="str">
        <f>IFERROR(__xludf.DUMMYFUNCTION("GOOGLETRANSLATE(A6286,""en"",""hy"")"),"Ո՞վ է գրել Ռոմեո և Ջուլիետ պիեսը:")</f>
        <v>Ո՞վ է գրել Ռոմեո և Ջուլիետ պիեսը:</v>
      </c>
      <c r="D6286" s="6" t="str">
        <f>IFERROR(__xludf.DUMMYFUNCTION("GOOGLETRANSLATE(B6286,""en"",""hy"")"),"Ուիլյամ Շեքսպիր.")</f>
        <v>Ուիլյամ Շեքսպիր.</v>
      </c>
    </row>
    <row r="6287">
      <c r="A6287" s="5" t="s">
        <v>7645</v>
      </c>
      <c r="B6287" s="5" t="s">
        <v>7646</v>
      </c>
      <c r="C6287" s="5" t="str">
        <f>IFERROR(__xludf.DUMMYFUNCTION("GOOGLETRANSLATE(A6287,""en"",""hy"")"),"Ո՞րն է Երկրի ամենամեծ օվկիանոսը:")</f>
        <v>Ո՞րն է Երկրի ամենամեծ օվկիանոսը:</v>
      </c>
      <c r="D6287" s="6" t="str">
        <f>IFERROR(__xludf.DUMMYFUNCTION("GOOGLETRANSLATE(B6287,""en"",""hy"")"),"Խաղաղ օվկիանոս.")</f>
        <v>Խաղաղ օվկիանոս.</v>
      </c>
    </row>
    <row r="6288">
      <c r="A6288" s="5" t="s">
        <v>8078</v>
      </c>
      <c r="B6288" s="5" t="s">
        <v>7784</v>
      </c>
      <c r="C6288" s="5" t="str">
        <f>IFERROR(__xludf.DUMMYFUNCTION("GOOGLETRANSLATE(A6288,""en"",""hy"")"),"Ո՞ր երկիրն է հայտնի որպես Ծագող Արևի երկիր:")</f>
        <v>Ո՞ր երկիրն է հայտնի որպես Ծագող Արևի երկիր:</v>
      </c>
      <c r="D6288" s="6" t="str">
        <f>IFERROR(__xludf.DUMMYFUNCTION("GOOGLETRANSLATE(B6288,""en"",""hy"")"),"Ճապոնիա")</f>
        <v>Ճապոնիա</v>
      </c>
    </row>
    <row r="6289">
      <c r="A6289" s="5" t="s">
        <v>7670</v>
      </c>
      <c r="B6289" s="5" t="s">
        <v>9059</v>
      </c>
      <c r="C6289" s="5" t="str">
        <f>IFERROR(__xludf.DUMMYFUNCTION("GOOGLETRANSLATE(A6289,""en"",""hy"")"),"Ո՞րն է աշխարհի ամենաերկար գետը:")</f>
        <v>Ո՞րն է աշխարհի ամենաերկար գետը:</v>
      </c>
      <c r="D6289" s="6" t="str">
        <f>IFERROR(__xludf.DUMMYFUNCTION("GOOGLETRANSLATE(B6289,""en"",""hy"")"),"Աշխարհի ամենաերկար գետը Նեղոս գետն է։")</f>
        <v>Աշխարհի ամենաերկար գետը Նեղոս գետն է։</v>
      </c>
    </row>
    <row r="6290">
      <c r="A6290" s="5" t="s">
        <v>9060</v>
      </c>
      <c r="B6290" s="5" t="s">
        <v>7556</v>
      </c>
      <c r="C6290" s="5" t="str">
        <f>IFERROR(__xludf.DUMMYFUNCTION("GOOGLETRANSLATE(A6290,""en"",""hy"")"),"Ո՞վ է հայտնի որպես ժամանակակից ֆիզիկայի հայր:")</f>
        <v>Ո՞վ է հայտնի որպես ժամանակակից ֆիզիկայի հայր:</v>
      </c>
      <c r="D6290" s="6" t="str">
        <f>IFERROR(__xludf.DUMMYFUNCTION("GOOGLETRANSLATE(B6290,""en"",""hy"")"),"Albert Einstein.")</f>
        <v>Albert Einstein.</v>
      </c>
    </row>
    <row r="6291">
      <c r="A6291" s="5" t="s">
        <v>8136</v>
      </c>
      <c r="B6291" s="5" t="s">
        <v>9061</v>
      </c>
      <c r="C6291" s="5" t="str">
        <f>IFERROR(__xludf.DUMMYFUNCTION("GOOGLETRANSLATE(A6291,""en"",""hy"")"),"Ո՞րն է Ֆրանսիայի ազգային ծաղիկը:")</f>
        <v>Ո՞րն է Ֆրանսիայի ազգային ծաղիկը:</v>
      </c>
      <c r="D6291" s="6" t="str">
        <f>IFERROR(__xludf.DUMMYFUNCTION("GOOGLETRANSLATE(B6291,""en"",""hy"")"),"Ֆրանսիայի ազգային ծաղիկը Շուշանն է։")</f>
        <v>Ֆրանսիայի ազգային ծաղիկը Շուշանն է։</v>
      </c>
    </row>
    <row r="6292">
      <c r="A6292" s="5" t="s">
        <v>7773</v>
      </c>
      <c r="B6292" s="5" t="s">
        <v>7941</v>
      </c>
      <c r="C6292" s="5" t="str">
        <f>IFERROR(__xludf.DUMMYFUNCTION("GOOGLETRANSLATE(A6292,""en"",""hy"")"),"Ո՞վ է հայտնաբերել պենիցիլինը:")</f>
        <v>Ո՞վ է հայտնաբերել պենիցիլինը:</v>
      </c>
      <c r="D6292" s="6" t="str">
        <f>IFERROR(__xludf.DUMMYFUNCTION("GOOGLETRANSLATE(B6292,""en"",""hy"")"),"Ալեքսանդր Ֆլեմինգ")</f>
        <v>Ալեքսանդր Ֆլեմինգ</v>
      </c>
    </row>
    <row r="6293">
      <c r="A6293" s="5" t="s">
        <v>7463</v>
      </c>
      <c r="B6293" s="5" t="s">
        <v>7464</v>
      </c>
      <c r="C6293" s="5" t="str">
        <f>IFERROR(__xludf.DUMMYFUNCTION("GOOGLETRANSLATE(A6293,""en"",""hy"")"),"Ո՞րն է աշխարհի ամենաբարձր լեռը:")</f>
        <v>Ո՞րն է աշխարհի ամենաբարձր լեռը:</v>
      </c>
      <c r="D6293" s="6" t="str">
        <f>IFERROR(__xludf.DUMMYFUNCTION("GOOGLETRANSLATE(B6293,""en"",""hy"")"),"Էվերեստ լեռ.")</f>
        <v>Էվերեստ լեռ.</v>
      </c>
    </row>
    <row r="6294">
      <c r="A6294" s="5" t="s">
        <v>8012</v>
      </c>
      <c r="B6294" s="5" t="s">
        <v>7446</v>
      </c>
      <c r="C6294" s="5" t="str">
        <f>IFERROR(__xludf.DUMMYFUNCTION("GOOGLETRANSLATE(A6294,""en"",""hy"")"),"Ո՞ր մոլորակն է հայտնի որպես Կարմիր մոլորակ:")</f>
        <v>Ո՞ր մոլորակն է հայտնի որպես Կարմիր մոլորակ:</v>
      </c>
      <c r="D6294" s="6" t="str">
        <f>IFERROR(__xludf.DUMMYFUNCTION("GOOGLETRANSLATE(B6294,""en"",""hy"")"),"Մարս.")</f>
        <v>Մարս.</v>
      </c>
    </row>
    <row r="6295">
      <c r="A6295" s="5" t="s">
        <v>8558</v>
      </c>
      <c r="B6295" s="5" t="s">
        <v>7343</v>
      </c>
      <c r="C6295" s="5" t="str">
        <f>IFERROR(__xludf.DUMMYFUNCTION("GOOGLETRANSLATE(A6295,""en"",""hy"")"),"Ո՞րն է ամենամեծ երկիրը ըստ ցամաքային տարածքի:")</f>
        <v>Ո՞րն է ամենամեծ երկիրը ըստ ցամաքային տարածքի:</v>
      </c>
      <c r="D6295" s="6" t="str">
        <f>IFERROR(__xludf.DUMMYFUNCTION("GOOGLETRANSLATE(B6295,""en"",""hy"")"),"Ռուսաստան.")</f>
        <v>Ռուսաստան.</v>
      </c>
    </row>
    <row r="6296">
      <c r="A6296" s="5" t="s">
        <v>7540</v>
      </c>
      <c r="B6296" s="5" t="s">
        <v>7541</v>
      </c>
      <c r="C6296" s="5" t="str">
        <f>IFERROR(__xludf.DUMMYFUNCTION("GOOGLETRANSLATE(A6296,""en"",""hy"")"),"Ո՞վ է գրել «Սպանել ծաղրող թռչունին» վեպը:")</f>
        <v>Ո՞վ է գրել «Սպանել ծաղրող թռչունին» վեպը:</v>
      </c>
      <c r="D6296" s="6" t="str">
        <f>IFERROR(__xludf.DUMMYFUNCTION("GOOGLETRANSLATE(B6296,""en"",""hy"")"),"Հարփեր Լի.")</f>
        <v>Հարփեր Լի.</v>
      </c>
    </row>
    <row r="6297">
      <c r="A6297" s="5" t="s">
        <v>8914</v>
      </c>
      <c r="B6297" s="5" t="s">
        <v>7576</v>
      </c>
      <c r="C6297" s="5" t="str">
        <f>IFERROR(__xludf.DUMMYFUNCTION("GOOGLETRANSLATE(A6297,""en"",""hy"")"),"Քանի՞ գույն կա ծիածանի մեջ:")</f>
        <v>Քանի՞ գույն կա ծիածանի մեջ:</v>
      </c>
      <c r="D6297" s="6" t="str">
        <f>IFERROR(__xludf.DUMMYFUNCTION("GOOGLETRANSLATE(B6297,""en"",""hy"")"),"Ծիածանի մեջ յոթ գույն կա:")</f>
        <v>Ծիածանի մեջ յոթ գույն կա:</v>
      </c>
    </row>
    <row r="6298">
      <c r="A6298" s="5" t="s">
        <v>7515</v>
      </c>
      <c r="B6298" s="5" t="s">
        <v>7516</v>
      </c>
      <c r="C6298" s="5" t="str">
        <f>IFERROR(__xludf.DUMMYFUNCTION("GOOGLETRANSLATE(A6298,""en"",""hy"")"),"Ո՞րն է Բրազիլիայի մայրաքաղաքը:")</f>
        <v>Ո՞րն է Բրազիլիայի մայրաքաղաքը:</v>
      </c>
      <c r="D6298" s="6" t="str">
        <f>IFERROR(__xludf.DUMMYFUNCTION("GOOGLETRANSLATE(B6298,""en"",""hy"")"),"Բրազիլիա.")</f>
        <v>Բրազիլիա.</v>
      </c>
    </row>
    <row r="6299">
      <c r="A6299" s="5" t="s">
        <v>7647</v>
      </c>
      <c r="B6299" s="5" t="s">
        <v>7648</v>
      </c>
      <c r="C6299" s="5" t="str">
        <f>IFERROR(__xludf.DUMMYFUNCTION("GOOGLETRANSLATE(A6299,""en"",""hy"")"),"Ո՞վ է նկարել «Աստղային գիշերը»:")</f>
        <v>Ո՞վ է նկարել «Աստղային գիշերը»:</v>
      </c>
      <c r="D6299" s="6" t="str">
        <f>IFERROR(__xludf.DUMMYFUNCTION("GOOGLETRANSLATE(B6299,""en"",""hy"")"),"Վինսենթ վան Գոգ.")</f>
        <v>Վինսենթ վան Գոգ.</v>
      </c>
    </row>
    <row r="6300">
      <c r="A6300" s="5" t="s">
        <v>7506</v>
      </c>
      <c r="B6300" s="5" t="s">
        <v>7507</v>
      </c>
      <c r="C6300" s="5" t="str">
        <f>IFERROR(__xludf.DUMMYFUNCTION("GOOGLETRANSLATE(A6300,""en"",""hy"")"),"Ո՞րն է աշխարհի ամենափոքր երկիրը:")</f>
        <v>Ո՞րն է աշխարհի ամենափոքր երկիրը:</v>
      </c>
      <c r="D6300" s="6" t="str">
        <f>IFERROR(__xludf.DUMMYFUNCTION("GOOGLETRANSLATE(B6300,""en"",""hy"")"),"Քաղաք Վատիկան.")</f>
        <v>Քաղաք Վատիկան.</v>
      </c>
    </row>
    <row r="6301">
      <c r="A6301" s="5" t="s">
        <v>7592</v>
      </c>
      <c r="B6301" s="5" t="s">
        <v>8257</v>
      </c>
      <c r="C6301" s="5" t="str">
        <f>IFERROR(__xludf.DUMMYFUNCTION("GOOGLETRANSLATE(A6301,""en"",""hy"")"),"Ո՞րն է թթվածնի քիմիական նշանը:")</f>
        <v>Ո՞րն է թթվածնի քիմիական նշանը:</v>
      </c>
      <c r="D6301" s="6" t="str">
        <f>IFERROR(__xludf.DUMMYFUNCTION("GOOGLETRANSLATE(B6301,""en"",""hy"")"),"Օ")</f>
        <v>Օ</v>
      </c>
    </row>
    <row r="6302">
      <c r="A6302" s="5" t="s">
        <v>8454</v>
      </c>
      <c r="B6302" s="7">
        <v>1776.0</v>
      </c>
      <c r="C6302" s="5" t="str">
        <f>IFERROR(__xludf.DUMMYFUNCTION("GOOGLETRANSLATE(A6302,""en"",""hy"")"),"Ո՞ր թվականին է Միացյալ Նահանգները հռչակել անկախությունը Մեծ Բրիտանիայից.")</f>
        <v>Ո՞ր թվականին է Միացյալ Նահանգները հռչակել անկախությունը Մեծ Բրիտանիայից.</v>
      </c>
      <c r="D6302" s="6" t="str">
        <f>IFERROR(__xludf.DUMMYFUNCTION("GOOGLETRANSLATE(B6302,""en"",""hy"")"),"1776 թ")</f>
        <v>1776 թ</v>
      </c>
    </row>
    <row r="6303">
      <c r="A6303" s="5" t="s">
        <v>8876</v>
      </c>
      <c r="B6303" s="5" t="s">
        <v>7486</v>
      </c>
      <c r="C6303" s="5" t="str">
        <f>IFERROR(__xludf.DUMMYFUNCTION("GOOGLETRANSLATE(A6303,""en"",""hy"")"),"Ո՞վ է գրել Հարրի Փոթերի շարքը:")</f>
        <v>Ո՞վ է գրել Հարրի Փոթերի շարքը:</v>
      </c>
      <c r="D6303" s="6" t="str">
        <f>IFERROR(__xludf.DUMMYFUNCTION("GOOGLETRANSLATE(B6303,""en"",""hy"")"),"Ջ.Կ. Ռոուլինգ.")</f>
        <v>Ջ.Կ. Ռոուլինգ.</v>
      </c>
    </row>
    <row r="6304">
      <c r="A6304" s="5" t="s">
        <v>7513</v>
      </c>
      <c r="B6304" s="5" t="s">
        <v>8337</v>
      </c>
      <c r="C6304" s="5" t="str">
        <f>IFERROR(__xludf.DUMMYFUNCTION("GOOGLETRANSLATE(A6304,""en"",""hy"")"),"Ո՞րն է աշխարհի ամենամեծ անապատը:")</f>
        <v>Ո՞րն է աշխարհի ամենամեծ անապատը:</v>
      </c>
      <c r="D6304" s="6" t="str">
        <f>IFERROR(__xludf.DUMMYFUNCTION("GOOGLETRANSLATE(B6304,""en"",""hy"")"),"Աշխարհի ամենամեծ անապատը Անտարկտիդայի անապատն է։")</f>
        <v>Աշխարհի ամենամեծ անապատը Անտարկտիդայի անապատն է։</v>
      </c>
    </row>
    <row r="6305">
      <c r="A6305" s="5" t="s">
        <v>7467</v>
      </c>
      <c r="B6305" s="5" t="s">
        <v>7468</v>
      </c>
      <c r="C6305" s="5" t="str">
        <f>IFERROR(__xludf.DUMMYFUNCTION("GOOGLETRANSLATE(A6305,""en"",""hy"")"),"Ո՞րն է Ճապոնիայի արժույթը:")</f>
        <v>Ո՞րն է Ճապոնիայի արժույթը:</v>
      </c>
      <c r="D6305" s="6" t="str">
        <f>IFERROR(__xludf.DUMMYFUNCTION("GOOGLETRANSLATE(B6305,""en"",""hy"")"),"Ճապոնիայի արժույթը ճապոնական իենն է։")</f>
        <v>Ճապոնիայի արժույթը ճապոնական իենն է։</v>
      </c>
    </row>
    <row r="6306">
      <c r="A6306" s="5" t="s">
        <v>9062</v>
      </c>
      <c r="B6306" s="5" t="s">
        <v>9063</v>
      </c>
      <c r="C6306" s="5" t="str">
        <f>IFERROR(__xludf.DUMMYFUNCTION("GOOGLETRANSLATE(A6306,""en"",""hy"")"),"Ո՞ր կղզում է գտնվում Մեծ արգելախութը:")</f>
        <v>Ո՞ր կղզում է գտնվում Մեծ արգելախութը:</v>
      </c>
      <c r="D6306" s="6" t="str">
        <f>IFERROR(__xludf.DUMMYFUNCTION("GOOGLETRANSLATE(B6306,""en"",""hy"")"),"Մեծ արգելախութը գտնվում է Ավստրալիայի ափերի մոտ։")</f>
        <v>Մեծ արգելախութը գտնվում է Ավստրալիայի ափերի մոտ։</v>
      </c>
    </row>
    <row r="6307">
      <c r="A6307" s="5" t="s">
        <v>9064</v>
      </c>
      <c r="B6307" s="5" t="s">
        <v>8543</v>
      </c>
      <c r="C6307" s="5" t="str">
        <f>IFERROR(__xludf.DUMMYFUNCTION("GOOGLETRANSLATE(A6307,""en"",""hy"")"),"Ո՞վ է հայտնի որպես ժամանակակից հոգեբանության հայր:")</f>
        <v>Ո՞վ է հայտնի որպես ժամանակակից հոգեբանության հայր:</v>
      </c>
      <c r="D6307" s="6" t="str">
        <f>IFERROR(__xludf.DUMMYFUNCTION("GOOGLETRANSLATE(B6307,""en"",""hy"")"),"Զիգմունդ Ֆրեյդ.")</f>
        <v>Զիգմունդ Ֆրեյդ.</v>
      </c>
    </row>
    <row r="6308">
      <c r="A6308" s="5" t="s">
        <v>9065</v>
      </c>
      <c r="B6308" s="5" t="s">
        <v>9066</v>
      </c>
      <c r="C6308" s="5" t="str">
        <f>IFERROR(__xludf.DUMMYFUNCTION("GOOGLETRANSLATE(A6308,""en"",""hy"")"),"Ո՞րն է Հյուսիսային Ամերիկայի ամենաբարձր լեռնաշղթան:")</f>
        <v>Ո՞րն է Հյուսիսային Ամերիկայի ամենաբարձր լեռնաշղթան:</v>
      </c>
      <c r="D6308" s="6" t="str">
        <f>IFERROR(__xludf.DUMMYFUNCTION("GOOGLETRANSLATE(B6308,""en"",""hy"")"),"Հյուսիսային Ամերիկայի ամենաբարձր լեռնաշղթան Ռոքի լեռներն են։")</f>
        <v>Հյուսիսային Ամերիկայի ամենաբարձր լեռնաշղթան Ռոքի լեռներն են։</v>
      </c>
    </row>
    <row r="6309">
      <c r="A6309" s="5" t="s">
        <v>7534</v>
      </c>
      <c r="B6309" s="5" t="s">
        <v>7535</v>
      </c>
      <c r="C6309" s="5" t="str">
        <f>IFERROR(__xludf.DUMMYFUNCTION("GOOGLETRANSLATE(A6309,""en"",""hy"")"),"Ո՞վ է հորինել հեռախոսը:")</f>
        <v>Ո՞վ է հորինել հեռախոսը:</v>
      </c>
      <c r="D6309" s="6" t="str">
        <f>IFERROR(__xludf.DUMMYFUNCTION("GOOGLETRANSLATE(B6309,""en"",""hy"")"),"Ալեքսանդր Գրեհեմ Բել.")</f>
        <v>Ալեքսանդր Գրեհեմ Բել.</v>
      </c>
    </row>
    <row r="6310">
      <c r="A6310" s="5" t="s">
        <v>7553</v>
      </c>
      <c r="B6310" s="5" t="s">
        <v>7554</v>
      </c>
      <c r="C6310" s="5" t="str">
        <f>IFERROR(__xludf.DUMMYFUNCTION("GOOGLETRANSLATE(A6310,""en"",""hy"")"),"Ո՞րն է Հարավային Աֆրիկայի մայրաքաղաքը:")</f>
        <v>Ո՞րն է Հարավային Աֆրիկայի մայրաքաղաքը:</v>
      </c>
      <c r="D6310" s="6" t="str">
        <f>IFERROR(__xludf.DUMMYFUNCTION("GOOGLETRANSLATE(B6310,""en"",""hy"")"),"Պրետորիա.")</f>
        <v>Պրետորիա.</v>
      </c>
    </row>
    <row r="6311">
      <c r="A6311" s="5" t="s">
        <v>7856</v>
      </c>
      <c r="B6311" s="5" t="s">
        <v>7472</v>
      </c>
      <c r="C6311" s="5" t="str">
        <f>IFERROR(__xludf.DUMMYFUNCTION("GOOGLETRANSLATE(A6311,""en"",""hy"")"),"Ո՞րն է աշխարհի ամենամեծ կենդանին:")</f>
        <v>Ո՞րն է աշխարհի ամենամեծ կենդանին:</v>
      </c>
      <c r="D6311" s="6" t="str">
        <f>IFERROR(__xludf.DUMMYFUNCTION("GOOGLETRANSLATE(B6311,""en"",""hy"")"),"Կապույտ կետը.")</f>
        <v>Կապույտ կետը.</v>
      </c>
    </row>
    <row r="6312">
      <c r="A6312" s="5" t="s">
        <v>7557</v>
      </c>
      <c r="B6312" s="5" t="s">
        <v>7857</v>
      </c>
      <c r="C6312" s="5" t="str">
        <f>IFERROR(__xludf.DUMMYFUNCTION("GOOGLETRANSLATE(A6312,""en"",""hy"")"),"Ո՞րն է երկաթի քիմիական նշանը:")</f>
        <v>Ո՞րն է երկաթի քիմիական նշանը:</v>
      </c>
      <c r="D6312" s="6" t="str">
        <f>IFERROR(__xludf.DUMMYFUNCTION("GOOGLETRANSLATE(B6312,""en"",""hy"")"),"Երկաթի քիմիական նշանը Fe է:")</f>
        <v>Երկաթի քիմիական նշանը Fe է:</v>
      </c>
    </row>
    <row r="6313">
      <c r="A6313" s="5" t="s">
        <v>7804</v>
      </c>
      <c r="B6313" s="5" t="s">
        <v>7448</v>
      </c>
      <c r="C6313" s="5" t="str">
        <f>IFERROR(__xludf.DUMMYFUNCTION("GOOGLETRANSLATE(A6313,""en"",""hy"")"),"Ո՞վ է նկարել Վերջին ընթրիքը:")</f>
        <v>Ո՞վ է նկարել Վերջին ընթրիքը:</v>
      </c>
      <c r="D6313" s="6" t="str">
        <f>IFERROR(__xludf.DUMMYFUNCTION("GOOGLETRANSLATE(B6313,""en"",""hy"")"),"Լեոնարդո դա Վինչի.")</f>
        <v>Լեոնարդո դա Վինչի.</v>
      </c>
    </row>
    <row r="6314">
      <c r="A6314" s="5" t="s">
        <v>8138</v>
      </c>
      <c r="B6314" s="5" t="s">
        <v>1319</v>
      </c>
      <c r="C6314" s="5" t="str">
        <f>IFERROR(__xludf.DUMMYFUNCTION("GOOGLETRANSLATE(A6314,""en"",""hy"")"),"Ո՞րն է Բրազիլիայում խոսվող հիմնական լեզուն:")</f>
        <v>Ո՞րն է Բրազիլիայում խոսվող հիմնական լեզուն:</v>
      </c>
      <c r="D6314" s="6" t="str">
        <f>IFERROR(__xludf.DUMMYFUNCTION("GOOGLETRANSLATE(B6314,""en"",""hy"")"),"Բրազիլիայում խոսվող հիմնական լեզուն պորտուգալերենն է։")</f>
        <v>Բրազիլիայում խոսվող հիմնական լեզուն պորտուգալերենն է։</v>
      </c>
    </row>
    <row r="6315">
      <c r="A6315" s="5" t="s">
        <v>7608</v>
      </c>
      <c r="B6315" s="5" t="s">
        <v>7609</v>
      </c>
      <c r="C6315" s="5" t="str">
        <f>IFERROR(__xludf.DUMMYFUNCTION("GOOGLETRANSLATE(A6315,""en"",""hy"")"),"Ո՞րն է Հնդկաստանի մայրաքաղաքը:")</f>
        <v>Ո՞րն է Հնդկաստանի մայրաքաղաքը:</v>
      </c>
      <c r="D6315" s="6" t="str">
        <f>IFERROR(__xludf.DUMMYFUNCTION("GOOGLETRANSLATE(B6315,""en"",""hy"")"),"Նյու Դելի.")</f>
        <v>Նյու Դելի.</v>
      </c>
    </row>
    <row r="6316">
      <c r="A6316" s="5" t="s">
        <v>7465</v>
      </c>
      <c r="B6316" s="5" t="s">
        <v>7466</v>
      </c>
      <c r="C6316" s="5" t="str">
        <f>IFERROR(__xludf.DUMMYFUNCTION("GOOGLETRANSLATE(A6316,""en"",""hy"")"),"Ո՞վ է գրել «Հպարտություն և նախապաշարմունք» վեպը:")</f>
        <v>Ո՞վ է գրել «Հպարտություն և նախապաշարմունք» վեպը:</v>
      </c>
      <c r="D6316" s="6" t="str">
        <f>IFERROR(__xludf.DUMMYFUNCTION("GOOGLETRANSLATE(B6316,""en"",""hy"")"),"Ջեյն Օսթին")</f>
        <v>Ջեյն Օսթին</v>
      </c>
    </row>
    <row r="6317">
      <c r="A6317" s="5" t="s">
        <v>7711</v>
      </c>
      <c r="B6317" s="5" t="s">
        <v>7712</v>
      </c>
      <c r="C6317" s="5" t="str">
        <f>IFERROR(__xludf.DUMMYFUNCTION("GOOGLETRANSLATE(A6317,""en"",""hy"")"),"Ո՞րն է Միացյալ Նահանգների ամենամեծ քաղաքը:")</f>
        <v>Ո՞րն է Միացյալ Նահանգների ամենամեծ քաղաքը:</v>
      </c>
      <c r="D6317" s="6" t="str">
        <f>IFERROR(__xludf.DUMMYFUNCTION("GOOGLETRANSLATE(B6317,""en"",""hy"")"),"Նյու Յորք քաղաք.")</f>
        <v>Նյու Յորք քաղաք.</v>
      </c>
    </row>
    <row r="6318">
      <c r="A6318" s="5" t="s">
        <v>7968</v>
      </c>
      <c r="B6318" s="5" t="s">
        <v>9067</v>
      </c>
      <c r="C6318" s="5" t="str">
        <f>IFERROR(__xludf.DUMMYFUNCTION("GOOGLETRANSLATE(A6318,""en"",""hy"")"),"Ո՞րն է Չինաստանում խոսվող հիմնական լեզուն:")</f>
        <v>Ո՞րն է Չինաստանում խոսվող հիմնական լեզուն:</v>
      </c>
      <c r="D6318" s="6" t="str">
        <f>IFERROR(__xludf.DUMMYFUNCTION("GOOGLETRANSLATE(B6318,""en"",""hy"")"),"Չինաստանում խոսվող հիմնական լեզուն մանդարինն է։")</f>
        <v>Չինաստանում խոսվող հիմնական լեզուն մանդարինն է։</v>
      </c>
    </row>
    <row r="6319">
      <c r="A6319" s="5" t="s">
        <v>8229</v>
      </c>
      <c r="B6319" s="5" t="s">
        <v>8230</v>
      </c>
      <c r="C6319" s="5" t="str">
        <f>IFERROR(__xludf.DUMMYFUNCTION("GOOGLETRANSLATE(A6319,""en"",""hy"")"),"Ո՞վ հայտնաբերեց Ամերիկան:")</f>
        <v>Ո՞վ հայտնաբերեց Ամերիկան:</v>
      </c>
      <c r="D6319" s="6" t="str">
        <f>IFERROR(__xludf.DUMMYFUNCTION("GOOGLETRANSLATE(B6319,""en"",""hy"")"),"Քրիստափոր Կոլումբոս.")</f>
        <v>Քրիստափոր Կոլումբոս.</v>
      </c>
    </row>
    <row r="6320">
      <c r="A6320" s="5" t="s">
        <v>7791</v>
      </c>
      <c r="B6320" s="5" t="s">
        <v>8128</v>
      </c>
      <c r="C6320" s="5" t="str">
        <f>IFERROR(__xludf.DUMMYFUNCTION("GOOGLETRANSLATE(A6320,""en"",""hy"")"),"Ո՞րն է Ավստրալիայի ազգային կենդանին:")</f>
        <v>Ո՞րն է Ավստրալիայի ազգային կենդանին:</v>
      </c>
      <c r="D6320" s="6" t="str">
        <f>IFERROR(__xludf.DUMMYFUNCTION("GOOGLETRANSLATE(B6320,""en"",""hy"")"),"Կենգուրու.")</f>
        <v>Կենգուրու.</v>
      </c>
    </row>
    <row r="6321">
      <c r="A6321" s="5" t="s">
        <v>7761</v>
      </c>
      <c r="B6321" s="5" t="s">
        <v>7762</v>
      </c>
      <c r="C6321" s="5" t="str">
        <f>IFERROR(__xludf.DUMMYFUNCTION("GOOGLETRANSLATE(A6321,""en"",""hy"")"),"Ո՞րն է ջրածնի քիմիական նշանը:")</f>
        <v>Ո՞րն է ջրածնի քիմիական նշանը:</v>
      </c>
      <c r="D6321" s="6" t="str">
        <f>IFERROR(__xludf.DUMMYFUNCTION("GOOGLETRANSLATE(B6321,""en"",""hy"")"),"Հ")</f>
        <v>Հ</v>
      </c>
    </row>
    <row r="6322">
      <c r="A6322" s="5" t="s">
        <v>7778</v>
      </c>
      <c r="B6322" s="5" t="s">
        <v>7474</v>
      </c>
      <c r="C6322" s="5" t="str">
        <f>IFERROR(__xludf.DUMMYFUNCTION("GOOGLETRANSLATE(A6322,""en"",""hy"")"),"Ո՞վ է նկարել Սիքստինյան կապելլայի առաստաղը:")</f>
        <v>Ո՞վ է նկարել Սիքստինյան կապելլայի առաստաղը:</v>
      </c>
      <c r="D6322" s="6" t="str">
        <f>IFERROR(__xludf.DUMMYFUNCTION("GOOGLETRANSLATE(B6322,""en"",""hy"")"),"Միքելանջելո.")</f>
        <v>Միքելանջելո.</v>
      </c>
    </row>
    <row r="6323">
      <c r="A6323" s="5" t="s">
        <v>7983</v>
      </c>
      <c r="B6323" s="5" t="s">
        <v>7984</v>
      </c>
      <c r="C6323" s="5" t="str">
        <f>IFERROR(__xludf.DUMMYFUNCTION("GOOGLETRANSLATE(A6323,""en"",""hy"")"),"Ո՞րն է աշխարհի ամենամեծ անձրևային անտառը:")</f>
        <v>Ո՞րն է աշխարհի ամենամեծ անձրևային անտառը:</v>
      </c>
      <c r="D6323" s="6" t="str">
        <f>IFERROR(__xludf.DUMMYFUNCTION("GOOGLETRANSLATE(B6323,""en"",""hy"")"),"Ամազոնի անձրևային անտառը.")</f>
        <v>Ամազոնի անձրևային անտառը.</v>
      </c>
    </row>
    <row r="6324">
      <c r="A6324" s="5" t="s">
        <v>7614</v>
      </c>
      <c r="B6324" s="5" t="s">
        <v>7721</v>
      </c>
      <c r="C6324" s="5" t="str">
        <f>IFERROR(__xludf.DUMMYFUNCTION("GOOGLETRANSLATE(A6324,""en"",""hy"")"),"Ո՞րն է Ֆրանսիայի արժույթը:")</f>
        <v>Ո՞րն է Ֆրանսիայի արժույթը:</v>
      </c>
      <c r="D6324" s="6" t="str">
        <f>IFERROR(__xludf.DUMMYFUNCTION("GOOGLETRANSLATE(B6324,""en"",""hy"")"),"Ֆրանսիայի արժույթը եվրոն է։")</f>
        <v>Ֆրանսիայի արժույթը եվրոն է։</v>
      </c>
    </row>
    <row r="6325">
      <c r="A6325" s="5" t="s">
        <v>9068</v>
      </c>
      <c r="B6325" s="5" t="s">
        <v>7181</v>
      </c>
      <c r="C6325" s="5" t="str">
        <f>IFERROR(__xludf.DUMMYFUNCTION("GOOGLETRANSLATE(A6325,""en"",""hy"")"),"Ո՞ր երկիրն է հայտնի որպես Land Down Under:")</f>
        <v>Ո՞ր երկիրն է հայտնի որպես Land Down Under:</v>
      </c>
      <c r="D6325" s="6" t="str">
        <f>IFERROR(__xludf.DUMMYFUNCTION("GOOGLETRANSLATE(B6325,""en"",""hy"")"),"Ավստրալիա")</f>
        <v>Ավստրալիա</v>
      </c>
    </row>
    <row r="6326">
      <c r="A6326" s="5" t="s">
        <v>9069</v>
      </c>
      <c r="B6326" s="5" t="s">
        <v>8448</v>
      </c>
      <c r="C6326" s="5" t="str">
        <f>IFERROR(__xludf.DUMMYFUNCTION("GOOGLETRANSLATE(A6326,""en"",""hy"")"),"Ո՞վ է հայտնի որպես ժամանակակից կենսաբանության հայր:")</f>
        <v>Ո՞վ է հայտնի որպես ժամանակակից կենսաբանության հայր:</v>
      </c>
      <c r="D6326" s="6" t="str">
        <f>IFERROR(__xludf.DUMMYFUNCTION("GOOGLETRANSLATE(B6326,""en"",""hy"")"),"Չարլզ Դարվին")</f>
        <v>Չարլզ Դարվին</v>
      </c>
    </row>
    <row r="6327">
      <c r="A6327" s="5" t="s">
        <v>8127</v>
      </c>
      <c r="B6327" s="5" t="s">
        <v>6556</v>
      </c>
      <c r="C6327" s="5" t="str">
        <f>IFERROR(__xludf.DUMMYFUNCTION("GOOGLETRANSLATE(A6327,""en"",""hy"")"),"Ո՞րն է Ռուսաստանի պաշտոնական լեզուն:")</f>
        <v>Ո՞րն է Ռուսաստանի պաշտոնական լեզուն:</v>
      </c>
      <c r="D6327" s="6" t="str">
        <f>IFERROR(__xludf.DUMMYFUNCTION("GOOGLETRANSLATE(B6327,""en"",""hy"")"),"Ռուսաստանի պաշտոնական լեզուն ռուսերենն է։")</f>
        <v>Ռուսաստանի պաշտոնական լեզուն ռուսերենն է։</v>
      </c>
    </row>
    <row r="6328">
      <c r="A6328" s="5" t="s">
        <v>7508</v>
      </c>
      <c r="B6328" s="5" t="s">
        <v>7444</v>
      </c>
      <c r="C6328" s="5" t="str">
        <f>IFERROR(__xludf.DUMMYFUNCTION("GOOGLETRANSLATE(A6328,""en"",""hy"")"),"Ո՞վ է գրել վեպը 1984 թ.")</f>
        <v>Ո՞վ է գրել վեպը 1984 թ.</v>
      </c>
      <c r="D6328" s="6" t="str">
        <f>IFERROR(__xludf.DUMMYFUNCTION("GOOGLETRANSLATE(B6328,""en"",""hy"")"),"Ջորջ Օրուել.")</f>
        <v>Ջորջ Օրուել.</v>
      </c>
    </row>
    <row r="6329">
      <c r="A6329" s="5" t="s">
        <v>7489</v>
      </c>
      <c r="B6329" s="5" t="s">
        <v>249</v>
      </c>
      <c r="C6329" s="5" t="str">
        <f>IFERROR(__xludf.DUMMYFUNCTION("GOOGLETRANSLATE(A6329,""en"",""hy"")"),"Ո՞րն է աշխարհի ամենաբարձր շենքը:")</f>
        <v>Ո՞րն է աշխարհի ամենաբարձր շենքը:</v>
      </c>
      <c r="D6329" s="6" t="str">
        <f>IFERROR(__xludf.DUMMYFUNCTION("GOOGLETRANSLATE(B6329,""en"",""hy"")"),"Բուրջ Խալիֆա")</f>
        <v>Բուրջ Խալիֆա</v>
      </c>
    </row>
    <row r="6330">
      <c r="A6330" s="5" t="s">
        <v>7509</v>
      </c>
      <c r="B6330" s="5" t="s">
        <v>7684</v>
      </c>
      <c r="C6330" s="5" t="str">
        <f>IFERROR(__xludf.DUMMYFUNCTION("GOOGLETRANSLATE(A6330,""en"",""hy"")"),"Ո՞րն է արծաթի քիմիական նշանը:")</f>
        <v>Ո՞րն է արծաթի քիմիական նշանը:</v>
      </c>
      <c r="D6330" s="6" t="str">
        <f>IFERROR(__xludf.DUMMYFUNCTION("GOOGLETRANSLATE(B6330,""en"",""hy"")"),"Արծաթի քիմիական խորհրդանիշն է Ag.")</f>
        <v>Արծաթի քիմիական խորհրդանիշն է Ag.</v>
      </c>
    </row>
    <row r="6331">
      <c r="A6331" s="5" t="s">
        <v>7574</v>
      </c>
      <c r="B6331" s="5" t="s">
        <v>7525</v>
      </c>
      <c r="C6331" s="5" t="str">
        <f>IFERROR(__xludf.DUMMYFUNCTION("GOOGLETRANSLATE(A6331,""en"",""hy"")"),"Ո՞րն է Չինաստանի մայրաքաղաքը:")</f>
        <v>Ո՞րն է Չինաստանի մայրաքաղաքը:</v>
      </c>
      <c r="D6331" s="6" t="str">
        <f>IFERROR(__xludf.DUMMYFUNCTION("GOOGLETRANSLATE(B6331,""en"",""hy"")"),"Պեկին.")</f>
        <v>Պեկին.</v>
      </c>
    </row>
    <row r="6332">
      <c r="A6332" s="5" t="s">
        <v>9070</v>
      </c>
      <c r="B6332" s="5" t="s">
        <v>8038</v>
      </c>
      <c r="C6332" s="5" t="str">
        <f>IFERROR(__xludf.DUMMYFUNCTION("GOOGLETRANSLATE(A6332,""en"",""hy"")"),"Ո՞վ է ստեղծել թիվ 9 սիմֆոնիան հայտնի սիմֆոնիան:")</f>
        <v>Ո՞վ է ստեղծել թիվ 9 սիմֆոնիան հայտնի սիմֆոնիան:</v>
      </c>
      <c r="D6332" s="6" t="str">
        <f>IFERROR(__xludf.DUMMYFUNCTION("GOOGLETRANSLATE(B6332,""en"",""hy"")"),"Լյուդվիգ վան Բեթհովեն.")</f>
        <v>Լյուդվիգ վան Բեթհովեն.</v>
      </c>
    </row>
    <row r="6333">
      <c r="A6333" s="5" t="s">
        <v>8206</v>
      </c>
      <c r="B6333" s="5" t="s">
        <v>8600</v>
      </c>
      <c r="C6333" s="5" t="str">
        <f>IFERROR(__xludf.DUMMYFUNCTION("GOOGLETRANSLATE(A6333,""en"",""hy"")"),"Ո՞րն է Երկրի ամենամեծ մայրցամաքը:")</f>
        <v>Ո՞րն է Երկրի ամենամեծ մայրցամաքը:</v>
      </c>
      <c r="D6333" s="6" t="str">
        <f>IFERROR(__xludf.DUMMYFUNCTION("GOOGLETRANSLATE(B6333,""en"",""hy"")"),"Ասիա")</f>
        <v>Ասիա</v>
      </c>
    </row>
    <row r="6334">
      <c r="A6334" s="5" t="s">
        <v>7919</v>
      </c>
      <c r="B6334" s="5" t="s">
        <v>7556</v>
      </c>
      <c r="C6334" s="5" t="str">
        <f>IFERROR(__xludf.DUMMYFUNCTION("GOOGLETRANSLATE(A6334,""en"",""hy"")"),"Ո՞վ է հայտնաբերել հարաբերականության տեսությունը:")</f>
        <v>Ո՞վ է հայտնաբերել հարաբերականության տեսությունը:</v>
      </c>
      <c r="D6334" s="6" t="str">
        <f>IFERROR(__xludf.DUMMYFUNCTION("GOOGLETRANSLATE(B6334,""en"",""hy"")"),"Albert Einstein.")</f>
        <v>Albert Einstein.</v>
      </c>
    </row>
    <row r="6335">
      <c r="A6335" s="5" t="s">
        <v>8298</v>
      </c>
      <c r="B6335" s="5" t="s">
        <v>9071</v>
      </c>
      <c r="C6335" s="5" t="str">
        <f>IFERROR(__xludf.DUMMYFUNCTION("GOOGLETRANSLATE(A6335,""en"",""hy"")"),"Ո՞ր թվականին է փլվել Բեռլինի պատը:")</f>
        <v>Ո՞ր թվականին է փլվել Բեռլինի պատը:</v>
      </c>
      <c r="D6335" s="6" t="str">
        <f>IFERROR(__xludf.DUMMYFUNCTION("GOOGLETRANSLATE(B6335,""en"",""hy"")"),"Բեռլինի պատը փլվեց 1989թ.")</f>
        <v>Բեռլինի պատը փլվեց 1989թ.</v>
      </c>
    </row>
    <row r="6336">
      <c r="A6336" s="5" t="s">
        <v>8161</v>
      </c>
      <c r="B6336" s="5" t="s">
        <v>8162</v>
      </c>
      <c r="C6336" s="5" t="str">
        <f>IFERROR(__xludf.DUMMYFUNCTION("GOOGLETRANSLATE(A6336,""en"",""hy"")"),"Ո՞րն է Ճապոնիայի ազգային ծաղիկը:")</f>
        <v>Ո՞րն է Ճապոնիայի ազգային ծաղիկը:</v>
      </c>
      <c r="D6336" s="6" t="str">
        <f>IFERROR(__xludf.DUMMYFUNCTION("GOOGLETRANSLATE(B6336,""en"",""hy"")"),"Ճապոնիայի ազգային ծաղիկը բալի ծաղիկն է:")</f>
        <v>Ճապոնիայի ազգային ծաղիկը բալի ծաղիկն է:</v>
      </c>
    </row>
    <row r="6337">
      <c r="A6337" s="5" t="s">
        <v>9072</v>
      </c>
      <c r="B6337" s="5" t="s">
        <v>7745</v>
      </c>
      <c r="C6337" s="5" t="str">
        <f>IFERROR(__xludf.DUMMYFUNCTION("GOOGLETRANSLATE(A6337,""en"",""hy"")"),"Ո՞վ է նկարել «Հիշողության համառությունը»:")</f>
        <v>Ո՞վ է նկարել «Հիշողության համառությունը»:</v>
      </c>
      <c r="D6337" s="6" t="str">
        <f>IFERROR(__xludf.DUMMYFUNCTION("GOOGLETRANSLATE(B6337,""en"",""hy"")"),"Սալվադոր Դալի.")</f>
        <v>Սալվադոր Դալի.</v>
      </c>
    </row>
    <row r="6338">
      <c r="A6338" s="5" t="s">
        <v>9073</v>
      </c>
      <c r="B6338" s="5" t="s">
        <v>8538</v>
      </c>
      <c r="C6338" s="5" t="str">
        <f>IFERROR(__xludf.DUMMYFUNCTION("GOOGLETRANSLATE(A6338,""en"",""hy"")"),"Ո՞րն է Միջերկրական ծովի ամենամեծ կղզին:")</f>
        <v>Ո՞րն է Միջերկրական ծովի ամենամեծ կղզին:</v>
      </c>
      <c r="D6338" s="6" t="str">
        <f>IFERROR(__xludf.DUMMYFUNCTION("GOOGLETRANSLATE(B6338,""en"",""hy"")"),"Սիցիլիա.")</f>
        <v>Սիցիլիա.</v>
      </c>
    </row>
    <row r="6339">
      <c r="A6339" s="5" t="s">
        <v>7908</v>
      </c>
      <c r="B6339" s="5" t="s">
        <v>7909</v>
      </c>
      <c r="C6339" s="5" t="str">
        <f>IFERROR(__xludf.DUMMYFUNCTION("GOOGLETRANSLATE(A6339,""en"",""hy"")"),"Ո՞րն է Իտալիայի արժույթը:")</f>
        <v>Ո՞րն է Իտալիայի արժույթը:</v>
      </c>
      <c r="D6339" s="6" t="str">
        <f>IFERROR(__xludf.DUMMYFUNCTION("GOOGLETRANSLATE(B6339,""en"",""hy"")"),"Իտալիայի արժույթը եվրոն է։")</f>
        <v>Իտալիայի արժույթը եվրոն է։</v>
      </c>
    </row>
    <row r="6340">
      <c r="A6340" s="5" t="s">
        <v>8311</v>
      </c>
      <c r="B6340" s="5" t="s">
        <v>7951</v>
      </c>
      <c r="C6340" s="5" t="str">
        <f>IFERROR(__xludf.DUMMYFUNCTION("GOOGLETRANSLATE(A6340,""en"",""hy"")"),"Ո՞ր մոլորակն է հայտնի որպես Կապույտ մոլորակ:")</f>
        <v>Ո՞ր մոլորակն է հայտնի որպես Կապույտ մոլորակ:</v>
      </c>
      <c r="D6340" s="6" t="str">
        <f>IFERROR(__xludf.DUMMYFUNCTION("GOOGLETRANSLATE(B6340,""en"",""hy"")"),"Երկիր")</f>
        <v>Երկիր</v>
      </c>
    </row>
    <row r="6341">
      <c r="A6341" s="5" t="s">
        <v>9074</v>
      </c>
      <c r="B6341" s="5" t="s">
        <v>9075</v>
      </c>
      <c r="C6341" s="5" t="str">
        <f>IFERROR(__xludf.DUMMYFUNCTION("GOOGLETRANSLATE(A6341,""en"",""hy"")"),"Ո՞վ է հայտնի որպես ժամանակակից սոցիոլոգիայի հայր:")</f>
        <v>Ո՞վ է հայտնի որպես ժամանակակից սոցիոլոգիայի հայր:</v>
      </c>
      <c r="D6341" s="6" t="str">
        <f>IFERROR(__xludf.DUMMYFUNCTION("GOOGLETRANSLATE(B6341,""en"",""hy"")"),"Էմիլ Դյուրկհեյմ")</f>
        <v>Էմիլ Դյուրկհեյմ</v>
      </c>
    </row>
    <row r="6342">
      <c r="A6342" s="5" t="s">
        <v>8144</v>
      </c>
      <c r="B6342" s="5" t="s">
        <v>2267</v>
      </c>
      <c r="C6342" s="5" t="str">
        <f>IFERROR(__xludf.DUMMYFUNCTION("GOOGLETRANSLATE(A6342,""en"",""hy"")"),"Ո՞րն է Իսպանիայի պաշտոնական լեզուն:")</f>
        <v>Ո՞րն է Իսպանիայի պաշտոնական լեզուն:</v>
      </c>
      <c r="D6342" s="6" t="str">
        <f>IFERROR(__xludf.DUMMYFUNCTION("GOOGLETRANSLATE(B6342,""en"",""hy"")"),"իսպաներեն.")</f>
        <v>իսպաներեն.</v>
      </c>
    </row>
    <row r="6343">
      <c r="A6343" s="5" t="s">
        <v>7612</v>
      </c>
      <c r="B6343" s="5" t="s">
        <v>7613</v>
      </c>
      <c r="C6343" s="5" t="str">
        <f>IFERROR(__xludf.DUMMYFUNCTION("GOOGLETRANSLATE(A6343,""en"",""hy"")"),"Ո՞վ է գրել «Մեծն Գեթսբի» վեպը:")</f>
        <v>Ո՞վ է գրել «Մեծն Գեթսբի» վեպը:</v>
      </c>
      <c r="D6343" s="6" t="str">
        <f>IFERROR(__xludf.DUMMYFUNCTION("GOOGLETRANSLATE(B6343,""en"",""hy"")"),"F. Scott Fitzgerald")</f>
        <v>F. Scott Fitzgerald</v>
      </c>
    </row>
    <row r="6344">
      <c r="A6344" s="5" t="s">
        <v>8172</v>
      </c>
      <c r="B6344" s="5" t="s">
        <v>7733</v>
      </c>
      <c r="C6344" s="5" t="str">
        <f>IFERROR(__xludf.DUMMYFUNCTION("GOOGLETRANSLATE(A6344,""en"",""hy"")"),"Ո՞րն է աշխարհի ամենաբարձր ջրվեժը:")</f>
        <v>Ո՞րն է աշխարհի ամենաբարձր ջրվեժը:</v>
      </c>
      <c r="D6344" s="6" t="str">
        <f>IFERROR(__xludf.DUMMYFUNCTION("GOOGLETRANSLATE(B6344,""en"",""hy"")"),"Angel Falls.")</f>
        <v>Angel Falls.</v>
      </c>
    </row>
    <row r="6345">
      <c r="A6345" s="5" t="s">
        <v>7699</v>
      </c>
      <c r="B6345" s="5" t="s">
        <v>8615</v>
      </c>
      <c r="C6345" s="5" t="str">
        <f>IFERROR(__xludf.DUMMYFUNCTION("GOOGLETRANSLATE(A6345,""en"",""hy"")"),"Ո՞րն է ածխածնի քիմիական նշանը:")</f>
        <v>Ո՞րն է ածխածնի քիմիական նշանը:</v>
      </c>
      <c r="D6345" s="6" t="str">
        <f>IFERROR(__xludf.DUMMYFUNCTION("GOOGLETRANSLATE(B6345,""en"",""hy"")"),"Գ")</f>
        <v>Գ</v>
      </c>
    </row>
    <row r="6346">
      <c r="A6346" s="5" t="s">
        <v>9076</v>
      </c>
      <c r="B6346" s="5" t="s">
        <v>7474</v>
      </c>
      <c r="C6346" s="5" t="str">
        <f>IFERROR(__xludf.DUMMYFUNCTION("GOOGLETRANSLATE(A6346,""en"",""hy"")"),"Ո՞վ է նկարել Ադամի արարումը:")</f>
        <v>Ո՞վ է նկարել Ադամի արարումը:</v>
      </c>
      <c r="D6346" s="6" t="str">
        <f>IFERROR(__xludf.DUMMYFUNCTION("GOOGLETRANSLATE(B6346,""en"",""hy"")"),"Միքելանջելո.")</f>
        <v>Միքելանջելո.</v>
      </c>
    </row>
    <row r="6347">
      <c r="A6347" s="5" t="s">
        <v>8450</v>
      </c>
      <c r="B6347" s="5" t="s">
        <v>7824</v>
      </c>
      <c r="C6347" s="5" t="str">
        <f>IFERROR(__xludf.DUMMYFUNCTION("GOOGLETRANSLATE(A6347,""en"",""hy"")"),"Ո՞ր երկիրն է հայտնի որպես Կրակի և Սառույցի երկիր:")</f>
        <v>Ո՞ր երկիրն է հայտնի որպես Կրակի և Սառույցի երկիր:</v>
      </c>
      <c r="D6347" s="6" t="str">
        <f>IFERROR(__xludf.DUMMYFUNCTION("GOOGLETRANSLATE(B6347,""en"",""hy"")"),"Իսլանդիա.")</f>
        <v>Իսլանդիա.</v>
      </c>
    </row>
    <row r="6348">
      <c r="A6348" s="5" t="s">
        <v>7572</v>
      </c>
      <c r="B6348" s="5" t="s">
        <v>7573</v>
      </c>
      <c r="C6348" s="5" t="str">
        <f>IFERROR(__xludf.DUMMYFUNCTION("GOOGLETRANSLATE(A6348,""en"",""hy"")"),"Ո՞վ է հորինել լամպը:")</f>
        <v>Ո՞վ է հորինել լամպը:</v>
      </c>
      <c r="D6348" s="6" t="str">
        <f>IFERROR(__xludf.DUMMYFUNCTION("GOOGLETRANSLATE(B6348,""en"",""hy"")"),"Թոմաս Էդիսոն.")</f>
        <v>Թոմաս Էդիսոն.</v>
      </c>
    </row>
    <row r="6349">
      <c r="A6349" s="5" t="s">
        <v>7450</v>
      </c>
      <c r="B6349" s="5" t="s">
        <v>7451</v>
      </c>
      <c r="C6349" s="5" t="str">
        <f>IFERROR(__xludf.DUMMYFUNCTION("GOOGLETRANSLATE(A6349,""en"",""hy"")"),"Ո՞րն է Ավստրալիայի մայրաքաղաքը:")</f>
        <v>Ո՞րն է Ավստրալիայի մայրաքաղաքը:</v>
      </c>
      <c r="D6349" s="6" t="str">
        <f>IFERROR(__xludf.DUMMYFUNCTION("GOOGLETRANSLATE(B6349,""en"",""hy"")"),"Կանբերա.")</f>
        <v>Կանբերա.</v>
      </c>
    </row>
    <row r="6350">
      <c r="A6350" s="5" t="s">
        <v>8328</v>
      </c>
      <c r="B6350" s="5" t="s">
        <v>9077</v>
      </c>
      <c r="C6350" s="5" t="str">
        <f>IFERROR(__xludf.DUMMYFUNCTION("GOOGLETRANSLATE(A6350,""en"",""hy"")"),"Ո՞րն է Երկրի ամենափոքր օվկիանոսը:")</f>
        <v>Ո՞րն է Երկրի ամենափոքր օվկիանոսը:</v>
      </c>
      <c r="D6350" s="6" t="str">
        <f>IFERROR(__xludf.DUMMYFUNCTION("GOOGLETRANSLATE(B6350,""en"",""hy"")"),"Երկրի ամենափոքր օվկիանոսը Հյուսիսային Սառուցյալ օվկիանոսն է:")</f>
        <v>Երկրի ամենափոքր օվկիանոսը Հյուսիսային Սառուցյալ օվկիանոսն է:</v>
      </c>
    </row>
    <row r="6351">
      <c r="A6351" s="5" t="s">
        <v>7579</v>
      </c>
      <c r="B6351" s="5" t="s">
        <v>7580</v>
      </c>
      <c r="C6351" s="5" t="str">
        <f>IFERROR(__xludf.DUMMYFUNCTION("GOOGLETRANSLATE(A6351,""en"",""hy"")"),"Ո՞րն է Գերմանիայի արժույթը:")</f>
        <v>Ո՞րն է Գերմանիայի արժույթը:</v>
      </c>
      <c r="D6351" s="6" t="str">
        <f>IFERROR(__xludf.DUMMYFUNCTION("GOOGLETRANSLATE(B6351,""en"",""hy"")"),"Գերմանիայի արժույթը եվրոն է։")</f>
        <v>Գերմանիայի արժույթը եվրոն է։</v>
      </c>
    </row>
    <row r="6352">
      <c r="A6352" s="5" t="s">
        <v>9078</v>
      </c>
      <c r="B6352" s="5" t="s">
        <v>9079</v>
      </c>
      <c r="C6352" s="5" t="str">
        <f>IFERROR(__xludf.DUMMYFUNCTION("GOOGLETRANSLATE(A6352,""en"",""hy"")"),"Ո՞վ է հայտնի որպես ժամանակակից բժշկության հայր:")</f>
        <v>Ո՞վ է հայտնի որպես ժամանակակից բժշկության հայր:</v>
      </c>
      <c r="D6352" s="6" t="str">
        <f>IFERROR(__xludf.DUMMYFUNCTION("GOOGLETRANSLATE(B6352,""en"",""hy"")"),"Հիպոկրատ.")</f>
        <v>Հիպոկրատ.</v>
      </c>
    </row>
    <row r="6353">
      <c r="A6353" s="5" t="s">
        <v>9080</v>
      </c>
      <c r="B6353" s="5" t="s">
        <v>7938</v>
      </c>
      <c r="C6353" s="5" t="str">
        <f>IFERROR(__xludf.DUMMYFUNCTION("GOOGLETRANSLATE(A6353,""en"",""hy"")"),"Ո՞րն է Ճապոնիայում խոսվող հիմնական լեզուն:")</f>
        <v>Ո՞րն է Ճապոնիայում խոսվող հիմնական լեզուն:</v>
      </c>
      <c r="D6353" s="6" t="str">
        <f>IFERROR(__xludf.DUMMYFUNCTION("GOOGLETRANSLATE(B6353,""en"",""hy"")"),"ճապոներեն.")</f>
        <v>ճապոներեն.</v>
      </c>
    </row>
    <row r="6354">
      <c r="A6354" s="5" t="s">
        <v>7521</v>
      </c>
      <c r="B6354" s="5" t="s">
        <v>1016</v>
      </c>
      <c r="C6354" s="5" t="str">
        <f>IFERROR(__xludf.DUMMYFUNCTION("GOOGLETRANSLATE(A6354,""en"",""hy"")"),"Ո՞վ է գրել Համլետ պիեսը:")</f>
        <v>Ո՞վ է գրել Համլետ պիեսը:</v>
      </c>
      <c r="D6354" s="6" t="str">
        <f>IFERROR(__xludf.DUMMYFUNCTION("GOOGLETRANSLATE(B6354,""en"",""hy"")"),"Ուիլյամ Շեքսպիր.")</f>
        <v>Ուիլյամ Շեքսպիր.</v>
      </c>
    </row>
    <row r="6355">
      <c r="A6355" s="5" t="s">
        <v>8023</v>
      </c>
      <c r="B6355" s="5" t="s">
        <v>8024</v>
      </c>
      <c r="C6355" s="5" t="str">
        <f>IFERROR(__xludf.DUMMYFUNCTION("GOOGLETRANSLATE(A6355,""en"",""hy"")"),"Ո՞րն է աշխարհի ամենաբարձր կենդանին:")</f>
        <v>Ո՞րն է աշխարհի ամենաբարձր կենդանին:</v>
      </c>
      <c r="D6355" s="6" t="str">
        <f>IFERROR(__xludf.DUMMYFUNCTION("GOOGLETRANSLATE(B6355,""en"",""hy"")"),"Ընձուղտը.")</f>
        <v>Ընձուղտը.</v>
      </c>
    </row>
    <row r="6356">
      <c r="A6356" s="5" t="s">
        <v>7665</v>
      </c>
      <c r="B6356" s="5" t="s">
        <v>7781</v>
      </c>
      <c r="C6356" s="5" t="str">
        <f>IFERROR(__xludf.DUMMYFUNCTION("GOOGLETRANSLATE(A6356,""en"",""hy"")"),"Ո՞րն է նատրիումի քիմիական նշանը:")</f>
        <v>Ո՞րն է նատրիումի քիմիական նշանը:</v>
      </c>
      <c r="D6356" s="6" t="str">
        <f>IFERROR(__xludf.DUMMYFUNCTION("GOOGLETRANSLATE(B6356,""en"",""hy"")"),"Նատրիումի քիմիական նշանը Na է:")</f>
        <v>Նատրիումի քիմիական նշանը Na է:</v>
      </c>
    </row>
    <row r="6357">
      <c r="A6357" s="5" t="s">
        <v>8197</v>
      </c>
      <c r="B6357" s="5" t="s">
        <v>7710</v>
      </c>
      <c r="C6357" s="5" t="str">
        <f>IFERROR(__xludf.DUMMYFUNCTION("GOOGLETRANSLATE(A6357,""en"",""hy"")"),"Ո՞վ է նկարել Գերնիկան:")</f>
        <v>Ո՞վ է նկարել Գերնիկան:</v>
      </c>
      <c r="D6357" s="6" t="str">
        <f>IFERROR(__xludf.DUMMYFUNCTION("GOOGLETRANSLATE(B6357,""en"",""hy"")"),"Պաբլո Պիկասո.")</f>
        <v>Պաբլո Պիկասո.</v>
      </c>
    </row>
    <row r="6358">
      <c r="A6358" s="5" t="s">
        <v>7599</v>
      </c>
      <c r="B6358" s="5" t="s">
        <v>7600</v>
      </c>
      <c r="C6358" s="5" t="str">
        <f>IFERROR(__xludf.DUMMYFUNCTION("GOOGLETRANSLATE(A6358,""en"",""hy"")"),"Ո՞րն է աշխարհի ամենամեծ լիճը:")</f>
        <v>Ո՞րն է աշխարհի ամենամեծ լիճը:</v>
      </c>
      <c r="D6358" s="6" t="str">
        <f>IFERROR(__xludf.DUMMYFUNCTION("GOOGLETRANSLATE(B6358,""en"",""hy"")"),"Աշխարհի ամենամեծ լիճը Կասպից ծովն է։")</f>
        <v>Աշխարհի ամենամեծ լիճը Կասպից ծովն է։</v>
      </c>
    </row>
    <row r="6359">
      <c r="A6359" s="5" t="s">
        <v>7542</v>
      </c>
      <c r="B6359" s="5" t="s">
        <v>7543</v>
      </c>
      <c r="C6359" s="5" t="str">
        <f>IFERROR(__xludf.DUMMYFUNCTION("GOOGLETRANSLATE(A6359,""en"",""hy"")"),"Ո՞րն է Կանադայի արժույթը:")</f>
        <v>Ո՞րն է Կանադայի արժույթը:</v>
      </c>
      <c r="D6359" s="6" t="str">
        <f>IFERROR(__xludf.DUMMYFUNCTION("GOOGLETRANSLATE(B6359,""en"",""hy"")"),"Կանադայի արժույթը կանադական դոլարն է։")</f>
        <v>Կանադայի արժույթը կանադական դոլարն է։</v>
      </c>
    </row>
    <row r="6360">
      <c r="A6360" s="5" t="s">
        <v>9081</v>
      </c>
      <c r="B6360" s="5" t="s">
        <v>7816</v>
      </c>
      <c r="C6360" s="5" t="str">
        <f>IFERROR(__xludf.DUMMYFUNCTION("GOOGLETRANSLATE(A6360,""en"",""hy"")"),"Ո՞ր երկիրն է հայտնի որպես ժպիտների երկիր:")</f>
        <v>Ո՞ր երկիրն է հայտնի որպես ժպիտների երկիր:</v>
      </c>
      <c r="D6360" s="6" t="str">
        <f>IFERROR(__xludf.DUMMYFUNCTION("GOOGLETRANSLATE(B6360,""en"",""hy"")"),"Թաիլանդ.")</f>
        <v>Թաիլանդ.</v>
      </c>
    </row>
    <row r="6361">
      <c r="A6361" s="5" t="s">
        <v>9082</v>
      </c>
      <c r="B6361" s="5" t="s">
        <v>9083</v>
      </c>
      <c r="C6361" s="5" t="str">
        <f>IFERROR(__xludf.DUMMYFUNCTION("GOOGLETRANSLATE(A6361,""en"",""hy"")"),"Ո՞վ է հայտնի որպես ժամանակակից փիլիսոփայության հայր:")</f>
        <v>Ո՞վ է հայտնի որպես ժամանակակից փիլիսոփայության հայր:</v>
      </c>
      <c r="D6361" s="6" t="str">
        <f>IFERROR(__xludf.DUMMYFUNCTION("GOOGLETRANSLATE(B6361,""en"",""hy"")"),"Ռենե Դեկարտը հայտնի է որպես ժամանակակից փիլիսոփայության հայր։")</f>
        <v>Ռենե Դեկարտը հայտնի է որպես ժամանակակից փիլիսոփայության հայր։</v>
      </c>
    </row>
    <row r="6362">
      <c r="A6362" s="5" t="s">
        <v>8750</v>
      </c>
      <c r="B6362" s="5" t="s">
        <v>3894</v>
      </c>
      <c r="C6362" s="5" t="str">
        <f>IFERROR(__xludf.DUMMYFUNCTION("GOOGLETRANSLATE(A6362,""en"",""hy"")"),"Ո՞րն է Իտալիայի պաշտոնական լեզուն:")</f>
        <v>Ո՞րն է Իտալիայի պաշտոնական լեզուն:</v>
      </c>
      <c r="D6362" s="6" t="str">
        <f>IFERROR(__xludf.DUMMYFUNCTION("GOOGLETRANSLATE(B6362,""en"",""hy"")"),"Իտալական.")</f>
        <v>Իտալական.</v>
      </c>
    </row>
    <row r="6363">
      <c r="A6363" s="5" t="s">
        <v>8553</v>
      </c>
      <c r="B6363" s="5" t="s">
        <v>8485</v>
      </c>
      <c r="C6363" s="5" t="str">
        <f>IFERROR(__xludf.DUMMYFUNCTION("GOOGLETRANSLATE(A6363,""en"",""hy"")"),"Ո՞վ է գրել «Պատերազմ և խաղաղություն» վեպը:")</f>
        <v>Ո՞վ է գրել «Պատերազմ և խաղաղություն» վեպը:</v>
      </c>
      <c r="D6363" s="6" t="str">
        <f>IFERROR(__xludf.DUMMYFUNCTION("GOOGLETRANSLATE(B6363,""en"",""hy"")"),"Լև Տոլստոյ.")</f>
        <v>Լև Տոլստոյ.</v>
      </c>
    </row>
    <row r="6364">
      <c r="A6364" s="5" t="s">
        <v>9084</v>
      </c>
      <c r="B6364" s="5" t="s">
        <v>9085</v>
      </c>
      <c r="C6364" s="5" t="str">
        <f>IFERROR(__xludf.DUMMYFUNCTION("GOOGLETRANSLATE(A6364,""en"",""hy"")"),"Ո՞րն է աշխարհի ամենաերկար երկաթուղային թունելը:")</f>
        <v>Ո՞րն է աշխարհի ամենաերկար երկաթուղային թունելը:</v>
      </c>
      <c r="D6364" s="6" t="str">
        <f>IFERROR(__xludf.DUMMYFUNCTION("GOOGLETRANSLATE(B6364,""en"",""hy"")"),"Աշխարհի ամենաերկար երկաթուղային թունելը Շվեյցարիայում գտնվող Գոթարդի բազայի թունելն է:")</f>
        <v>Աշխարհի ամենաերկար երկաթուղային թունելը Շվեյցարիայում գտնվող Գոթարդի բազայի թունելն է:</v>
      </c>
    </row>
    <row r="6365">
      <c r="A6365" s="5" t="s">
        <v>7893</v>
      </c>
      <c r="B6365" s="5" t="s">
        <v>8657</v>
      </c>
      <c r="C6365" s="5" t="str">
        <f>IFERROR(__xludf.DUMMYFUNCTION("GOOGLETRANSLATE(A6365,""en"",""hy"")"),"Ո՞րն է կալիումի քիմիական նշանը:")</f>
        <v>Ո՞րն է կալիումի քիմիական նշանը:</v>
      </c>
      <c r="D6365" s="6" t="str">
        <f>IFERROR(__xludf.DUMMYFUNCTION("GOOGLETRANSLATE(B6365,""en"",""hy"")"),"Կալիումի քիմիական նշանն է «K»:")</f>
        <v>Կալիումի քիմիական նշանն է «K»:</v>
      </c>
    </row>
    <row r="6366">
      <c r="A6366" s="5" t="s">
        <v>9086</v>
      </c>
      <c r="B6366" s="5" t="s">
        <v>7549</v>
      </c>
      <c r="C6366" s="5" t="str">
        <f>IFERROR(__xludf.DUMMYFUNCTION("GOOGLETRANSLATE(A6366,""en"",""hy"")"),"Ո՞վ է նկարել «Մարգարտյա ականջօղով աղջիկը»:")</f>
        <v>Ո՞վ է նկարել «Մարգարտյա ականջօղով աղջիկը»:</v>
      </c>
      <c r="D6366" s="6" t="str">
        <f>IFERROR(__xludf.DUMMYFUNCTION("GOOGLETRANSLATE(B6366,""en"",""hy"")"),"Յոհաննես Վերմեեր.")</f>
        <v>Յոհաննես Վերմեեր.</v>
      </c>
    </row>
    <row r="6367">
      <c r="A6367" s="5" t="s">
        <v>9087</v>
      </c>
      <c r="B6367" s="5" t="s">
        <v>9088</v>
      </c>
      <c r="C6367" s="5" t="str">
        <f>IFERROR(__xludf.DUMMYFUNCTION("GOOGLETRANSLATE(A6367,""en"",""hy"")"),"Ո՞ր երկիրն է հայտնի որպես Հազար լճերի երկիր:")</f>
        <v>Ո՞ր երկիրն է հայտնի որպես Հազար լճերի երկիր:</v>
      </c>
      <c r="D6367" s="6" t="str">
        <f>IFERROR(__xludf.DUMMYFUNCTION("GOOGLETRANSLATE(B6367,""en"",""hy"")"),"Ֆինլանդիա")</f>
        <v>Ֆինլանդիա</v>
      </c>
    </row>
    <row r="6368">
      <c r="A6368" s="5" t="s">
        <v>9089</v>
      </c>
      <c r="B6368" s="5" t="s">
        <v>9090</v>
      </c>
      <c r="C6368" s="5" t="str">
        <f>IFERROR(__xludf.DUMMYFUNCTION("GOOGLETRANSLATE(A6368,""en"",""hy"")"),"Ո՞վ է հորինել հաշվարկը:")</f>
        <v>Ո՞վ է հորինել հաշվարկը:</v>
      </c>
      <c r="D6368" s="6" t="str">
        <f>IFERROR(__xludf.DUMMYFUNCTION("GOOGLETRANSLATE(B6368,""en"",""hy"")"),"Սըր Իսահակ Նյուտոնը և Գոթֆրիդ Վիլհելմ Լայբնիցը երկուսն էլ վերագրվում են հաշվարկի անկախ հորինմանը:")</f>
        <v>Սըր Իսահակ Նյուտոնը և Գոթֆրիդ Վիլհելմ Լայբնիցը երկուսն էլ վերագրվում են հաշվարկի անկախ հորինմանը:</v>
      </c>
    </row>
    <row r="6369">
      <c r="A6369" s="5" t="s">
        <v>7626</v>
      </c>
      <c r="B6369" s="5" t="s">
        <v>8066</v>
      </c>
      <c r="C6369" s="5" t="str">
        <f>IFERROR(__xludf.DUMMYFUNCTION("GOOGLETRANSLATE(A6369,""en"",""hy"")"),"Ո՞րն է Գերմանիայի մայրաքաղաքը:")</f>
        <v>Ո՞րն է Գերմանիայի մայրաքաղաքը:</v>
      </c>
      <c r="D6369" s="6" t="str">
        <f>IFERROR(__xludf.DUMMYFUNCTION("GOOGLETRANSLATE(B6369,""en"",""hy"")"),"Բեռլին.")</f>
        <v>Բեռլին.</v>
      </c>
    </row>
    <row r="6370">
      <c r="A6370" s="5" t="s">
        <v>7850</v>
      </c>
      <c r="B6370" s="5" t="s">
        <v>8301</v>
      </c>
      <c r="C6370" s="5" t="str">
        <f>IFERROR(__xludf.DUMMYFUNCTION("GOOGLETRANSLATE(A6370,""en"",""hy"")"),"Ո՞րն է մեր արեգակնային համակարգի ամենափոքր մոլորակը:")</f>
        <v>Ո՞րն է մեր արեգակնային համակարգի ամենափոքր մոլորակը:</v>
      </c>
      <c r="D6370" s="6" t="str">
        <f>IFERROR(__xludf.DUMMYFUNCTION("GOOGLETRANSLATE(B6370,""en"",""hy"")"),"Մերկուրի.")</f>
        <v>Մերկուրի.</v>
      </c>
    </row>
    <row r="6371">
      <c r="A6371" s="5" t="s">
        <v>7706</v>
      </c>
      <c r="B6371" s="5" t="s">
        <v>8148</v>
      </c>
      <c r="C6371" s="5" t="str">
        <f>IFERROR(__xludf.DUMMYFUNCTION("GOOGLETRANSLATE(A6371,""en"",""hy"")"),"Ո՞րն է Միացյալ Թագավորության արժույթը:")</f>
        <v>Ո՞րն է Միացյալ Թագավորության արժույթը:</v>
      </c>
      <c r="D6371" s="6" t="str">
        <f>IFERROR(__xludf.DUMMYFUNCTION("GOOGLETRANSLATE(B6371,""en"",""hy"")"),"Միացյալ Թագավորության արժույթը բրիտանական ֆունտն է (GBP):")</f>
        <v>Միացյալ Թագավորության արժույթը բրիտանական ֆունտն է (GBP):</v>
      </c>
    </row>
    <row r="6372">
      <c r="A6372" s="5" t="s">
        <v>9091</v>
      </c>
      <c r="B6372" s="5" t="s">
        <v>9092</v>
      </c>
      <c r="C6372" s="5" t="str">
        <f>IFERROR(__xludf.DUMMYFUNCTION("GOOGLETRANSLATE(A6372,""en"",""hy"")"),"Ո՞վ է հայտնի որպես ժամանակակից մարդաբանության հայր:")</f>
        <v>Ո՞վ է հայտնի որպես ժամանակակից մարդաբանության հայր:</v>
      </c>
      <c r="D6372" s="6" t="str">
        <f>IFERROR(__xludf.DUMMYFUNCTION("GOOGLETRANSLATE(B6372,""en"",""hy"")"),"Ֆրանց Բոաշ")</f>
        <v>Ֆրանց Բոաշ</v>
      </c>
    </row>
    <row r="6373">
      <c r="A6373" s="5" t="s">
        <v>8807</v>
      </c>
      <c r="B6373" s="5" t="s">
        <v>2267</v>
      </c>
      <c r="C6373" s="5" t="str">
        <f>IFERROR(__xludf.DUMMYFUNCTION("GOOGLETRANSLATE(A6373,""en"",""hy"")"),"Ո՞րն է Մեքսիկայում խոսվող հիմնական լեզուն:")</f>
        <v>Ո՞րն է Մեքսիկայում խոսվող հիմնական լեզուն:</v>
      </c>
      <c r="D6373" s="6" t="str">
        <f>IFERROR(__xludf.DUMMYFUNCTION("GOOGLETRANSLATE(B6373,""en"",""hy"")"),"իսպաներեն.")</f>
        <v>իսպաներեն.</v>
      </c>
    </row>
    <row r="6374">
      <c r="A6374" s="5" t="s">
        <v>7594</v>
      </c>
      <c r="B6374" s="5" t="s">
        <v>1016</v>
      </c>
      <c r="C6374" s="5" t="str">
        <f>IFERROR(__xludf.DUMMYFUNCTION("GOOGLETRANSLATE(A6374,""en"",""hy"")"),"Ո՞վ է գրել «Մակբեթ» պիեսը:")</f>
        <v>Ո՞վ է գրել «Մակբեթ» պիեսը:</v>
      </c>
      <c r="D6374" s="6" t="str">
        <f>IFERROR(__xludf.DUMMYFUNCTION("GOOGLETRANSLATE(B6374,""en"",""hy"")"),"Ուիլյամ Շեքսպիր.")</f>
        <v>Ուիլյամ Շեքսպիր.</v>
      </c>
    </row>
    <row r="6375">
      <c r="A6375" s="5" t="s">
        <v>8075</v>
      </c>
      <c r="B6375" s="5" t="s">
        <v>8076</v>
      </c>
      <c r="C6375" s="5" t="str">
        <f>IFERROR(__xludf.DUMMYFUNCTION("GOOGLETRANSLATE(A6375,""en"",""hy"")"),"Ո՞րն է աշխարհի ամենամեծ հրաբուխը:")</f>
        <v>Ո՞րն է աշխարհի ամենամեծ հրաբուխը:</v>
      </c>
      <c r="D6375" s="6" t="str">
        <f>IFERROR(__xludf.DUMMYFUNCTION("GOOGLETRANSLATE(B6375,""en"",""hy"")"),"Մաունա Լոա.")</f>
        <v>Մաունա Լոա.</v>
      </c>
    </row>
    <row r="6376">
      <c r="A6376" s="5" t="s">
        <v>7875</v>
      </c>
      <c r="B6376" s="5" t="s">
        <v>7876</v>
      </c>
      <c r="C6376" s="5" t="str">
        <f>IFERROR(__xludf.DUMMYFUNCTION("GOOGLETRANSLATE(A6376,""en"",""hy"")"),"Ո՞րն է ազոտի քիմիական նշանը:")</f>
        <v>Ո՞րն է ազոտի քիմիական նշանը:</v>
      </c>
      <c r="D6376" s="6" t="str">
        <f>IFERROR(__xludf.DUMMYFUNCTION("GOOGLETRANSLATE(B6376,""en"",""hy"")"),"Ազոտի քիմիական նշանն է N.")</f>
        <v>Ազոտի քիմիական նշանն է N.</v>
      </c>
    </row>
    <row r="6377">
      <c r="A6377" s="5" t="s">
        <v>9093</v>
      </c>
      <c r="B6377" s="5" t="s">
        <v>7621</v>
      </c>
      <c r="C6377" s="5" t="str">
        <f>IFERROR(__xludf.DUMMYFUNCTION("GOOGLETRANSLATE(A6377,""en"",""hy"")"),"Ո՞վ է նկարել Վեներայի ծնունդը:")</f>
        <v>Ո՞վ է նկարել Վեներայի ծնունդը:</v>
      </c>
      <c r="D6377" s="6" t="str">
        <f>IFERROR(__xludf.DUMMYFUNCTION("GOOGLETRANSLATE(B6377,""en"",""hy"")"),"Սանդրո Բոտիչելի.")</f>
        <v>Սանդրո Բոտիչելի.</v>
      </c>
    </row>
    <row r="6378">
      <c r="A6378" s="5" t="s">
        <v>9094</v>
      </c>
      <c r="B6378" s="5" t="s">
        <v>9095</v>
      </c>
      <c r="C6378" s="5" t="str">
        <f>IFERROR(__xludf.DUMMYFUNCTION("GOOGLETRANSLATE(A6378,""en"",""hy"")"),"Ո՞ր երկիրն է հայտնի որպես Ծագող վիշապի երկիր:")</f>
        <v>Ո՞ր երկիրն է հայտնի որպես Ծագող վիշապի երկիր:</v>
      </c>
      <c r="D6378" s="6" t="str">
        <f>IFERROR(__xludf.DUMMYFUNCTION("GOOGLETRANSLATE(B6378,""en"",""hy"")"),"Վիետնամ.")</f>
        <v>Վիետնամ.</v>
      </c>
    </row>
    <row r="6379">
      <c r="A6379" s="5" t="s">
        <v>7807</v>
      </c>
      <c r="B6379" s="5" t="s">
        <v>7808</v>
      </c>
      <c r="C6379" s="5" t="str">
        <f>IFERROR(__xludf.DUMMYFUNCTION("GOOGLETRANSLATE(A6379,""en"",""hy"")"),"Ո՞վ է հորինել տպագրական մեքենան:")</f>
        <v>Ո՞վ է հորինել տպագրական մեքենան:</v>
      </c>
      <c r="D6379" s="6" t="str">
        <f>IFERROR(__xludf.DUMMYFUNCTION("GOOGLETRANSLATE(B6379,""en"",""hy"")"),"Յոհաննես Գուտենբերգ.")</f>
        <v>Յոհաննես Գուտենբերգ.</v>
      </c>
    </row>
    <row r="6380">
      <c r="A6380" s="5" t="s">
        <v>7500</v>
      </c>
      <c r="B6380" s="5" t="s">
        <v>7501</v>
      </c>
      <c r="C6380" s="5" t="str">
        <f>IFERROR(__xludf.DUMMYFUNCTION("GOOGLETRANSLATE(A6380,""en"",""hy"")"),"Ո՞րն է Ֆրանսիայի մայրաքաղաքը:")</f>
        <v>Ո՞րն է Ֆրանսիայի մայրաքաղաքը:</v>
      </c>
      <c r="D6380" s="6" t="str">
        <f>IFERROR(__xludf.DUMMYFUNCTION("GOOGLETRANSLATE(B6380,""en"",""hy"")"),"Փարիզ.")</f>
        <v>Փարիզ.</v>
      </c>
    </row>
    <row r="6381">
      <c r="A6381" s="5" t="s">
        <v>7678</v>
      </c>
      <c r="B6381" s="5" t="s">
        <v>9096</v>
      </c>
      <c r="C6381" s="5" t="str">
        <f>IFERROR(__xludf.DUMMYFUNCTION("GOOGLETRANSLATE(A6381,""en"",""hy"")"),"Ո՞րն է Ավստրալիայի մայրաքաղաքը:")</f>
        <v>Ո՞րն է Ավստրալիայի մայրաքաղաքը:</v>
      </c>
      <c r="D6381" s="6" t="str">
        <f>IFERROR(__xludf.DUMMYFUNCTION("GOOGLETRANSLATE(B6381,""en"",""hy"")"),"Կանբերա")</f>
        <v>Կանբերա</v>
      </c>
    </row>
    <row r="6382">
      <c r="A6382" s="5" t="s">
        <v>7447</v>
      </c>
      <c r="B6382" s="5" t="s">
        <v>7448</v>
      </c>
      <c r="C6382" s="5" t="str">
        <f>IFERROR(__xludf.DUMMYFUNCTION("GOOGLETRANSLATE(A6382,""en"",""hy"")"),"Ո՞վ է նկարել Մոնա Լիզան:")</f>
        <v>Ո՞վ է նկարել Մոնա Լիզան:</v>
      </c>
      <c r="D6382" s="6" t="str">
        <f>IFERROR(__xludf.DUMMYFUNCTION("GOOGLETRANSLATE(B6382,""en"",""hy"")"),"Լեոնարդո դա Վինչի.")</f>
        <v>Լեոնարդո դա Վինչի.</v>
      </c>
    </row>
    <row r="6383">
      <c r="A6383" s="5" t="s">
        <v>7461</v>
      </c>
      <c r="B6383" s="5" t="s">
        <v>9097</v>
      </c>
      <c r="C6383" s="5" t="str">
        <f>IFERROR(__xludf.DUMMYFUNCTION("GOOGLETRANSLATE(A6383,""en"",""hy"")"),"Ո՞րն է մարդու մարմնի ամենամեծ օրգանը:")</f>
        <v>Ո՞րն է մարդու մարմնի ամենամեծ օրգանը:</v>
      </c>
      <c r="D6383" s="6" t="str">
        <f>IFERROR(__xludf.DUMMYFUNCTION("GOOGLETRANSLATE(B6383,""en"",""hy"")"),"Մաշկ.")</f>
        <v>Մաշկ.</v>
      </c>
    </row>
    <row r="6384">
      <c r="A6384" s="5" t="s">
        <v>8011</v>
      </c>
      <c r="B6384" s="7">
        <v>1945.0</v>
      </c>
      <c r="C6384" s="5" t="str">
        <f>IFERROR(__xludf.DUMMYFUNCTION("GOOGLETRANSLATE(A6384,""en"",""hy"")"),"Ո՞ր թվականին ավարտվեց Երկրորդ համաշխարհային պատերազմը:")</f>
        <v>Ո՞ր թվականին ավարտվեց Երկրորդ համաշխարհային պատերազմը:</v>
      </c>
      <c r="D6384" s="6" t="str">
        <f>IFERROR(__xludf.DUMMYFUNCTION("GOOGLETRANSLATE(B6384,""en"",""hy"")"),"1945 թ")</f>
        <v>1945 թ</v>
      </c>
    </row>
    <row r="6385">
      <c r="A6385" s="5" t="s">
        <v>8012</v>
      </c>
      <c r="B6385" s="5" t="s">
        <v>8590</v>
      </c>
      <c r="C6385" s="5" t="str">
        <f>IFERROR(__xludf.DUMMYFUNCTION("GOOGLETRANSLATE(A6385,""en"",""hy"")"),"Ո՞ր մոլորակն է հայտնի որպես Կարմիր մոլորակ:")</f>
        <v>Ո՞ր մոլորակն է հայտնի որպես Կարմիր մոլորակ:</v>
      </c>
      <c r="D6385" s="6" t="str">
        <f>IFERROR(__xludf.DUMMYFUNCTION("GOOGLETRANSLATE(B6385,""en"",""hy"")"),"Մարս")</f>
        <v>Մարս</v>
      </c>
    </row>
    <row r="6386">
      <c r="A6386" s="5" t="s">
        <v>7452</v>
      </c>
      <c r="B6386" s="5" t="s">
        <v>7453</v>
      </c>
      <c r="C6386" s="5" t="str">
        <f>IFERROR(__xludf.DUMMYFUNCTION("GOOGLETRANSLATE(A6386,""en"",""hy"")"),"Ո՞րն է ոսկու քիմիական նշանը:")</f>
        <v>Ո՞րն է ոսկու քիմիական նշանը:</v>
      </c>
      <c r="D6386" s="6" t="str">
        <f>IFERROR(__xludf.DUMMYFUNCTION("GOOGLETRANSLATE(B6386,""en"",""hy"")"),"Ոսկու քիմիական նշանը Au-ն է:")</f>
        <v>Ոսկու քիմիական նշանը Au-ն է:</v>
      </c>
    </row>
    <row r="6387">
      <c r="A6387" s="5" t="s">
        <v>7939</v>
      </c>
      <c r="B6387" s="5" t="s">
        <v>7940</v>
      </c>
      <c r="C6387" s="5" t="str">
        <f>IFERROR(__xludf.DUMMYFUNCTION("GOOGLETRANSLATE(A6387,""en"",""hy"")"),"Քանի՞ մայրցամաք կա աշխարհում:")</f>
        <v>Քանի՞ մայրցամաք կա աշխարհում:</v>
      </c>
      <c r="D6387" s="6" t="str">
        <f>IFERROR(__xludf.DUMMYFUNCTION("GOOGLETRANSLATE(B6387,""en"",""hy"")"),"Աշխարհում կան յոթ մայրցամաքներ։")</f>
        <v>Աշխարհում կան յոթ մայրցամաքներ։</v>
      </c>
    </row>
    <row r="6388">
      <c r="A6388" s="5" t="s">
        <v>7849</v>
      </c>
      <c r="B6388" s="5" t="s">
        <v>7541</v>
      </c>
      <c r="C6388" s="5" t="str">
        <f>IFERROR(__xludf.DUMMYFUNCTION("GOOGLETRANSLATE(A6388,""en"",""hy"")"),"Ո՞վ է գրել «Սպանել ծաղրող թռչունին» վեպը:")</f>
        <v>Ո՞վ է գրել «Սպանել ծաղրող թռչունին» վեպը:</v>
      </c>
      <c r="D6388" s="6" t="str">
        <f>IFERROR(__xludf.DUMMYFUNCTION("GOOGLETRANSLATE(B6388,""en"",""hy"")"),"Հարփեր Լի.")</f>
        <v>Հարփեր Լի.</v>
      </c>
    </row>
    <row r="6389">
      <c r="A6389" s="5" t="s">
        <v>8039</v>
      </c>
      <c r="B6389" s="5" t="s">
        <v>7921</v>
      </c>
      <c r="C6389" s="5" t="str">
        <f>IFERROR(__xludf.DUMMYFUNCTION("GOOGLETRANSLATE(A6389,""en"",""hy"")"),"Ո՞ր երկիրն է հայտնի Թաջ Մահալով:")</f>
        <v>Ո՞ր երկիրն է հայտնի Թաջ Մահալով:</v>
      </c>
      <c r="D6389" s="6" t="str">
        <f>IFERROR(__xludf.DUMMYFUNCTION("GOOGLETRANSLATE(B6389,""en"",""hy"")"),"Հնդկաստան.")</f>
        <v>Հնդկաստան.</v>
      </c>
    </row>
    <row r="6390">
      <c r="A6390" s="5" t="s">
        <v>7480</v>
      </c>
      <c r="B6390" s="5" t="s">
        <v>7481</v>
      </c>
      <c r="C6390" s="5" t="str">
        <f>IFERROR(__xludf.DUMMYFUNCTION("GOOGLETRANSLATE(A6390,""en"",""hy"")"),"Ո՞րն է Միացյալ Նահանգների ազգային թռչունը:")</f>
        <v>Ո՞րն է Միացյալ Նահանգների ազգային թռչունը:</v>
      </c>
      <c r="D6390" s="6" t="str">
        <f>IFERROR(__xludf.DUMMYFUNCTION("GOOGLETRANSLATE(B6390,""en"",""hy"")"),"Միացյալ Նահանգների ազգային թռչունը ճաղատ արծիվն է։")</f>
        <v>Միացյալ Նահանգների ազգային թռչունը ճաղատ արծիվն է։</v>
      </c>
    </row>
    <row r="6391">
      <c r="A6391" s="5" t="s">
        <v>8014</v>
      </c>
      <c r="B6391" s="5" t="s">
        <v>8174</v>
      </c>
      <c r="C6391" s="5" t="str">
        <f>IFERROR(__xludf.DUMMYFUNCTION("GOOGLETRANSLATE(A6391,""en"",""hy"")"),"Քանի՞ խաղացող կա բասկետբոլի թիմում:")</f>
        <v>Քանի՞ խաղացող կա բասկետբոլի թիմում:</v>
      </c>
      <c r="D6391" s="6" t="str">
        <f>IFERROR(__xludf.DUMMYFUNCTION("GOOGLETRANSLATE(B6391,""en"",""hy"")"),"Բասկետբոլի թիմում հինգ խաղացող կա:")</f>
        <v>Բասկետբոլի թիմում հինգ խաղացող կա:</v>
      </c>
    </row>
    <row r="6392">
      <c r="A6392" s="5" t="s">
        <v>7773</v>
      </c>
      <c r="B6392" s="5" t="s">
        <v>8253</v>
      </c>
      <c r="C6392" s="5" t="str">
        <f>IFERROR(__xludf.DUMMYFUNCTION("GOOGLETRANSLATE(A6392,""en"",""hy"")"),"Ո՞վ է հայտնաբերել պենիցիլինը:")</f>
        <v>Ո՞վ է հայտնաբերել պենիցիլինը:</v>
      </c>
      <c r="D6392" s="6" t="str">
        <f>IFERROR(__xludf.DUMMYFUNCTION("GOOGLETRANSLATE(B6392,""en"",""hy"")"),"Ալեքսանդր Ֆլեմինգ.")</f>
        <v>Ալեքսանդր Ֆլեմինգ.</v>
      </c>
    </row>
    <row r="6393">
      <c r="A6393" s="5" t="s">
        <v>7696</v>
      </c>
      <c r="B6393" s="5" t="s">
        <v>9098</v>
      </c>
      <c r="C6393" s="5" t="str">
        <f>IFERROR(__xludf.DUMMYFUNCTION("GOOGLETRANSLATE(A6393,""en"",""hy"")"),"Ո՞րն է մարդու մարմնի ամենափոքր ոսկորը:")</f>
        <v>Ո՞րն է մարդու մարմնի ամենափոքր ոսկորը:</v>
      </c>
      <c r="D6393" s="6" t="str">
        <f>IFERROR(__xludf.DUMMYFUNCTION("GOOGLETRANSLATE(B6393,""en"",""hy"")"),"Stapes")</f>
        <v>Stapes</v>
      </c>
    </row>
    <row r="6394">
      <c r="A6394" s="5" t="s">
        <v>9099</v>
      </c>
      <c r="B6394" s="5" t="s">
        <v>9100</v>
      </c>
      <c r="C6394" s="5" t="str">
        <f>IFERROR(__xludf.DUMMYFUNCTION("GOOGLETRANSLATE(A6394,""en"",""hy"")"),"Ո՞ր գետն է հոսում Լոնդոն քաղաքով:")</f>
        <v>Ո՞ր գետն է հոսում Լոնդոն քաղաքով:</v>
      </c>
      <c r="D6394" s="6" t="str">
        <f>IFERROR(__xludf.DUMMYFUNCTION("GOOGLETRANSLATE(B6394,""en"",""hy"")"),"Թեմզա գետը.")</f>
        <v>Թեմզա գետը.</v>
      </c>
    </row>
    <row r="6395">
      <c r="A6395" s="5" t="s">
        <v>9101</v>
      </c>
      <c r="B6395" s="5" t="s">
        <v>9102</v>
      </c>
      <c r="C6395" s="5" t="str">
        <f>IFERROR(__xludf.DUMMYFUNCTION("GOOGLETRANSLATE(A6395,""en"",""hy"")"),"Ո՞րն է այբուբենի 27-րդ տառը:")</f>
        <v>Ո՞րն է այբուբենի 27-րդ տառը:</v>
      </c>
      <c r="D6395" s="6" t="str">
        <f>IFERROR(__xludf.DUMMYFUNCTION("GOOGLETRANSLATE(B6395,""en"",""hy"")"),"Այբուբենում 27-րդ տառ չկա։")</f>
        <v>Այբուբենում 27-րդ տառ չկա։</v>
      </c>
    </row>
    <row r="6396">
      <c r="A6396" s="5" t="s">
        <v>8171</v>
      </c>
      <c r="B6396" s="5" t="s">
        <v>3535</v>
      </c>
      <c r="C6396" s="5" t="str">
        <f>IFERROR(__xludf.DUMMYFUNCTION("GOOGLETRANSLATE(A6396,""en"",""hy"")"),"Ո՞ր երկրում կգտնեք Մեծ արգելախութը:")</f>
        <v>Ո՞ր երկրում կգտնեք Մեծ արգելախութը:</v>
      </c>
      <c r="D6396" s="6" t="str">
        <f>IFERROR(__xludf.DUMMYFUNCTION("GOOGLETRANSLATE(B6396,""en"",""hy"")"),"Ավստրալիա.")</f>
        <v>Ավստրալիա.</v>
      </c>
    </row>
    <row r="6397">
      <c r="A6397" s="5" t="s">
        <v>7634</v>
      </c>
      <c r="B6397" s="5" t="s">
        <v>7635</v>
      </c>
      <c r="C6397" s="5" t="str">
        <f>IFERROR(__xludf.DUMMYFUNCTION("GOOGLETRANSLATE(A6397,""en"",""hy"")"),"Ո՞վ էր առաջին մարդը, ով ոտք դրեց լուսնի վրա:")</f>
        <v>Ո՞վ էր առաջին մարդը, ով ոտք դրեց լուսնի վրա:</v>
      </c>
      <c r="D6397" s="6" t="str">
        <f>IFERROR(__xludf.DUMMYFUNCTION("GOOGLETRANSLATE(B6397,""en"",""hy"")"),"Նիլ Արմսթրոնգ.")</f>
        <v>Նիլ Արմսթրոնգ.</v>
      </c>
    </row>
    <row r="6398">
      <c r="A6398" s="5" t="s">
        <v>7455</v>
      </c>
      <c r="B6398" s="5" t="s">
        <v>8453</v>
      </c>
      <c r="C6398" s="5" t="str">
        <f>IFERROR(__xludf.DUMMYFUNCTION("GOOGLETRANSLATE(A6398,""en"",""hy"")"),"Ո՞րն է աշխարհի ամենամեծ օվկիանոսը:")</f>
        <v>Ո՞րն է աշխարհի ամենամեծ օվկիանոսը:</v>
      </c>
      <c r="D6398" s="6" t="str">
        <f>IFERROR(__xludf.DUMMYFUNCTION("GOOGLETRANSLATE(B6398,""en"",""hy"")"),"Աշխարհի ամենամեծ օվկիանոսը Խաղաղ օվկիանոսն է։")</f>
        <v>Աշխարհի ամենամեծ օվկիանոսը Խաղաղ օվկիանոսն է։</v>
      </c>
    </row>
    <row r="6399">
      <c r="A6399" s="5" t="s">
        <v>8106</v>
      </c>
      <c r="B6399" s="5" t="s">
        <v>7916</v>
      </c>
      <c r="C6399" s="5" t="str">
        <f>IFERROR(__xludf.DUMMYFUNCTION("GOOGLETRANSLATE(A6399,""en"",""hy"")"),"Քանի՞ ոսկոր կա մարդու մարմնում:")</f>
        <v>Քանի՞ ոսկոր կա մարդու մարմնում:</v>
      </c>
      <c r="D6399" s="6" t="str">
        <f>IFERROR(__xludf.DUMMYFUNCTION("GOOGLETRANSLATE(B6399,""en"",""hy"")"),"Մարդու մարմնում կա 206 ոսկոր։")</f>
        <v>Մարդու մարմնում կա 206 ոսկոր։</v>
      </c>
    </row>
    <row r="6400">
      <c r="A6400" s="5" t="s">
        <v>7601</v>
      </c>
      <c r="B6400" s="5" t="s">
        <v>3966</v>
      </c>
      <c r="C6400" s="5" t="str">
        <f>IFERROR(__xludf.DUMMYFUNCTION("GOOGLETRANSLATE(A6400,""en"",""hy"")"),"Ո՞վ է Ֆրանսիայի ներկայիս նախագահը.")</f>
        <v>Ո՞վ է Ֆրանսիայի ներկայիս նախագահը.</v>
      </c>
      <c r="D6400" s="6" t="str">
        <f>IFERROR(__xludf.DUMMYFUNCTION("GOOGLETRANSLATE(B6400,""en"",""hy"")"),"Էմանուել Մակրոն.")</f>
        <v>Էմանուել Մակրոն.</v>
      </c>
    </row>
    <row r="6401">
      <c r="A6401" s="5" t="s">
        <v>8108</v>
      </c>
      <c r="B6401" s="5" t="s">
        <v>7499</v>
      </c>
      <c r="C6401" s="5" t="str">
        <f>IFERROR(__xludf.DUMMYFUNCTION("GOOGLETRANSLATE(A6401,""en"",""hy"")"),"Ո՞ր հայտնի գիտնականն է մշակել հարաբերականության տեսությունը:")</f>
        <v>Ո՞ր հայտնի գիտնականն է մշակել հարաբերականության տեսությունը:</v>
      </c>
      <c r="D6401" s="6" t="str">
        <f>IFERROR(__xludf.DUMMYFUNCTION("GOOGLETRANSLATE(B6401,""en"",""hy"")"),"Albert Einstein")</f>
        <v>Albert Einstein</v>
      </c>
    </row>
    <row r="6402">
      <c r="A6402" s="5" t="s">
        <v>9103</v>
      </c>
      <c r="B6402" s="7">
        <v>12.0</v>
      </c>
      <c r="C6402" s="5" t="str">
        <f>IFERROR(__xludf.DUMMYFUNCTION("GOOGLETRANSLATE(A6402,""en"",""hy"")"),"Որքա՞ն է 144 թվի քառակուսի արմատը:")</f>
        <v>Որքա՞ն է 144 թվի քառակուսի արմատը:</v>
      </c>
      <c r="D6402" s="6" t="str">
        <f>IFERROR(__xludf.DUMMYFUNCTION("GOOGLETRANSLATE(B6402,""en"",""hy"")"),"12")</f>
        <v>12</v>
      </c>
    </row>
    <row r="6403">
      <c r="A6403" s="5" t="s">
        <v>7483</v>
      </c>
      <c r="B6403" s="5" t="s">
        <v>8295</v>
      </c>
      <c r="C6403" s="5" t="str">
        <f>IFERROR(__xludf.DUMMYFUNCTION("GOOGLETRANSLATE(A6403,""en"",""hy"")"),"Ո՞րն է ջրի քիմիական բանաձևը:")</f>
        <v>Ո՞րն է ջրի քիմիական բանաձևը:</v>
      </c>
      <c r="D6403" s="6" t="str">
        <f>IFERROR(__xludf.DUMMYFUNCTION("GOOGLETRANSLATE(B6403,""en"",""hy"")"),"H2O")</f>
        <v>H2O</v>
      </c>
    </row>
    <row r="6404">
      <c r="A6404" s="5" t="s">
        <v>9104</v>
      </c>
      <c r="B6404" s="7">
        <v>1945.0</v>
      </c>
      <c r="C6404" s="5" t="str">
        <f>IFERROR(__xludf.DUMMYFUNCTION("GOOGLETRANSLATE(A6404,""en"",""hy"")"),"Ո՞ր թվականին է հիմնադրվել Միավորված ազգերի կազմակերպությունը:")</f>
        <v>Ո՞ր թվականին է հիմնադրվել Միավորված ազգերի կազմակերպությունը:</v>
      </c>
      <c r="D6404" s="6" t="str">
        <f>IFERROR(__xludf.DUMMYFUNCTION("GOOGLETRANSLATE(B6404,""en"",""hy"")"),"1945 թ")</f>
        <v>1945 թ</v>
      </c>
    </row>
    <row r="6405">
      <c r="A6405" s="5" t="s">
        <v>7778</v>
      </c>
      <c r="B6405" s="5" t="s">
        <v>9105</v>
      </c>
      <c r="C6405" s="5" t="str">
        <f>IFERROR(__xludf.DUMMYFUNCTION("GOOGLETRANSLATE(A6405,""en"",""hy"")"),"Ո՞վ է նկարել Սիքստինյան կապելլայի առաստաղը:")</f>
        <v>Ո՞վ է նկարել Սիքստինյան կապելլայի առաստաղը:</v>
      </c>
      <c r="D6405" s="6" t="str">
        <f>IFERROR(__xludf.DUMMYFUNCTION("GOOGLETRANSLATE(B6405,""en"",""hy"")"),"Միքելանջելո Բուոնարոտի.")</f>
        <v>Միքելանջելո Բուոնարոտի.</v>
      </c>
    </row>
    <row r="6406">
      <c r="A6406" s="5" t="s">
        <v>7463</v>
      </c>
      <c r="B6406" s="5" t="s">
        <v>7464</v>
      </c>
      <c r="C6406" s="5" t="str">
        <f>IFERROR(__xludf.DUMMYFUNCTION("GOOGLETRANSLATE(A6406,""en"",""hy"")"),"Ո՞րն է աշխարհի ամենաբարձր լեռը:")</f>
        <v>Ո՞րն է աշխարհի ամենաբարձր լեռը:</v>
      </c>
      <c r="D6406" s="6" t="str">
        <f>IFERROR(__xludf.DUMMYFUNCTION("GOOGLETRANSLATE(B6406,""en"",""hy"")"),"Էվերեստ լեռ.")</f>
        <v>Էվերեստ լեռ.</v>
      </c>
    </row>
    <row r="6407">
      <c r="A6407" s="5" t="s">
        <v>8078</v>
      </c>
      <c r="B6407" s="5" t="s">
        <v>7478</v>
      </c>
      <c r="C6407" s="5" t="str">
        <f>IFERROR(__xludf.DUMMYFUNCTION("GOOGLETRANSLATE(A6407,""en"",""hy"")"),"Ո՞ր երկիրն է հայտնի որպես Ծագող Արևի երկիր:")</f>
        <v>Ո՞ր երկիրն է հայտնի որպես Ծագող Արևի երկիր:</v>
      </c>
      <c r="D6407" s="6" t="str">
        <f>IFERROR(__xludf.DUMMYFUNCTION("GOOGLETRANSLATE(B6407,""en"",""hy"")"),"Ճապոնիա.")</f>
        <v>Ճապոնիա.</v>
      </c>
    </row>
    <row r="6408">
      <c r="A6408" s="5" t="s">
        <v>7502</v>
      </c>
      <c r="B6408" s="5" t="s">
        <v>7503</v>
      </c>
      <c r="C6408" s="5" t="str">
        <f>IFERROR(__xludf.DUMMYFUNCTION("GOOGLETRANSLATE(A6408,""en"",""hy"")"),"Քանի՞ կողմ ունի վեցանկյունը:")</f>
        <v>Քանի՞ կողմ ունի վեցանկյունը:</v>
      </c>
      <c r="D6408" s="6" t="str">
        <f>IFERROR(__xludf.DUMMYFUNCTION("GOOGLETRANSLATE(B6408,""en"",""hy"")"),"Վեցանկյունն ունի վեց կողմ:")</f>
        <v>Վեցանկյունն ունի վեց կողմ:</v>
      </c>
    </row>
    <row r="6409">
      <c r="A6409" s="5" t="s">
        <v>7467</v>
      </c>
      <c r="B6409" s="5" t="s">
        <v>7468</v>
      </c>
      <c r="C6409" s="5" t="str">
        <f>IFERROR(__xludf.DUMMYFUNCTION("GOOGLETRANSLATE(A6409,""en"",""hy"")"),"Ո՞րն է Ճապոնիայի արժույթը:")</f>
        <v>Ո՞րն է Ճապոնիայի արժույթը:</v>
      </c>
      <c r="D6409" s="6" t="str">
        <f>IFERROR(__xludf.DUMMYFUNCTION("GOOGLETRANSLATE(B6409,""en"",""hy"")"),"Ճապոնիայի արժույթը ճապոնական իենն է։")</f>
        <v>Ճապոնիայի արժույթը ճապոնական իենն է։</v>
      </c>
    </row>
    <row r="6410">
      <c r="A6410" s="5" t="s">
        <v>7640</v>
      </c>
      <c r="B6410" s="5" t="s">
        <v>1016</v>
      </c>
      <c r="C6410" s="5" t="str">
        <f>IFERROR(__xludf.DUMMYFUNCTION("GOOGLETRANSLATE(A6410,""en"",""hy"")"),"Ո՞վ է գրել «Ռոմեո և Ջուլիետ» պիեսը:")</f>
        <v>Ո՞վ է գրել «Ռոմեո և Ջուլիետ» պիեսը:</v>
      </c>
      <c r="D6410" s="6" t="str">
        <f>IFERROR(__xludf.DUMMYFUNCTION("GOOGLETRANSLATE(B6410,""en"",""hy"")"),"Ուիլյամ Շեքսպիր.")</f>
        <v>Ուիլյամ Շեքսպիր.</v>
      </c>
    </row>
    <row r="6411">
      <c r="A6411" s="5" t="s">
        <v>7592</v>
      </c>
      <c r="B6411" s="5" t="s">
        <v>7593</v>
      </c>
      <c r="C6411" s="5" t="str">
        <f>IFERROR(__xludf.DUMMYFUNCTION("GOOGLETRANSLATE(A6411,""en"",""hy"")"),"Ո՞րն է թթվածնի քիմիական նշանը:")</f>
        <v>Ո՞րն է թթվածնի քիմիական նշանը:</v>
      </c>
      <c r="D6411" s="6" t="str">
        <f>IFERROR(__xludf.DUMMYFUNCTION("GOOGLETRANSLATE(B6411,""en"",""hy"")"),"Թթվածնի քիմիական նշանը O է:")</f>
        <v>Թթվածնի քիմիական նշանը O է:</v>
      </c>
    </row>
    <row r="6412">
      <c r="A6412" s="5" t="s">
        <v>8798</v>
      </c>
      <c r="B6412" s="5" t="s">
        <v>7972</v>
      </c>
      <c r="C6412" s="5" t="str">
        <f>IFERROR(__xludf.DUMMYFUNCTION("GOOGLETRANSLATE(A6412,""en"",""hy"")"),"Ո՞ր երկրում է գտնվում Էյֆելյան աշտարակը:")</f>
        <v>Ո՞ր երկրում է գտնվում Էյֆելյան աշտարակը:</v>
      </c>
      <c r="D6412" s="6" t="str">
        <f>IFERROR(__xludf.DUMMYFUNCTION("GOOGLETRANSLATE(B6412,""en"",""hy"")"),"Ֆրանսիա.")</f>
        <v>Ֆրանսիա.</v>
      </c>
    </row>
    <row r="6413">
      <c r="A6413" s="5" t="s">
        <v>7513</v>
      </c>
      <c r="B6413" s="5" t="s">
        <v>8459</v>
      </c>
      <c r="C6413" s="5" t="str">
        <f>IFERROR(__xludf.DUMMYFUNCTION("GOOGLETRANSLATE(A6413,""en"",""hy"")"),"Ո՞րն է աշխարհի ամենամեծ անապատը:")</f>
        <v>Ո՞րն է աշխարհի ամենամեծ անապատը:</v>
      </c>
      <c r="D6413" s="6" t="str">
        <f>IFERROR(__xludf.DUMMYFUNCTION("GOOGLETRANSLATE(B6413,""en"",""hy"")"),"Սահարա անապատ.")</f>
        <v>Սահարա անապատ.</v>
      </c>
    </row>
    <row r="6414">
      <c r="A6414" s="5" t="s">
        <v>7575</v>
      </c>
      <c r="B6414" s="5" t="s">
        <v>7576</v>
      </c>
      <c r="C6414" s="5" t="str">
        <f>IFERROR(__xludf.DUMMYFUNCTION("GOOGLETRANSLATE(A6414,""en"",""hy"")"),"Քանի՞ գույն կա ծիածանի մեջ:")</f>
        <v>Քանի՞ գույն կա ծիածանի մեջ:</v>
      </c>
      <c r="D6414" s="6" t="str">
        <f>IFERROR(__xludf.DUMMYFUNCTION("GOOGLETRANSLATE(B6414,""en"",""hy"")"),"Ծիածանի մեջ յոթ գույն կա:")</f>
        <v>Ծիածանի մեջ յոթ գույն կա:</v>
      </c>
    </row>
    <row r="6415">
      <c r="A6415" s="5" t="s">
        <v>7854</v>
      </c>
      <c r="B6415" s="5" t="s">
        <v>7458</v>
      </c>
      <c r="C6415" s="5" t="str">
        <f>IFERROR(__xludf.DUMMYFUNCTION("GOOGLETRANSLATE(A6415,""en"",""hy"")"),"Ո՞վ էր Միացյալ Նահանգների առաջին նախագահը:")</f>
        <v>Ո՞վ էր Միացյալ Նահանգների առաջին նախագահը:</v>
      </c>
      <c r="D6415" s="6" t="str">
        <f>IFERROR(__xludf.DUMMYFUNCTION("GOOGLETRANSLATE(B6415,""en"",""hy"")"),"Ջորջ Վաշինգտոն.")</f>
        <v>Ջորջ Վաշինգտոն.</v>
      </c>
    </row>
    <row r="6416">
      <c r="A6416" s="5" t="s">
        <v>8760</v>
      </c>
      <c r="B6416" s="5" t="s">
        <v>8761</v>
      </c>
      <c r="C6416" s="5" t="str">
        <f>IFERROR(__xludf.DUMMYFUNCTION("GOOGLETRANSLATE(A6416,""en"",""hy"")"),"Ո՞րն է Կանադայի ամենամեծ քաղաքը:")</f>
        <v>Ո՞րն է Կանադայի ամենամեծ քաղաքը:</v>
      </c>
      <c r="D6416" s="6" t="str">
        <f>IFERROR(__xludf.DUMMYFUNCTION("GOOGLETRANSLATE(B6416,""en"",""hy"")"),"Տորոնտո.")</f>
        <v>Տորոնտո.</v>
      </c>
    </row>
    <row r="6417">
      <c r="A6417" s="5" t="s">
        <v>7534</v>
      </c>
      <c r="B6417" s="5" t="s">
        <v>7535</v>
      </c>
      <c r="C6417" s="5" t="str">
        <f>IFERROR(__xludf.DUMMYFUNCTION("GOOGLETRANSLATE(A6417,""en"",""hy"")"),"Ո՞վ է հորինել հեռախոսը:")</f>
        <v>Ո՞վ է հորինել հեռախոսը:</v>
      </c>
      <c r="D6417" s="6" t="str">
        <f>IFERROR(__xludf.DUMMYFUNCTION("GOOGLETRANSLATE(B6417,""en"",""hy"")"),"Ալեքսանդր Գրեհեմ Բել.")</f>
        <v>Ալեքսանդր Գրեհեմ Բել.</v>
      </c>
    </row>
    <row r="6418">
      <c r="A6418" s="5" t="s">
        <v>7703</v>
      </c>
      <c r="B6418" s="5" t="s">
        <v>7545</v>
      </c>
      <c r="C6418" s="5" t="str">
        <f>IFERROR(__xludf.DUMMYFUNCTION("GOOGLETRANSLATE(A6418,""en"",""hy"")"),"Ո՞րն է Իտալիայի մայրաքաղաքը:")</f>
        <v>Ո՞րն է Իտալիայի մայրաքաղաքը:</v>
      </c>
      <c r="D6418" s="6" t="str">
        <f>IFERROR(__xludf.DUMMYFUNCTION("GOOGLETRANSLATE(B6418,""en"",""hy"")"),"Հռոմ.")</f>
        <v>Հռոմ.</v>
      </c>
    </row>
    <row r="6419">
      <c r="A6419" s="5" t="s">
        <v>8121</v>
      </c>
      <c r="B6419" s="5" t="s">
        <v>8122</v>
      </c>
      <c r="C6419" s="5" t="str">
        <f>IFERROR(__xludf.DUMMYFUNCTION("GOOGLETRANSLATE(A6419,""en"",""hy"")"),"Քանի՞ աստղ կա ամերիկյան դրոշի վրա:")</f>
        <v>Քանի՞ աստղ կա ամերիկյան դրոշի վրա:</v>
      </c>
      <c r="D6419" s="6" t="str">
        <f>IFERROR(__xludf.DUMMYFUNCTION("GOOGLETRANSLATE(B6419,""en"",""hy"")"),"Ամերիկյան դրոշի վրա 50 աստղ կա։")</f>
        <v>Ամերիկյան դրոշի վրա 50 աստղ կա։</v>
      </c>
    </row>
    <row r="6420">
      <c r="A6420" s="5" t="s">
        <v>7491</v>
      </c>
      <c r="B6420" s="5" t="s">
        <v>7492</v>
      </c>
      <c r="C6420" s="5" t="str">
        <f>IFERROR(__xludf.DUMMYFUNCTION("GOOGLETRANSLATE(A6420,""en"",""hy"")"),"Ո՞վ է նկարել Աստղային գիշերը:")</f>
        <v>Ո՞վ է նկարել Աստղային գիշերը:</v>
      </c>
      <c r="D6420" s="6" t="str">
        <f>IFERROR(__xludf.DUMMYFUNCTION("GOOGLETRANSLATE(B6420,""en"",""hy"")"),"Վինսենթ վան Գոգ")</f>
        <v>Վինսենթ վան Գոգ</v>
      </c>
    </row>
    <row r="6421">
      <c r="A6421" s="5" t="s">
        <v>7557</v>
      </c>
      <c r="B6421" s="5" t="s">
        <v>7857</v>
      </c>
      <c r="C6421" s="5" t="str">
        <f>IFERROR(__xludf.DUMMYFUNCTION("GOOGLETRANSLATE(A6421,""en"",""hy"")"),"Ո՞րն է երկաթի քիմիական նշանը:")</f>
        <v>Ո՞րն է երկաթի քիմիական նշանը:</v>
      </c>
      <c r="D6421" s="6" t="str">
        <f>IFERROR(__xludf.DUMMYFUNCTION("GOOGLETRANSLATE(B6421,""en"",""hy"")"),"Երկաթի քիմիական նշանը Fe է:")</f>
        <v>Երկաթի քիմիական նշանը Fe է:</v>
      </c>
    </row>
    <row r="6422">
      <c r="A6422" s="5" t="s">
        <v>8020</v>
      </c>
      <c r="B6422" s="5" t="s">
        <v>7961</v>
      </c>
      <c r="C6422" s="5" t="str">
        <f>IFERROR(__xludf.DUMMYFUNCTION("GOOGLETRANSLATE(A6422,""en"",""hy"")"),"Ո՞ր թվականին է խորտակվել Տիտանիկը:")</f>
        <v>Ո՞ր թվականին է խորտակվել Տիտանիկը:</v>
      </c>
      <c r="D6422" s="6" t="str">
        <f>IFERROR(__xludf.DUMMYFUNCTION("GOOGLETRANSLATE(B6422,""en"",""hy"")"),"Տիտանիկը խորտակվել է 1912 թվականին։")</f>
        <v>Տիտանիկը խորտակվել է 1912 թվականին։</v>
      </c>
    </row>
    <row r="6423">
      <c r="A6423" s="5" t="s">
        <v>8624</v>
      </c>
      <c r="B6423" s="5" t="s">
        <v>2790</v>
      </c>
      <c r="C6423" s="5" t="str">
        <f>IFERROR(__xludf.DUMMYFUNCTION("GOOGLETRANSLATE(A6423,""en"",""hy"")"),"Ո՞ր երկիրն է հայտնի Մեծ պարիսպով:")</f>
        <v>Ո՞ր երկիրն է հայտնի Մեծ պարիսպով:</v>
      </c>
      <c r="D6423" s="6" t="str">
        <f>IFERROR(__xludf.DUMMYFUNCTION("GOOGLETRANSLATE(B6423,""en"",""hy"")"),"Չինաստան.")</f>
        <v>Չինաստան.</v>
      </c>
    </row>
    <row r="6424">
      <c r="A6424" s="5" t="s">
        <v>7791</v>
      </c>
      <c r="B6424" s="5" t="s">
        <v>8128</v>
      </c>
      <c r="C6424" s="5" t="str">
        <f>IFERROR(__xludf.DUMMYFUNCTION("GOOGLETRANSLATE(A6424,""en"",""hy"")"),"Ո՞րն է Ավստրալիայի ազգային կենդանին:")</f>
        <v>Ո՞րն է Ավստրալիայի ազգային կենդանին:</v>
      </c>
      <c r="D6424" s="6" t="str">
        <f>IFERROR(__xludf.DUMMYFUNCTION("GOOGLETRANSLATE(B6424,""en"",""hy"")"),"Կենգուրու.")</f>
        <v>Կենգուրու.</v>
      </c>
    </row>
    <row r="6425">
      <c r="A6425" s="5" t="s">
        <v>7969</v>
      </c>
      <c r="B6425" s="5" t="s">
        <v>7970</v>
      </c>
      <c r="C6425" s="5" t="str">
        <f>IFERROR(__xludf.DUMMYFUNCTION("GOOGLETRANSLATE(A6425,""en"",""hy"")"),"Քանի՞ ոսկոր կա մարդու գանգում:")</f>
        <v>Քանի՞ ոսկոր կա մարդու գանգում:</v>
      </c>
      <c r="D6425" s="6" t="str">
        <f>IFERROR(__xludf.DUMMYFUNCTION("GOOGLETRANSLATE(B6425,""en"",""hy"")"),"Մարդու գանգում կա 22 ոսկոր։")</f>
        <v>Մարդու գանգում կա 22 ոսկոր։</v>
      </c>
    </row>
    <row r="6426">
      <c r="A6426" s="5" t="s">
        <v>7698</v>
      </c>
      <c r="B6426" s="5" t="s">
        <v>7630</v>
      </c>
      <c r="C6426" s="5" t="str">
        <f>IFERROR(__xludf.DUMMYFUNCTION("GOOGLETRANSLATE(A6426,""en"",""hy"")"),"Ո՞վ է գրել «Հպարտություն և նախապաշարմունք» վեպը:")</f>
        <v>Ո՞վ է գրել «Հպարտություն և նախապաշարմունք» վեպը:</v>
      </c>
      <c r="D6426" s="6" t="str">
        <f>IFERROR(__xludf.DUMMYFUNCTION("GOOGLETRANSLATE(B6426,""en"",""hy"")"),"Ջեյն Օսթին.")</f>
        <v>Ջեյն Օսթին.</v>
      </c>
    </row>
    <row r="6427">
      <c r="A6427" s="5" t="s">
        <v>7845</v>
      </c>
      <c r="B6427" s="5" t="s">
        <v>3533</v>
      </c>
      <c r="C6427" s="5" t="str">
        <f>IFERROR(__xludf.DUMMYFUNCTION("GOOGLETRANSLATE(A6427,""en"",""hy"")"),"Ո՞րն է Բրազիլիայի պաշտոնական լեզուն:")</f>
        <v>Ո՞րն է Բրազիլիայի պաշտոնական լեզուն:</v>
      </c>
      <c r="D6427" s="6" t="str">
        <f>IFERROR(__xludf.DUMMYFUNCTION("GOOGLETRANSLATE(B6427,""en"",""hy"")"),"Բրազիլիայի պաշտոնական լեզուն պորտուգալերենն է։")</f>
        <v>Բրազիլիայի պաշտոնական լեզուն պորտուգալերենն է։</v>
      </c>
    </row>
    <row r="6428">
      <c r="A6428" s="5" t="s">
        <v>9106</v>
      </c>
      <c r="B6428" s="5" t="s">
        <v>9107</v>
      </c>
      <c r="C6428" s="5" t="str">
        <f>IFERROR(__xludf.DUMMYFUNCTION("GOOGLETRANSLATE(A6428,""en"",""hy"")"),"Որքա՞ն է 100-ի քառակուսի արմատը:")</f>
        <v>Որքա՞ն է 100-ի քառակուսի արմատը:</v>
      </c>
      <c r="D6428" s="6" t="str">
        <f>IFERROR(__xludf.DUMMYFUNCTION("GOOGLETRANSLATE(B6428,""en"",""hy"")"),"100-ի քառակուսի արմատը 10 է։")</f>
        <v>100-ի քառակուսի արմատը 10 է։</v>
      </c>
    </row>
    <row r="6429">
      <c r="A6429" s="5" t="s">
        <v>7532</v>
      </c>
      <c r="B6429" s="5" t="s">
        <v>7533</v>
      </c>
      <c r="C6429" s="5" t="str">
        <f>IFERROR(__xludf.DUMMYFUNCTION("GOOGLETRANSLATE(A6429,""en"",""hy"")"),"Ո՞րն է սննդի աղի քիմիական բանաձևը:")</f>
        <v>Ո՞րն է սննդի աղի քիմիական բանաձևը:</v>
      </c>
      <c r="D6429" s="6" t="str">
        <f>IFERROR(__xludf.DUMMYFUNCTION("GOOGLETRANSLATE(B6429,""en"",""hy"")"),"Սեղանի աղի քիմիական բանաձևը NaCl է:")</f>
        <v>Սեղանի աղի քիմիական բանաձևը NaCl է:</v>
      </c>
    </row>
    <row r="6430">
      <c r="A6430" s="5" t="s">
        <v>8476</v>
      </c>
      <c r="B6430" s="5" t="s">
        <v>7976</v>
      </c>
      <c r="C6430" s="5" t="str">
        <f>IFERROR(__xludf.DUMMYFUNCTION("GOOGLETRANSLATE(A6430,""en"",""hy"")"),"Ո՞ր թվականին է սկսվել Առաջին համաշխարհային պատերազմը:")</f>
        <v>Ո՞ր թվականին է սկսվել Առաջին համաշխարհային պատերազմը:</v>
      </c>
      <c r="D6430" s="6" t="str">
        <f>IFERROR(__xludf.DUMMYFUNCTION("GOOGLETRANSLATE(B6430,""en"",""hy"")"),"Առաջին համաշխարհային պատերազմը սկսվել է 1914 թ.")</f>
        <v>Առաջին համաշխարհային պատերազմը սկսվել է 1914 թ.</v>
      </c>
    </row>
    <row r="6431">
      <c r="A6431" s="5" t="s">
        <v>7517</v>
      </c>
      <c r="B6431" s="5" t="s">
        <v>7448</v>
      </c>
      <c r="C6431" s="5" t="str">
        <f>IFERROR(__xludf.DUMMYFUNCTION("GOOGLETRANSLATE(A6431,""en"",""hy"")"),"Ո՞վ է նկարել Վերջին ընթրիքը:")</f>
        <v>Ո՞վ է նկարել Վերջին ընթրիքը:</v>
      </c>
      <c r="D6431" s="6" t="str">
        <f>IFERROR(__xludf.DUMMYFUNCTION("GOOGLETRANSLATE(B6431,""en"",""hy"")"),"Լեոնարդո դա Վինչի.")</f>
        <v>Լեոնարդո դա Վինչի.</v>
      </c>
    </row>
    <row r="6432">
      <c r="A6432" s="5" t="s">
        <v>7691</v>
      </c>
      <c r="B6432" s="5" t="s">
        <v>7692</v>
      </c>
      <c r="C6432" s="5" t="str">
        <f>IFERROR(__xludf.DUMMYFUNCTION("GOOGLETRANSLATE(A6432,""en"",""hy"")"),"Ո՞րն է Աֆրիկայի ամենամեծ լիճը:")</f>
        <v>Ո՞րն է Աֆրիկայի ամենամեծ լիճը:</v>
      </c>
      <c r="D6432" s="6" t="str">
        <f>IFERROR(__xludf.DUMMYFUNCTION("GOOGLETRANSLATE(B6432,""en"",""hy"")"),"Վիկտորիա լիճ.")</f>
        <v>Վիկտորիա լիճ.</v>
      </c>
    </row>
    <row r="6433">
      <c r="A6433" s="5" t="s">
        <v>8033</v>
      </c>
      <c r="B6433" s="5" t="s">
        <v>8034</v>
      </c>
      <c r="C6433" s="5" t="str">
        <f>IFERROR(__xludf.DUMMYFUNCTION("GOOGLETRANSLATE(A6433,""en"",""hy"")"),"Քանի՞ խաղացող կա բեյսբոլի թիմում:")</f>
        <v>Քանի՞ խաղացող կա բեյսբոլի թիմում:</v>
      </c>
      <c r="D6433" s="6" t="str">
        <f>IFERROR(__xludf.DUMMYFUNCTION("GOOGLETRANSLATE(B6433,""en"",""hy"")"),"Բեյսբոլի թիմում ինը խաղացող կա:")</f>
        <v>Բեյսբոլի թիմում ինը խաղացող կա:</v>
      </c>
    </row>
    <row r="6434">
      <c r="A6434" s="5" t="s">
        <v>8223</v>
      </c>
      <c r="B6434" s="5" t="s">
        <v>9108</v>
      </c>
      <c r="C6434" s="5" t="str">
        <f>IFERROR(__xludf.DUMMYFUNCTION("GOOGLETRANSLATE(A6434,""en"",""hy"")"),"Ո՞վ է հայտնաբերել էլեկտրաէներգիան:")</f>
        <v>Ո՞վ է հայտնաբերել էլեկտրաէներգիան:</v>
      </c>
      <c r="D6434" s="6" t="str">
        <f>IFERROR(__xludf.DUMMYFUNCTION("GOOGLETRANSLATE(B6434,""en"",""hy"")"),"Բենջամին Ֆրանկլինը հաճախ վերագրվում է 1752 թվականին բանալիով և օդապարիկի հետ իր հայտնի փորձի միջոցով էլեկտրաէներգիա հայտնաբերելու համար: Այնուամենայնիվ, էլեկտրաէներգիան դիտարկվել և ուսումնասիրվել է բազմաթիվ գիտնականների և գյուտարարների կողմից մինչև Ֆրանկլ"&amp;"ինի փորձը:")</f>
        <v>Բենջամին Ֆրանկլինը հաճախ վերագրվում է 1752 թվականին բանալիով և օդապարիկի հետ իր հայտնի փորձի միջոցով էլեկտրաէներգիա հայտնաբերելու համար: Այնուամենայնիվ, էլեկտրաէներգիան դիտարկվել և ուսումնասիրվել է բազմաթիվ գիտնականների և գյուտարարների կողմից մինչև Ֆրանկլինի փորձը:</v>
      </c>
    </row>
    <row r="6435">
      <c r="A6435" s="5" t="s">
        <v>7506</v>
      </c>
      <c r="B6435" s="5" t="s">
        <v>7507</v>
      </c>
      <c r="C6435" s="5" t="str">
        <f>IFERROR(__xludf.DUMMYFUNCTION("GOOGLETRANSLATE(A6435,""en"",""hy"")"),"Ո՞րն է աշխարհի ամենափոքր երկիրը:")</f>
        <v>Ո՞րն է աշխարհի ամենափոքր երկիրը:</v>
      </c>
      <c r="D6435" s="6" t="str">
        <f>IFERROR(__xludf.DUMMYFUNCTION("GOOGLETRANSLATE(B6435,""en"",""hy"")"),"Քաղաք Վատիկան.")</f>
        <v>Քաղաք Վատիկան.</v>
      </c>
    </row>
    <row r="6436">
      <c r="A6436" s="5" t="s">
        <v>9109</v>
      </c>
      <c r="B6436" s="5" t="s">
        <v>9110</v>
      </c>
      <c r="C6436" s="5" t="str">
        <f>IFERROR(__xludf.DUMMYFUNCTION("GOOGLETRANSLATE(A6436,""en"",""hy"")"),"Ո՞ր գետն է հոսում Գրանդ կանյոնով:")</f>
        <v>Ո՞ր գետն է հոսում Գրանդ կանյոնով:</v>
      </c>
      <c r="D6436" s="6" t="str">
        <f>IFERROR(__xludf.DUMMYFUNCTION("GOOGLETRANSLATE(B6436,""en"",""hy"")"),"Կոլորադո գետը.")</f>
        <v>Կոլորադո գետը.</v>
      </c>
    </row>
    <row r="6437">
      <c r="A6437" s="5" t="s">
        <v>9111</v>
      </c>
      <c r="B6437" s="5" t="s">
        <v>9112</v>
      </c>
      <c r="C6437" s="5" t="str">
        <f>IFERROR(__xludf.DUMMYFUNCTION("GOOGLETRANSLATE(A6437,""en"",""hy"")"),"Ո՞րն է այբուբենի 25-րդ տառը:")</f>
        <v>Ո՞րն է այբուբենի 25-րդ տառը:</v>
      </c>
      <c r="D6437" s="6" t="str">
        <f>IFERROR(__xludf.DUMMYFUNCTION("GOOGLETRANSLATE(B6437,""en"",""hy"")"),"Յ.")</f>
        <v>Յ.</v>
      </c>
    </row>
    <row r="6438">
      <c r="A6438" s="5" t="s">
        <v>9113</v>
      </c>
      <c r="B6438" s="5" t="s">
        <v>7512</v>
      </c>
      <c r="C6438" s="5" t="str">
        <f>IFERROR(__xludf.DUMMYFUNCTION("GOOGLETRANSLATE(A6438,""en"",""hy"")"),"Ո՞ր երկրում է գտնվում Գիզայի Մեծ բուրգը:")</f>
        <v>Ո՞ր երկրում է գտնվում Գիզայի Մեծ բուրգը:</v>
      </c>
      <c r="D6438" s="6" t="str">
        <f>IFERROR(__xludf.DUMMYFUNCTION("GOOGLETRANSLATE(B6438,""en"",""hy"")"),"Եգիպտոս.")</f>
        <v>Եգիպտոս.</v>
      </c>
    </row>
    <row r="6439">
      <c r="A6439" s="5" t="s">
        <v>8404</v>
      </c>
      <c r="B6439" s="5" t="s">
        <v>8405</v>
      </c>
      <c r="C6439" s="5" t="str">
        <f>IFERROR(__xludf.DUMMYFUNCTION("GOOGLETRANSLATE(A6439,""en"",""hy"")"),"Ո՞վ էր հունական ամպրոպի աստվածը:")</f>
        <v>Ո՞վ էր հունական ամպրոպի աստվածը:</v>
      </c>
      <c r="D6439" s="6" t="str">
        <f>IFERROR(__xludf.DUMMYFUNCTION("GOOGLETRANSLATE(B6439,""en"",""hy"")"),"Զևս.")</f>
        <v>Զևս.</v>
      </c>
    </row>
    <row r="6440">
      <c r="A6440" s="5" t="s">
        <v>7653</v>
      </c>
      <c r="B6440" s="5" t="s">
        <v>6011</v>
      </c>
      <c r="C6440" s="5" t="str">
        <f>IFERROR(__xludf.DUMMYFUNCTION("GOOGLETRANSLATE(A6440,""en"",""hy"")"),"Ո՞րն է Իսպանիայի մայրաքաղաքը:")</f>
        <v>Ո՞րն է Իսպանիայի մայրաքաղաքը:</v>
      </c>
      <c r="D6440" s="6" t="str">
        <f>IFERROR(__xludf.DUMMYFUNCTION("GOOGLETRANSLATE(B6440,""en"",""hy"")"),"Մադրիդ")</f>
        <v>Մադրիդ</v>
      </c>
    </row>
    <row r="6441">
      <c r="A6441" s="5" t="s">
        <v>9114</v>
      </c>
      <c r="B6441" s="5" t="s">
        <v>9115</v>
      </c>
      <c r="C6441" s="5" t="str">
        <f>IFERROR(__xludf.DUMMYFUNCTION("GOOGLETRANSLATE(A6441,""en"",""hy"")"),"Քանի՞ նահանգ կա Միացյալ Նահանգներում:")</f>
        <v>Քանի՞ նահանգ կա Միացյալ Նահանգներում:</v>
      </c>
      <c r="D6441" s="6" t="str">
        <f>IFERROR(__xludf.DUMMYFUNCTION("GOOGLETRANSLATE(B6441,""en"",""hy"")"),"ԱՄՆ-ում կա 50 նահանգ։")</f>
        <v>ԱՄՆ-ում կա 50 նահանգ։</v>
      </c>
    </row>
    <row r="6442">
      <c r="A6442" s="5" t="s">
        <v>7655</v>
      </c>
      <c r="B6442" s="5" t="s">
        <v>9116</v>
      </c>
      <c r="C6442" s="5" t="str">
        <f>IFERROR(__xludf.DUMMYFUNCTION("GOOGLETRANSLATE(A6442,""en"",""hy"")"),"Ո՞վ է գրել «Ագռավը» բանաստեղծությունը:")</f>
        <v>Ո՞վ է գրել «Ագռավը» բանաստեղծությունը:</v>
      </c>
      <c r="D6442" s="6" t="str">
        <f>IFERROR(__xludf.DUMMYFUNCTION("GOOGLETRANSLATE(B6442,""en"",""hy"")"),"Էդգար Ալան Պո")</f>
        <v>Էդգար Ալան Պո</v>
      </c>
    </row>
    <row r="6443">
      <c r="A6443" s="5" t="s">
        <v>7509</v>
      </c>
      <c r="B6443" s="5" t="s">
        <v>7684</v>
      </c>
      <c r="C6443" s="5" t="str">
        <f>IFERROR(__xludf.DUMMYFUNCTION("GOOGLETRANSLATE(A6443,""en"",""hy"")"),"Ո՞րն է արծաթի քիմիական նշանը:")</f>
        <v>Ո՞րն է արծաթի քիմիական նշանը:</v>
      </c>
      <c r="D6443" s="6" t="str">
        <f>IFERROR(__xludf.DUMMYFUNCTION("GOOGLETRANSLATE(B6443,""en"",""hy"")"),"Արծաթի քիմիական խորհրդանիշն է Ag.")</f>
        <v>Արծաթի քիմիական խորհրդանիշն է Ag.</v>
      </c>
    </row>
    <row r="6444">
      <c r="A6444" s="5" t="s">
        <v>8298</v>
      </c>
      <c r="B6444" s="7">
        <v>1989.0</v>
      </c>
      <c r="C6444" s="5" t="str">
        <f>IFERROR(__xludf.DUMMYFUNCTION("GOOGLETRANSLATE(A6444,""en"",""hy"")"),"Ո՞ր թվականին է փլվել Բեռլինի պատը:")</f>
        <v>Ո՞ր թվականին է փլվել Բեռլինի պատը:</v>
      </c>
      <c r="D6444" s="6" t="str">
        <f>IFERROR(__xludf.DUMMYFUNCTION("GOOGLETRANSLATE(B6444,""en"",""hy"")"),"1989 թ")</f>
        <v>1989 թ</v>
      </c>
    </row>
    <row r="6445">
      <c r="A6445" s="5" t="s">
        <v>8665</v>
      </c>
      <c r="B6445" s="5" t="s">
        <v>8201</v>
      </c>
      <c r="C6445" s="5" t="str">
        <f>IFERROR(__xludf.DUMMYFUNCTION("GOOGLETRANSLATE(A6445,""en"",""hy"")"),"Ո՞ր երկիրն է հայտնի Ակրոպոլիսով:")</f>
        <v>Ո՞ր երկիրն է հայտնի Ակրոպոլիսով:</v>
      </c>
      <c r="D6445" s="6" t="str">
        <f>IFERROR(__xludf.DUMMYFUNCTION("GOOGLETRANSLATE(B6445,""en"",""hy"")"),"Հունաստան.")</f>
        <v>Հունաստան.</v>
      </c>
    </row>
    <row r="6446">
      <c r="A6446" s="5" t="s">
        <v>8198</v>
      </c>
      <c r="B6446" s="5" t="s">
        <v>8199</v>
      </c>
      <c r="C6446" s="5" t="str">
        <f>IFERROR(__xludf.DUMMYFUNCTION("GOOGLETRANSLATE(A6446,""en"",""hy"")"),"Ո՞րն է Չինաստանի ազգային կենդանին:")</f>
        <v>Ո՞րն է Չինաստանի ազգային կենդանին:</v>
      </c>
      <c r="D6446" s="6" t="str">
        <f>IFERROR(__xludf.DUMMYFUNCTION("GOOGLETRANSLATE(B6446,""en"",""hy"")"),"Չինաստանի ազգային կենդանին հսկա պանդան է։")</f>
        <v>Չինաստանի ազգային կենդանին հսկա պանդան է։</v>
      </c>
    </row>
    <row r="6447">
      <c r="A6447" s="5" t="s">
        <v>8332</v>
      </c>
      <c r="B6447" s="5" t="s">
        <v>8333</v>
      </c>
      <c r="C6447" s="5" t="str">
        <f>IFERROR(__xludf.DUMMYFUNCTION("GOOGLETRANSLATE(A6447,""en"",""hy"")"),"Քանի՞ լար ունի ստանդարտ կիթառը:")</f>
        <v>Քանի՞ լար ունի ստանդարտ կիթառը:</v>
      </c>
      <c r="D6447" s="6" t="str">
        <f>IFERROR(__xludf.DUMMYFUNCTION("GOOGLETRANSLATE(B6447,""en"",""hy"")"),"Ստանդարտ կիթառն ունի վեց լար:")</f>
        <v>Ստանդարտ կիթառն ունի վեց լար:</v>
      </c>
    </row>
    <row r="6448">
      <c r="A6448" s="5" t="s">
        <v>7561</v>
      </c>
      <c r="B6448" s="5" t="s">
        <v>7669</v>
      </c>
      <c r="C6448" s="5" t="str">
        <f>IFERROR(__xludf.DUMMYFUNCTION("GOOGLETRANSLATE(A6448,""en"",""hy"")"),"Ո՞րն է Մեքսիկայի արժույթը:")</f>
        <v>Ո՞րն է Մեքսիկայի արժույթը:</v>
      </c>
      <c r="D6448" s="6" t="str">
        <f>IFERROR(__xludf.DUMMYFUNCTION("GOOGLETRANSLATE(B6448,""en"",""hy"")"),"Մեքսիկայի արժույթը մեքսիկական պեսոն է։")</f>
        <v>Մեքսիկայի արժույթը մեքսիկական պեսոն է։</v>
      </c>
    </row>
    <row r="6449">
      <c r="A6449" s="5" t="s">
        <v>7683</v>
      </c>
      <c r="B6449" s="5" t="s">
        <v>1016</v>
      </c>
      <c r="C6449" s="5" t="str">
        <f>IFERROR(__xludf.DUMMYFUNCTION("GOOGLETRANSLATE(A6449,""en"",""hy"")"),"Ո՞վ է գրել «Համլետ» պիեսը։")</f>
        <v>Ո՞վ է գրել «Համլետ» պիեսը։</v>
      </c>
      <c r="D6449" s="6" t="str">
        <f>IFERROR(__xludf.DUMMYFUNCTION("GOOGLETRANSLATE(B6449,""en"",""hy"")"),"Ուիլյամ Շեքսպիր.")</f>
        <v>Ուիլյամ Շեքսպիր.</v>
      </c>
    </row>
    <row r="6450">
      <c r="A6450" s="5" t="s">
        <v>7761</v>
      </c>
      <c r="B6450" s="5" t="s">
        <v>7862</v>
      </c>
      <c r="C6450" s="5" t="str">
        <f>IFERROR(__xludf.DUMMYFUNCTION("GOOGLETRANSLATE(A6450,""en"",""hy"")"),"Ո՞րն է ջրածնի քիմիական նշանը:")</f>
        <v>Ո՞րն է ջրածնի քիմիական նշանը:</v>
      </c>
      <c r="D6450" s="6" t="str">
        <f>IFERROR(__xludf.DUMMYFUNCTION("GOOGLETRANSLATE(B6450,""en"",""hy"")"),"Ջրածնի քիմիական նշանն է H.")</f>
        <v>Ջրածնի քիմիական նշանն է H.</v>
      </c>
    </row>
    <row r="6451">
      <c r="A6451" s="5" t="s">
        <v>9117</v>
      </c>
      <c r="B6451" s="5" t="s">
        <v>9118</v>
      </c>
      <c r="C6451" s="5" t="str">
        <f>IFERROR(__xludf.DUMMYFUNCTION("GOOGLETRANSLATE(A6451,""en"",""hy"")"),"Ո՞ր երկրում է գտնվում Պրահան քաղաքը:")</f>
        <v>Ո՞ր երկրում է գտնվում Պրահան քաղաքը:</v>
      </c>
      <c r="D6451" s="6" t="str">
        <f>IFERROR(__xludf.DUMMYFUNCTION("GOOGLETRANSLATE(B6451,""en"",""hy"")"),"Չեխիայի Հանրապետություն.")</f>
        <v>Չեխիայի Հանրապետություն.</v>
      </c>
    </row>
    <row r="6452">
      <c r="A6452" s="5" t="s">
        <v>8378</v>
      </c>
      <c r="B6452" s="5" t="s">
        <v>8379</v>
      </c>
      <c r="C6452" s="5" t="str">
        <f>IFERROR(__xludf.DUMMYFUNCTION("GOOGLETRANSLATE(A6452,""en"",""hy"")"),"Ո՞րն է աշխարհի ամենամեծ ձորը:")</f>
        <v>Ո՞րն է աշխարհի ամենամեծ ձորը:</v>
      </c>
      <c r="D6452" s="6" t="str">
        <f>IFERROR(__xludf.DUMMYFUNCTION("GOOGLETRANSLATE(B6452,""en"",""hy"")"),"Աշխարհի ամենամեծ կիրճը Գրանդ կանյոնն է։")</f>
        <v>Աշխարհի ամենամեծ կիրճը Գրանդ կանյոնն է։</v>
      </c>
    </row>
    <row r="6453">
      <c r="A6453" s="5" t="s">
        <v>8099</v>
      </c>
      <c r="B6453" s="5" t="s">
        <v>8100</v>
      </c>
      <c r="C6453" s="5" t="str">
        <f>IFERROR(__xludf.DUMMYFUNCTION("GOOGLETRANSLATE(A6453,""en"",""hy"")"),"Քանի՞ մոլորակ կա մեր արեգակնային համակարգում:")</f>
        <v>Քանի՞ մոլորակ կա մեր արեգակնային համակարգում:</v>
      </c>
      <c r="D6453" s="6" t="str">
        <f>IFERROR(__xludf.DUMMYFUNCTION("GOOGLETRANSLATE(B6453,""en"",""hy"")"),"Մեր Արեգակնային համակարգում կա ութ մոլորակ:")</f>
        <v>Մեր Արեգակնային համակարգում կա ութ մոլորակ:</v>
      </c>
    </row>
    <row r="6454">
      <c r="A6454" s="5" t="s">
        <v>7548</v>
      </c>
      <c r="B6454" s="5" t="s">
        <v>7549</v>
      </c>
      <c r="C6454" s="5" t="str">
        <f>IFERROR(__xludf.DUMMYFUNCTION("GOOGLETRANSLATE(A6454,""en"",""hy"")"),"Ո՞վ է նկարել մարգարիտ ականջօղով աղջկան:")</f>
        <v>Ո՞վ է նկարել մարգարիտ ականջօղով աղջկան:</v>
      </c>
      <c r="D6454" s="6" t="str">
        <f>IFERROR(__xludf.DUMMYFUNCTION("GOOGLETRANSLATE(B6454,""en"",""hy"")"),"Յոհաննես Վերմեեր.")</f>
        <v>Յոհաննես Վերմեեր.</v>
      </c>
    </row>
    <row r="6455">
      <c r="A6455" s="5" t="s">
        <v>8172</v>
      </c>
      <c r="B6455" s="5" t="s">
        <v>8173</v>
      </c>
      <c r="C6455" s="5" t="str">
        <f>IFERROR(__xludf.DUMMYFUNCTION("GOOGLETRANSLATE(A6455,""en"",""hy"")"),"Ո՞րն է աշխարհի ամենաբարձր ջրվեժը:")</f>
        <v>Ո՞րն է աշխարհի ամենաբարձր ջրվեժը:</v>
      </c>
      <c r="D6455" s="6" t="str">
        <f>IFERROR(__xludf.DUMMYFUNCTION("GOOGLETRANSLATE(B6455,""en"",""hy"")"),"Angel Falls")</f>
        <v>Angel Falls</v>
      </c>
    </row>
    <row r="6456">
      <c r="A6456" s="5" t="s">
        <v>8639</v>
      </c>
      <c r="B6456" s="5" t="s">
        <v>6334</v>
      </c>
      <c r="C6456" s="5" t="str">
        <f>IFERROR(__xludf.DUMMYFUNCTION("GOOGLETRANSLATE(A6456,""en"",""hy"")"),"Ո՞ր երկիրն է հայտնի Կոլիզեյով:")</f>
        <v>Ո՞ր երկիրն է հայտնի Կոլիզեյով:</v>
      </c>
      <c r="D6456" s="6" t="str">
        <f>IFERROR(__xludf.DUMMYFUNCTION("GOOGLETRANSLATE(B6456,""en"",""hy"")"),"Իտալիա.")</f>
        <v>Իտալիա.</v>
      </c>
    </row>
    <row r="6457">
      <c r="A6457" s="5" t="s">
        <v>7817</v>
      </c>
      <c r="B6457" s="5" t="s">
        <v>7818</v>
      </c>
      <c r="C6457" s="5" t="str">
        <f>IFERROR(__xludf.DUMMYFUNCTION("GOOGLETRANSLATE(A6457,""en"",""hy"")"),"Ո՞րն է Կանադայի ազգային կենդանին:")</f>
        <v>Ո՞րն է Կանադայի ազգային կենդանին:</v>
      </c>
      <c r="D6457" s="6" t="str">
        <f>IFERROR(__xludf.DUMMYFUNCTION("GOOGLETRANSLATE(B6457,""en"",""hy"")"),"Կանադայի ազգային կենդանին կեղևն է:")</f>
        <v>Կանադայի ազգային կենդանին կեղևն է:</v>
      </c>
    </row>
    <row r="6458">
      <c r="A6458" s="5" t="s">
        <v>7932</v>
      </c>
      <c r="B6458" s="5" t="s">
        <v>7933</v>
      </c>
      <c r="C6458" s="5" t="str">
        <f>IFERROR(__xludf.DUMMYFUNCTION("GOOGLETRANSLATE(A6458,""en"",""hy"")"),"Քանի՞ խցիկ կա մարդու սրտում:")</f>
        <v>Քանի՞ խցիկ կա մարդու սրտում:</v>
      </c>
      <c r="D6458" s="6" t="str">
        <f>IFERROR(__xludf.DUMMYFUNCTION("GOOGLETRANSLATE(B6458,""en"",""hy"")"),"Մարդու սրտում չորս պալատ կա.")</f>
        <v>Մարդու սրտում չորս պալատ կա.</v>
      </c>
    </row>
    <row r="6459">
      <c r="A6459" s="5" t="s">
        <v>7443</v>
      </c>
      <c r="B6459" s="5" t="s">
        <v>7444</v>
      </c>
      <c r="C6459" s="5" t="str">
        <f>IFERROR(__xludf.DUMMYFUNCTION("GOOGLETRANSLATE(A6459,""en"",""hy"")"),"Ո՞վ է գրել «1984» վեպը։")</f>
        <v>Ո՞վ է գրել «1984» վեպը։</v>
      </c>
      <c r="D6459" s="6" t="str">
        <f>IFERROR(__xludf.DUMMYFUNCTION("GOOGLETRANSLATE(B6459,""en"",""hy"")"),"Ջորջ Օրուել.")</f>
        <v>Ջորջ Օրուել.</v>
      </c>
    </row>
    <row r="6460">
      <c r="A6460" s="5" t="s">
        <v>7659</v>
      </c>
      <c r="B6460" s="5" t="s">
        <v>9119</v>
      </c>
      <c r="C6460" s="5" t="str">
        <f>IFERROR(__xludf.DUMMYFUNCTION("GOOGLETRANSLATE(A6460,""en"",""hy"")"),"Ո՞րն է Բրազիլիայի մայրաքաղաքը:")</f>
        <v>Ո՞րն է Բրազիլիայի մայրաքաղաքը:</v>
      </c>
      <c r="D6460" s="6" t="str">
        <f>IFERROR(__xludf.DUMMYFUNCTION("GOOGLETRANSLATE(B6460,""en"",""hy"")"),"Բրազիլիայի մայրաքաղաքը Բրազիլիան է։")</f>
        <v>Բրազիլիայի մայրաքաղաքը Բրազիլիան է։</v>
      </c>
    </row>
    <row r="6461">
      <c r="A6461" s="5" t="s">
        <v>9120</v>
      </c>
      <c r="B6461" s="5" t="s">
        <v>9121</v>
      </c>
      <c r="C6461" s="5" t="str">
        <f>IFERROR(__xludf.DUMMYFUNCTION("GOOGLETRANSLATE(A6461,""en"",""hy"")"),"Քանի՞ շերտ կա ամերիկյան դրոշի վրա:")</f>
        <v>Քանի՞ շերտ կա ամերիկյան դրոշի վրա:</v>
      </c>
      <c r="D6461" s="6" t="str">
        <f>IFERROR(__xludf.DUMMYFUNCTION("GOOGLETRANSLATE(B6461,""en"",""hy"")"),"Ամերիկյան դրոշի վրա կա 13 գծեր։")</f>
        <v>Ամերիկյան դրոշի վրա կա 13 գծեր։</v>
      </c>
    </row>
    <row r="6462">
      <c r="A6462" s="5" t="s">
        <v>9057</v>
      </c>
      <c r="B6462" s="5" t="s">
        <v>7878</v>
      </c>
      <c r="C6462" s="5" t="str">
        <f>IFERROR(__xludf.DUMMYFUNCTION("GOOGLETRANSLATE(A6462,""en"",""hy"")"),"Ո՞վ է նկարել Ադամի արարումը:")</f>
        <v>Ո՞վ է նկարել Ադամի արարումը:</v>
      </c>
      <c r="D6462" s="6" t="str">
        <f>IFERROR(__xludf.DUMMYFUNCTION("GOOGLETRANSLATE(B6462,""en"",""hy"")"),"Միքելանջելո")</f>
        <v>Միքելանջելո</v>
      </c>
    </row>
    <row r="6463">
      <c r="A6463" s="5" t="s">
        <v>7526</v>
      </c>
      <c r="B6463" s="5" t="s">
        <v>7527</v>
      </c>
      <c r="C6463" s="5" t="str">
        <f>IFERROR(__xludf.DUMMYFUNCTION("GOOGLETRANSLATE(A6463,""en"",""hy"")"),"Ո՞րն է աշխարհի ամենամեծ կղզին:")</f>
        <v>Ո՞րն է աշխարհի ամենամեծ կղզին:</v>
      </c>
      <c r="D6463" s="6" t="str">
        <f>IFERROR(__xludf.DUMMYFUNCTION("GOOGLETRANSLATE(B6463,""en"",""hy"")"),"Գրենլանդիա.")</f>
        <v>Գրենլանդիա.</v>
      </c>
    </row>
    <row r="6464">
      <c r="A6464" s="5" t="s">
        <v>8648</v>
      </c>
      <c r="B6464" s="5" t="s">
        <v>7512</v>
      </c>
      <c r="C6464" s="5" t="str">
        <f>IFERROR(__xludf.DUMMYFUNCTION("GOOGLETRANSLATE(A6464,""en"",""hy"")"),"Ո՞ր երկիրն է հայտնի Գիզայի բուրգերով:")</f>
        <v>Ո՞ր երկիրն է հայտնի Գիզայի բուրգերով:</v>
      </c>
      <c r="D6464" s="6" t="str">
        <f>IFERROR(__xludf.DUMMYFUNCTION("GOOGLETRANSLATE(B6464,""en"",""hy"")"),"Եգիպտոս.")</f>
        <v>Եգիպտոս.</v>
      </c>
    </row>
    <row r="6465">
      <c r="A6465" s="5" t="s">
        <v>7699</v>
      </c>
      <c r="B6465" s="5" t="s">
        <v>7700</v>
      </c>
      <c r="C6465" s="5" t="str">
        <f>IFERROR(__xludf.DUMMYFUNCTION("GOOGLETRANSLATE(A6465,""en"",""hy"")"),"Ո՞րն է ածխածնի քիմիական նշանը:")</f>
        <v>Ո՞րն է ածխածնի քիմիական նշանը:</v>
      </c>
      <c r="D6465" s="6" t="str">
        <f>IFERROR(__xludf.DUMMYFUNCTION("GOOGLETRANSLATE(B6465,""en"",""hy"")"),"Ածխածնի քիմիական նշանը C է:")</f>
        <v>Ածխածնի քիմիական նշանը C է:</v>
      </c>
    </row>
    <row r="6466">
      <c r="A6466" s="5" t="s">
        <v>8495</v>
      </c>
      <c r="B6466" s="7">
        <v>1776.0</v>
      </c>
      <c r="C6466" s="5" t="str">
        <f>IFERROR(__xludf.DUMMYFUNCTION("GOOGLETRANSLATE(A6466,""en"",""hy"")"),"Ո՞ր թվականին է ստորագրվել Անկախության հռչակագիրը։")</f>
        <v>Ո՞ր թվականին է ստորագրվել Անկախության հռչակագիրը։</v>
      </c>
      <c r="D6466" s="6" t="str">
        <f>IFERROR(__xludf.DUMMYFUNCTION("GOOGLETRANSLATE(B6466,""en"",""hy"")"),"1776 թ")</f>
        <v>1776 թ</v>
      </c>
    </row>
    <row r="6467">
      <c r="A6467" s="5" t="s">
        <v>7479</v>
      </c>
      <c r="B6467" s="5" t="s">
        <v>1996</v>
      </c>
      <c r="C6467" s="5" t="str">
        <f>IFERROR(__xludf.DUMMYFUNCTION("GOOGLETRANSLATE(A6467,""en"",""hy"")"),"Ո՞վ է Միացյալ Թագավորության ներկայիս վարչապետը:")</f>
        <v>Ո՞վ է Միացյալ Թագավորության ներկայիս վարչապետը:</v>
      </c>
      <c r="D6467" s="6" t="str">
        <f>IFERROR(__xludf.DUMMYFUNCTION("GOOGLETRANSLATE(B6467,""en"",""hy"")"),"Բորիս Ջոնսոն.")</f>
        <v>Բորիս Ջոնսոն.</v>
      </c>
    </row>
    <row r="6468">
      <c r="A6468" s="5" t="s">
        <v>7662</v>
      </c>
      <c r="B6468" s="5" t="s">
        <v>7663</v>
      </c>
      <c r="C6468" s="5" t="str">
        <f>IFERROR(__xludf.DUMMYFUNCTION("GOOGLETRANSLATE(A6468,""en"",""hy"")"),"Ո՞րն է Հնդկաստանի արժույթը:")</f>
        <v>Ո՞րն է Հնդկաստանի արժույթը:</v>
      </c>
      <c r="D6468" s="6" t="str">
        <f>IFERROR(__xludf.DUMMYFUNCTION("GOOGLETRANSLATE(B6468,""en"",""hy"")"),"Հնդկաստանի արժույթը հնդկական ռուփին է։")</f>
        <v>Հնդկաստանի արժույթը հնդկական ռուփին է։</v>
      </c>
    </row>
    <row r="6469">
      <c r="A6469" s="5" t="s">
        <v>7726</v>
      </c>
      <c r="B6469" s="5" t="s">
        <v>1016</v>
      </c>
      <c r="C6469" s="5" t="str">
        <f>IFERROR(__xludf.DUMMYFUNCTION("GOOGLETRANSLATE(A6469,""en"",""hy"")"),"Ո՞վ է գրել «Մակբեթ» պիեսը։")</f>
        <v>Ո՞վ է գրել «Մակբեթ» պիեսը։</v>
      </c>
      <c r="D6469" s="6" t="str">
        <f>IFERROR(__xludf.DUMMYFUNCTION("GOOGLETRANSLATE(B6469,""en"",""hy"")"),"Ուիլյամ Շեքսպիր.")</f>
        <v>Ուիլյամ Շեքսպիր.</v>
      </c>
    </row>
    <row r="6470">
      <c r="A6470" s="5" t="s">
        <v>7859</v>
      </c>
      <c r="B6470" s="5" t="s">
        <v>7860</v>
      </c>
      <c r="C6470" s="5" t="str">
        <f>IFERROR(__xludf.DUMMYFUNCTION("GOOGLETRANSLATE(A6470,""en"",""hy"")"),"Ո՞րն է մեթանի քիմիական բանաձևը:")</f>
        <v>Ո՞րն է մեթանի քիմիական բանաձևը:</v>
      </c>
      <c r="D6470" s="6" t="str">
        <f>IFERROR(__xludf.DUMMYFUNCTION("GOOGLETRANSLATE(B6470,""en"",""hy"")"),"Մեթանի քիմիական բանաձևը CH4 է:")</f>
        <v>Մեթանի քիմիական բանաձևը CH4 է:</v>
      </c>
    </row>
    <row r="6471">
      <c r="A6471" s="5" t="s">
        <v>9122</v>
      </c>
      <c r="B6471" s="5" t="s">
        <v>7784</v>
      </c>
      <c r="C6471" s="5" t="str">
        <f>IFERROR(__xludf.DUMMYFUNCTION("GOOGLETRANSLATE(A6471,""en"",""hy"")"),"Ո՞ր երկրում է գտնվում Տոկիոն:")</f>
        <v>Ո՞ր երկրում է գտնվում Տոկիոն:</v>
      </c>
      <c r="D6471" s="6" t="str">
        <f>IFERROR(__xludf.DUMMYFUNCTION("GOOGLETRANSLATE(B6471,""en"",""hy"")"),"Ճապոնիա")</f>
        <v>Ճապոնիա</v>
      </c>
    </row>
    <row r="6472">
      <c r="A6472" s="5" t="s">
        <v>9123</v>
      </c>
      <c r="B6472" s="5" t="s">
        <v>9124</v>
      </c>
      <c r="C6472" s="5" t="str">
        <f>IFERROR(__xludf.DUMMYFUNCTION("GOOGLETRANSLATE(A6472,""en"",""hy"")"),"Ո՞րն է ԱՄՆ-ի ամենամեծ ջրվեժը:")</f>
        <v>Ո՞րն է ԱՄՆ-ի ամենամեծ ջրվեժը:</v>
      </c>
      <c r="D6472" s="6" t="str">
        <f>IFERROR(__xludf.DUMMYFUNCTION("GOOGLETRANSLATE(B6472,""en"",""hy"")"),"ԱՄՆ-ի ամենամեծ ջրվեժը Նիագարայի ջրվեժն է:")</f>
        <v>ԱՄՆ-ի ամենամեծ ջրվեժը Նիագարայի ջրվեժն է:</v>
      </c>
    </row>
    <row r="6473">
      <c r="A6473" s="5" t="s">
        <v>9125</v>
      </c>
      <c r="B6473" s="5" t="s">
        <v>9126</v>
      </c>
      <c r="C6473" s="5" t="str">
        <f>IFERROR(__xludf.DUMMYFUNCTION("GOOGLETRANSLATE(A6473,""en"",""hy"")"),"Ո՞վ էր հռոմեական սիրո աստվածը:")</f>
        <v>Ո՞վ էր հռոմեական սիրո աստվածը:</v>
      </c>
      <c r="D6473" s="6" t="str">
        <f>IFERROR(__xludf.DUMMYFUNCTION("GOOGLETRANSLATE(B6473,""en"",""hy"")"),"Հռոմեական սիրո աստվածը Կուպիդն էր:")</f>
        <v>Հռոմեական սիրո աստվածը Կուպիդն էր:</v>
      </c>
    </row>
    <row r="6474">
      <c r="A6474" s="5" t="s">
        <v>7686</v>
      </c>
      <c r="B6474" s="5" t="s">
        <v>6980</v>
      </c>
      <c r="C6474" s="5" t="str">
        <f>IFERROR(__xludf.DUMMYFUNCTION("GOOGLETRANSLATE(A6474,""en"",""hy"")"),"Ո՞րն է Գերմանիայի մայրաքաղաքը:")</f>
        <v>Ո՞րն է Գերմանիայի մայրաքաղաքը:</v>
      </c>
      <c r="D6474" s="6" t="str">
        <f>IFERROR(__xludf.DUMMYFUNCTION("GOOGLETRANSLATE(B6474,""en"",""hy"")"),"Բեռլին")</f>
        <v>Բեռլին</v>
      </c>
    </row>
    <row r="6475">
      <c r="A6475" s="5" t="s">
        <v>8408</v>
      </c>
      <c r="B6475" s="5" t="s">
        <v>8409</v>
      </c>
      <c r="C6475" s="5" t="str">
        <f>IFERROR(__xludf.DUMMYFUNCTION("GOOGLETRANSLATE(A6475,""en"",""hy"")"),"Քանի՞ ոտք ունի սարդը:")</f>
        <v>Քանի՞ ոտք ունի սարդը:</v>
      </c>
      <c r="D6475" s="6" t="str">
        <f>IFERROR(__xludf.DUMMYFUNCTION("GOOGLETRANSLATE(B6475,""en"",""hy"")"),"Սարդն ունի ութ ոտք:")</f>
        <v>Սարդն ունի ութ ոտք:</v>
      </c>
    </row>
    <row r="6476">
      <c r="A6476" s="5" t="s">
        <v>9127</v>
      </c>
      <c r="B6476" s="5" t="s">
        <v>8615</v>
      </c>
      <c r="C6476" s="5" t="str">
        <f>IFERROR(__xludf.DUMMYFUNCTION("GOOGLETRANSLATE(A6476,""en"",""hy"")"),"Ո՞րն է այբուբենի 29-րդ տառը:")</f>
        <v>Ո՞րն է այբուբենի 29-րդ տառը:</v>
      </c>
      <c r="D6476" s="6" t="str">
        <f>IFERROR(__xludf.DUMMYFUNCTION("GOOGLETRANSLATE(B6476,""en"",""hy"")"),"Գ")</f>
        <v>Գ</v>
      </c>
    </row>
    <row r="6477">
      <c r="A6477" s="5" t="s">
        <v>7957</v>
      </c>
      <c r="B6477" s="5" t="s">
        <v>2790</v>
      </c>
      <c r="C6477" s="5" t="str">
        <f>IFERROR(__xludf.DUMMYFUNCTION("GOOGLETRANSLATE(A6477,""en"",""hy"")"),"Ո՞ր երկրում է գտնվում Մեծ պարիսպը:")</f>
        <v>Ո՞ր երկրում է գտնվում Մեծ պարիսպը:</v>
      </c>
      <c r="D6477" s="6" t="str">
        <f>IFERROR(__xludf.DUMMYFUNCTION("GOOGLETRANSLATE(B6477,""en"",""hy"")"),"Չինաստան.")</f>
        <v>Չինաստան.</v>
      </c>
    </row>
    <row r="6478">
      <c r="A6478" s="5" t="s">
        <v>8217</v>
      </c>
      <c r="B6478" s="5" t="s">
        <v>8043</v>
      </c>
      <c r="C6478" s="5" t="str">
        <f>IFERROR(__xludf.DUMMYFUNCTION("GOOGLETRANSLATE(A6478,""en"",""hy"")"),"Ո՞վ է նկարել Հիշողության համառությունը:")</f>
        <v>Ո՞վ է նկարել Հիշողության համառությունը:</v>
      </c>
      <c r="D6478" s="6" t="str">
        <f>IFERROR(__xludf.DUMMYFUNCTION("GOOGLETRANSLATE(B6478,""en"",""hy"")"),"Սալվադոր Դալի.")</f>
        <v>Սալվադոր Դալի.</v>
      </c>
    </row>
    <row r="6479">
      <c r="A6479" s="5" t="s">
        <v>7722</v>
      </c>
      <c r="B6479" s="5" t="s">
        <v>7723</v>
      </c>
      <c r="C6479" s="5" t="str">
        <f>IFERROR(__xludf.DUMMYFUNCTION("GOOGLETRANSLATE(A6479,""en"",""hy"")"),"Ո՞րն է Աֆրիկայի ամենաբարձր լեռը:")</f>
        <v>Ո՞րն է Աֆրիկայի ամենաբարձր լեռը:</v>
      </c>
      <c r="D6479" s="6" t="str">
        <f>IFERROR(__xludf.DUMMYFUNCTION("GOOGLETRANSLATE(B6479,""en"",""hy"")"),"Կիլիմանջարո լեռ.")</f>
        <v>Կիլիմանջարո լեռ.</v>
      </c>
    </row>
    <row r="6480">
      <c r="A6480" s="5" t="s">
        <v>9128</v>
      </c>
      <c r="B6480" s="5" t="s">
        <v>9129</v>
      </c>
      <c r="C6480" s="5" t="str">
        <f>IFERROR(__xludf.DUMMYFUNCTION("GOOGLETRANSLATE(A6480,""en"",""hy"")"),"Ո՞ր երկիրն է հայտնի Ազատության արձանով:")</f>
        <v>Ո՞ր երկիրն է հայտնի Ազատության արձանով:</v>
      </c>
      <c r="D6480" s="6" t="str">
        <f>IFERROR(__xludf.DUMMYFUNCTION("GOOGLETRANSLATE(B6480,""en"",""hy"")"),"Միացյալ Նահանգները.")</f>
        <v>Միացյալ Նահանգները.</v>
      </c>
    </row>
    <row r="6481">
      <c r="A6481" s="5" t="s">
        <v>7450</v>
      </c>
      <c r="B6481" s="5" t="s">
        <v>7451</v>
      </c>
      <c r="C6481" s="5" t="str">
        <f>IFERROR(__xludf.DUMMYFUNCTION("GOOGLETRANSLATE(A6481,""en"",""hy"")"),"Ո՞րն է Ավստրալիայի մայրաքաղաքը:")</f>
        <v>Ո՞րն է Ավստրալիայի մայրաքաղաքը:</v>
      </c>
      <c r="D6481" s="6" t="str">
        <f>IFERROR(__xludf.DUMMYFUNCTION("GOOGLETRANSLATE(B6481,""en"",""hy"")"),"Կանբերա.")</f>
        <v>Կանբերա.</v>
      </c>
    </row>
    <row r="6482">
      <c r="A6482" s="5" t="s">
        <v>7849</v>
      </c>
      <c r="B6482" s="5" t="s">
        <v>7541</v>
      </c>
      <c r="C6482" s="5" t="str">
        <f>IFERROR(__xludf.DUMMYFUNCTION("GOOGLETRANSLATE(A6482,""en"",""hy"")"),"Ո՞վ է գրել «Սպանել ծաղրող թռչունին» վեպը:")</f>
        <v>Ո՞վ է գրել «Սպանել ծաղրող թռչունին» վեպը:</v>
      </c>
      <c r="D6482" s="6" t="str">
        <f>IFERROR(__xludf.DUMMYFUNCTION("GOOGLETRANSLATE(B6482,""en"",""hy"")"),"Հարփեր Լի.")</f>
        <v>Հարփեր Լի.</v>
      </c>
    </row>
    <row r="6483">
      <c r="A6483" s="5" t="s">
        <v>7779</v>
      </c>
      <c r="B6483" s="5" t="s">
        <v>7446</v>
      </c>
      <c r="C6483" s="5" t="str">
        <f>IFERROR(__xludf.DUMMYFUNCTION("GOOGLETRANSLATE(A6483,""en"",""hy"")"),"Ո՞ր մոլորակն է հայտնի որպես «Կարմիր մոլորակ»:")</f>
        <v>Ո՞ր մոլորակն է հայտնի որպես «Կարմիր մոլորակ»:</v>
      </c>
      <c r="D6483" s="6" t="str">
        <f>IFERROR(__xludf.DUMMYFUNCTION("GOOGLETRANSLATE(B6483,""en"",""hy"")"),"Մարս.")</f>
        <v>Մարս.</v>
      </c>
    </row>
    <row r="6484">
      <c r="A6484" s="5" t="s">
        <v>7452</v>
      </c>
      <c r="B6484" s="5" t="s">
        <v>7631</v>
      </c>
      <c r="C6484" s="5" t="str">
        <f>IFERROR(__xludf.DUMMYFUNCTION("GOOGLETRANSLATE(A6484,""en"",""hy"")"),"Ո՞րն է ոսկու քիմիական նշանը:")</f>
        <v>Ո՞րն է ոսկու քիմիական նշանը:</v>
      </c>
      <c r="D6484" s="6" t="str">
        <f>IFERROR(__xludf.DUMMYFUNCTION("GOOGLETRANSLATE(B6484,""en"",""hy"")"),"Ավ")</f>
        <v>Ավ</v>
      </c>
    </row>
    <row r="6485">
      <c r="A6485" s="5" t="s">
        <v>7447</v>
      </c>
      <c r="B6485" s="5" t="s">
        <v>7448</v>
      </c>
      <c r="C6485" s="5" t="str">
        <f>IFERROR(__xludf.DUMMYFUNCTION("GOOGLETRANSLATE(A6485,""en"",""hy"")"),"Ո՞վ է նկարել Մոնա Լիզան:")</f>
        <v>Ո՞վ է նկարել Մոնա Լիզան:</v>
      </c>
      <c r="D6485" s="6" t="str">
        <f>IFERROR(__xludf.DUMMYFUNCTION("GOOGLETRANSLATE(B6485,""en"",""hy"")"),"Լեոնարդո դա Վինչի.")</f>
        <v>Լեոնարդո դա Վինչի.</v>
      </c>
    </row>
    <row r="6486">
      <c r="A6486" s="5" t="s">
        <v>8011</v>
      </c>
      <c r="B6486" s="7">
        <v>1945.0</v>
      </c>
      <c r="C6486" s="5" t="str">
        <f>IFERROR(__xludf.DUMMYFUNCTION("GOOGLETRANSLATE(A6486,""en"",""hy"")"),"Ո՞ր թվականին ավարտվեց Երկրորդ համաշխարհային պատերազմը:")</f>
        <v>Ո՞ր թվականին ավարտվեց Երկրորդ համաշխարհային պատերազմը:</v>
      </c>
      <c r="D6486" s="6" t="str">
        <f>IFERROR(__xludf.DUMMYFUNCTION("GOOGLETRANSLATE(B6486,""en"",""hy"")"),"1945 թ")</f>
        <v>1945 թ</v>
      </c>
    </row>
    <row r="6487">
      <c r="A6487" s="5" t="s">
        <v>7477</v>
      </c>
      <c r="B6487" s="5" t="s">
        <v>7478</v>
      </c>
      <c r="C6487" s="5" t="str">
        <f>IFERROR(__xludf.DUMMYFUNCTION("GOOGLETRANSLATE(A6487,""en"",""hy"")"),"Ո՞ր երկիրն է հայտնի որպես «Ծագող արևի երկիր»:")</f>
        <v>Ո՞ր երկիրն է հայտնի որպես «Ծագող արևի երկիր»:</v>
      </c>
      <c r="D6487" s="6" t="str">
        <f>IFERROR(__xludf.DUMMYFUNCTION("GOOGLETRANSLATE(B6487,""en"",""hy"")"),"Ճապոնիա.")</f>
        <v>Ճապոնիա.</v>
      </c>
    </row>
    <row r="6488">
      <c r="A6488" s="5" t="s">
        <v>7455</v>
      </c>
      <c r="B6488" s="5" t="s">
        <v>8875</v>
      </c>
      <c r="C6488" s="5" t="str">
        <f>IFERROR(__xludf.DUMMYFUNCTION("GOOGLETRANSLATE(A6488,""en"",""hy"")"),"Ո՞րն է աշխարհի ամենամեծ օվկիանոսը:")</f>
        <v>Ո՞րն է աշխարհի ամենամեծ օվկիանոսը:</v>
      </c>
      <c r="D6488" s="6" t="str">
        <f>IFERROR(__xludf.DUMMYFUNCTION("GOOGLETRANSLATE(B6488,""en"",""hy"")"),"Խաղաղ օվկիանոսը աշխարհի ամենամեծ օվկիանոսն է։")</f>
        <v>Խաղաղ օվկիանոսը աշխարհի ամենամեծ օվկիանոսն է։</v>
      </c>
    </row>
    <row r="6489">
      <c r="A6489" s="5" t="s">
        <v>8191</v>
      </c>
      <c r="B6489" s="5" t="s">
        <v>7499</v>
      </c>
      <c r="C6489" s="5" t="str">
        <f>IFERROR(__xludf.DUMMYFUNCTION("GOOGLETRANSLATE(A6489,""en"",""hy"")"),"Ո՞ր հայտնի ֆիզիկոսն է մշակել հարաբերականության տեսությունը:")</f>
        <v>Ո՞ր հայտնի ֆիզիկոսն է մշակել հարաբերականության տեսությունը:</v>
      </c>
      <c r="D6489" s="6" t="str">
        <f>IFERROR(__xludf.DUMMYFUNCTION("GOOGLETRANSLATE(B6489,""en"",""hy"")"),"Albert Einstein")</f>
        <v>Albert Einstein</v>
      </c>
    </row>
    <row r="6490">
      <c r="A6490" s="5" t="s">
        <v>7842</v>
      </c>
      <c r="B6490" s="5" t="s">
        <v>7767</v>
      </c>
      <c r="C6490" s="5" t="str">
        <f>IFERROR(__xludf.DUMMYFUNCTION("GOOGLETRANSLATE(A6490,""en"",""hy"")"),"Ո՞րն է աշխարհի ամենաերկար գետը:")</f>
        <v>Ո՞րն է աշխարհի ամենաերկար գետը:</v>
      </c>
      <c r="D6490" s="6" t="str">
        <f>IFERROR(__xludf.DUMMYFUNCTION("GOOGLETRANSLATE(B6490,""en"",""hy"")"),"Նեղոս.")</f>
        <v>Նեղոս.</v>
      </c>
    </row>
    <row r="6491">
      <c r="A6491" s="5" t="s">
        <v>7473</v>
      </c>
      <c r="B6491" s="5" t="s">
        <v>7474</v>
      </c>
      <c r="C6491" s="5" t="str">
        <f>IFERROR(__xludf.DUMMYFUNCTION("GOOGLETRANSLATE(A6491,""en"",""hy"")"),"Ո՞վ է նկարել Սիքստինյան կապելլայի առաստաղը:")</f>
        <v>Ո՞վ է նկարել Սիքստինյան կապելլայի առաստաղը:</v>
      </c>
      <c r="D6491" s="6" t="str">
        <f>IFERROR(__xludf.DUMMYFUNCTION("GOOGLETRANSLATE(B6491,""en"",""hy"")"),"Միքելանջելո.")</f>
        <v>Միքելանջելո.</v>
      </c>
    </row>
    <row r="6492">
      <c r="A6492" s="5" t="s">
        <v>8106</v>
      </c>
      <c r="B6492" s="5" t="s">
        <v>7916</v>
      </c>
      <c r="C6492" s="5" t="str">
        <f>IFERROR(__xludf.DUMMYFUNCTION("GOOGLETRANSLATE(A6492,""en"",""hy"")"),"Քանի՞ ոսկոր կա մարդու մարմնում:")</f>
        <v>Քանի՞ ոսկոր կա մարդու մարմնում:</v>
      </c>
      <c r="D6492" s="6" t="str">
        <f>IFERROR(__xludf.DUMMYFUNCTION("GOOGLETRANSLATE(B6492,""en"",""hy"")"),"Մարդու մարմնում կա 206 ոսկոր։")</f>
        <v>Մարդու մարմնում կա 206 ոսկոր։</v>
      </c>
    </row>
    <row r="6493">
      <c r="A6493" s="5" t="s">
        <v>7479</v>
      </c>
      <c r="B6493" s="5" t="s">
        <v>1996</v>
      </c>
      <c r="C6493" s="5" t="str">
        <f>IFERROR(__xludf.DUMMYFUNCTION("GOOGLETRANSLATE(A6493,""en"",""hy"")"),"Ո՞վ է Միացյալ Թագավորության ներկայիս վարչապետը:")</f>
        <v>Ո՞վ է Միացյալ Թագավորության ներկայիս վարչապետը:</v>
      </c>
      <c r="D6493" s="6" t="str">
        <f>IFERROR(__xludf.DUMMYFUNCTION("GOOGLETRANSLATE(B6493,""en"",""hy"")"),"Բորիս Ջոնսոն.")</f>
        <v>Բորիս Ջոնսոն.</v>
      </c>
    </row>
    <row r="6494">
      <c r="A6494" s="5" t="s">
        <v>9130</v>
      </c>
      <c r="B6494" s="5" t="s">
        <v>9131</v>
      </c>
      <c r="C6494" s="5" t="str">
        <f>IFERROR(__xludf.DUMMYFUNCTION("GOOGLETRANSLATE(A6494,""en"",""hy"")"),"Աշխարհի ո՞ր հին հրաշքն էր գտնվում Եգիպտոսում:")</f>
        <v>Աշխարհի ո՞ր հին հրաշքն էր գտնվում Եգիպտոսում:</v>
      </c>
      <c r="D6494" s="6" t="str">
        <f>IFERROR(__xludf.DUMMYFUNCTION("GOOGLETRANSLATE(B6494,""en"",""hy"")"),"Գիզայի բուրգերը.")</f>
        <v>Գիզայի բուրգերը.</v>
      </c>
    </row>
    <row r="6495">
      <c r="A6495" s="5" t="s">
        <v>7773</v>
      </c>
      <c r="B6495" s="5" t="s">
        <v>7941</v>
      </c>
      <c r="C6495" s="5" t="str">
        <f>IFERROR(__xludf.DUMMYFUNCTION("GOOGLETRANSLATE(A6495,""en"",""hy"")"),"Ո՞վ է հայտնաբերել պենիցիլինը:")</f>
        <v>Ո՞վ է հայտնաբերել պենիցիլինը:</v>
      </c>
      <c r="D6495" s="6" t="str">
        <f>IFERROR(__xludf.DUMMYFUNCTION("GOOGLETRANSLATE(B6495,""en"",""hy"")"),"Ալեքսանդր Ֆլեմինգ")</f>
        <v>Ալեքսանդր Ֆլեմինգ</v>
      </c>
    </row>
    <row r="6496">
      <c r="A6496" s="5" t="s">
        <v>7817</v>
      </c>
      <c r="B6496" s="5" t="s">
        <v>7818</v>
      </c>
      <c r="C6496" s="5" t="str">
        <f>IFERROR(__xludf.DUMMYFUNCTION("GOOGLETRANSLATE(A6496,""en"",""hy"")"),"Ո՞րն է Կանադայի ազգային կենդանին:")</f>
        <v>Ո՞րն է Կանադայի ազգային կենդանին:</v>
      </c>
      <c r="D6496" s="6" t="str">
        <f>IFERROR(__xludf.DUMMYFUNCTION("GOOGLETRANSLATE(B6496,""en"",""hy"")"),"Կանադայի ազգային կենդանին կեղևն է:")</f>
        <v>Կանադայի ազգային կենդանին կեղևն է:</v>
      </c>
    </row>
    <row r="6497">
      <c r="A6497" s="5" t="s">
        <v>8914</v>
      </c>
      <c r="B6497" s="5" t="s">
        <v>7576</v>
      </c>
      <c r="C6497" s="5" t="str">
        <f>IFERROR(__xludf.DUMMYFUNCTION("GOOGLETRANSLATE(A6497,""en"",""hy"")"),"Քանի՞ գույն կա ծիածանի մեջ:")</f>
        <v>Քանի՞ գույն կա ծիածանի մեջ:</v>
      </c>
      <c r="D6497" s="6" t="str">
        <f>IFERROR(__xludf.DUMMYFUNCTION("GOOGLETRANSLATE(B6497,""en"",""hy"")"),"Ծիածանի մեջ յոթ գույն կա:")</f>
        <v>Ծիածանի մեջ յոթ գույն կա:</v>
      </c>
    </row>
    <row r="6498">
      <c r="A6498" s="5" t="s">
        <v>9132</v>
      </c>
      <c r="B6498" s="5" t="s">
        <v>8543</v>
      </c>
      <c r="C6498" s="5" t="str">
        <f>IFERROR(__xludf.DUMMYFUNCTION("GOOGLETRANSLATE(A6498,""en"",""hy"")"),"Ո՞վ է համարվում ժամանակակից հոգեբանության հայրը:")</f>
        <v>Ո՞վ է համարվում ժամանակակից հոգեբանության հայրը:</v>
      </c>
      <c r="D6498" s="6" t="str">
        <f>IFERROR(__xludf.DUMMYFUNCTION("GOOGLETRANSLATE(B6498,""en"",""hy"")"),"Զիգմունդ Ֆրեյդ.")</f>
        <v>Զիգմունդ Ֆրեյդ.</v>
      </c>
    </row>
    <row r="6499">
      <c r="A6499" s="5" t="s">
        <v>7632</v>
      </c>
      <c r="B6499" s="5" t="s">
        <v>7912</v>
      </c>
      <c r="C6499" s="5" t="str">
        <f>IFERROR(__xludf.DUMMYFUNCTION("GOOGLETRANSLATE(A6499,""en"",""hy"")"),"Ո՞րն է մեր արեգակնային համակարգի ամենամեծ մոլորակը:")</f>
        <v>Ո՞րն է մեր արեգակնային համակարգի ամենամեծ մոլորակը:</v>
      </c>
      <c r="D6499" s="6" t="str">
        <f>IFERROR(__xludf.DUMMYFUNCTION("GOOGLETRANSLATE(B6499,""en"",""hy"")"),"Յուպիտեր")</f>
        <v>Յուպիտեր</v>
      </c>
    </row>
    <row r="6500">
      <c r="A6500" s="5" t="s">
        <v>7640</v>
      </c>
      <c r="B6500" s="5" t="s">
        <v>1016</v>
      </c>
      <c r="C6500" s="5" t="str">
        <f>IFERROR(__xludf.DUMMYFUNCTION("GOOGLETRANSLATE(A6500,""en"",""hy"")"),"Ո՞վ է գրել «Ռոմեո և Ջուլիետ» պիեսը:")</f>
        <v>Ո՞վ է գրել «Ռոմեո և Ջուլիետ» պիեսը:</v>
      </c>
      <c r="D6500" s="6" t="str">
        <f>IFERROR(__xludf.DUMMYFUNCTION("GOOGLETRANSLATE(B6500,""en"",""hy"")"),"Ուիլյամ Շեքսպիր.")</f>
        <v>Ուիլյամ Շեքսպիր.</v>
      </c>
    </row>
    <row r="6501">
      <c r="A6501" s="5" t="s">
        <v>7761</v>
      </c>
      <c r="B6501" s="5" t="s">
        <v>7762</v>
      </c>
      <c r="C6501" s="5" t="str">
        <f>IFERROR(__xludf.DUMMYFUNCTION("GOOGLETRANSLATE(A6501,""en"",""hy"")"),"Ո՞րն է ջրածնի քիմիական նշանը:")</f>
        <v>Ո՞րն է ջրածնի քիմիական նշանը:</v>
      </c>
      <c r="D6501" s="6" t="str">
        <f>IFERROR(__xludf.DUMMYFUNCTION("GOOGLETRANSLATE(B6501,""en"",""hy"")"),"Հ")</f>
        <v>Հ</v>
      </c>
    </row>
    <row r="6502">
      <c r="A6502" s="5" t="s">
        <v>7463</v>
      </c>
      <c r="B6502" s="5" t="s">
        <v>7464</v>
      </c>
      <c r="C6502" s="5" t="str">
        <f>IFERROR(__xludf.DUMMYFUNCTION("GOOGLETRANSLATE(A6502,""en"",""hy"")"),"Ո՞րն է աշխարհի ամենաբարձր լեռը:")</f>
        <v>Ո՞րն է աշխարհի ամենաբարձր լեռը:</v>
      </c>
      <c r="D6502" s="6" t="str">
        <f>IFERROR(__xludf.DUMMYFUNCTION("GOOGLETRANSLATE(B6502,""en"",""hy"")"),"Էվերեստ լեռ.")</f>
        <v>Էվերեստ լեռ.</v>
      </c>
    </row>
    <row r="6503">
      <c r="A6503" s="5" t="s">
        <v>9133</v>
      </c>
      <c r="B6503" s="5" t="s">
        <v>7972</v>
      </c>
      <c r="C6503" s="5" t="str">
        <f>IFERROR(__xludf.DUMMYFUNCTION("GOOGLETRANSLATE(A6503,""en"",""hy"")"),"Ո՞վ է հաղթել ՖԻՖԱ-ի Աշխարհի գավաթը 2018 թվականին:")</f>
        <v>Ո՞վ է հաղթել ՖԻՖԱ-ի Աշխարհի գավաթը 2018 թվականին:</v>
      </c>
      <c r="D6503" s="6" t="str">
        <f>IFERROR(__xludf.DUMMYFUNCTION("GOOGLETRANSLATE(B6503,""en"",""hy"")"),"Ֆրանսիա.")</f>
        <v>Ֆրանսիա.</v>
      </c>
    </row>
    <row r="6504">
      <c r="A6504" s="5" t="s">
        <v>7845</v>
      </c>
      <c r="B6504" s="5" t="s">
        <v>3533</v>
      </c>
      <c r="C6504" s="5" t="str">
        <f>IFERROR(__xludf.DUMMYFUNCTION("GOOGLETRANSLATE(A6504,""en"",""hy"")"),"Ո՞րն է Բրազիլիայի պաշտոնական լեզուն:")</f>
        <v>Ո՞րն է Բրազիլիայի պաշտոնական լեզուն:</v>
      </c>
      <c r="D6504" s="6" t="str">
        <f>IFERROR(__xludf.DUMMYFUNCTION("GOOGLETRANSLATE(B6504,""en"",""hy"")"),"Բրազիլիայի պաշտոնական լեզուն պորտուգալերենն է։")</f>
        <v>Բրազիլիայի պաշտոնական լեզուն պորտուգալերենն է։</v>
      </c>
    </row>
    <row r="6505">
      <c r="A6505" s="5" t="s">
        <v>7534</v>
      </c>
      <c r="B6505" s="5" t="s">
        <v>7835</v>
      </c>
      <c r="C6505" s="5" t="str">
        <f>IFERROR(__xludf.DUMMYFUNCTION("GOOGLETRANSLATE(A6505,""en"",""hy"")"),"Ո՞վ է հորինել հեռախոսը:")</f>
        <v>Ո՞վ է հորինել հեռախոսը:</v>
      </c>
      <c r="D6505" s="6" t="str">
        <f>IFERROR(__xludf.DUMMYFUNCTION("GOOGLETRANSLATE(B6505,""en"",""hy"")"),"Ալեքսանդր Գրեհեմ Բելը հորինել է հեռախոսը։")</f>
        <v>Ալեքսանդր Գրեհեմ Բելը հորինել է հեռախոսը։</v>
      </c>
    </row>
    <row r="6506">
      <c r="A6506" s="5" t="s">
        <v>7513</v>
      </c>
      <c r="B6506" s="5" t="s">
        <v>7783</v>
      </c>
      <c r="C6506" s="5" t="str">
        <f>IFERROR(__xludf.DUMMYFUNCTION("GOOGLETRANSLATE(A6506,""en"",""hy"")"),"Ո՞րն է աշխարհի ամենամեծ անապատը:")</f>
        <v>Ո՞րն է աշխարհի ամենամեծ անապատը:</v>
      </c>
      <c r="D6506" s="6" t="str">
        <f>IFERROR(__xludf.DUMMYFUNCTION("GOOGLETRANSLATE(B6506,""en"",""hy"")"),"Սահարա անապատ.")</f>
        <v>Սահարա անապատ.</v>
      </c>
    </row>
    <row r="6507">
      <c r="A6507" s="5" t="s">
        <v>8039</v>
      </c>
      <c r="B6507" s="5" t="s">
        <v>8040</v>
      </c>
      <c r="C6507" s="5" t="str">
        <f>IFERROR(__xludf.DUMMYFUNCTION("GOOGLETRANSLATE(A6507,""en"",""hy"")"),"Ո՞ր երկիրն է հայտնի Թաջ Մահալով:")</f>
        <v>Ո՞ր երկիրն է հայտնի Թաջ Մահալով:</v>
      </c>
      <c r="D6507" s="6" t="str">
        <f>IFERROR(__xludf.DUMMYFUNCTION("GOOGLETRANSLATE(B6507,""en"",""hy"")"),"Հնդկաստան")</f>
        <v>Հնդկաստան</v>
      </c>
    </row>
    <row r="6508">
      <c r="A6508" s="5" t="s">
        <v>9103</v>
      </c>
      <c r="B6508" s="5" t="s">
        <v>9134</v>
      </c>
      <c r="C6508" s="5" t="str">
        <f>IFERROR(__xludf.DUMMYFUNCTION("GOOGLETRANSLATE(A6508,""en"",""hy"")"),"Որքա՞ն է 144 թվի քառակուսի արմատը:")</f>
        <v>Որքա՞ն է 144 թվի քառակուսի արմատը:</v>
      </c>
      <c r="D6508" s="6" t="str">
        <f>IFERROR(__xludf.DUMMYFUNCTION("GOOGLETRANSLATE(B6508,""en"",""hy"")"),"144-ի քառակուսի արմատը 12 է։")</f>
        <v>144-ի քառակուսի արմատը 12 է։</v>
      </c>
    </row>
    <row r="6509">
      <c r="A6509" s="5" t="s">
        <v>7504</v>
      </c>
      <c r="B6509" s="5" t="s">
        <v>7505</v>
      </c>
      <c r="C6509" s="5" t="str">
        <f>IFERROR(__xludf.DUMMYFUNCTION("GOOGLETRANSLATE(A6509,""en"",""hy"")"),"Ո՞վ է Միացյալ Նահանգների ներկայիս նախագահը:")</f>
        <v>Ո՞վ է Միացյալ Նահանգների ներկայիս նախագահը:</v>
      </c>
      <c r="D6509" s="6" t="str">
        <f>IFERROR(__xludf.DUMMYFUNCTION("GOOGLETRANSLATE(B6509,""en"",""hy"")"),"Ջո Բայդեն.")</f>
        <v>Ջո Բայդեն.</v>
      </c>
    </row>
    <row r="6510">
      <c r="A6510" s="5" t="s">
        <v>7939</v>
      </c>
      <c r="B6510" s="5" t="s">
        <v>7940</v>
      </c>
      <c r="C6510" s="5" t="str">
        <f>IFERROR(__xludf.DUMMYFUNCTION("GOOGLETRANSLATE(A6510,""en"",""hy"")"),"Քանի՞ մայրցամաք կա աշխարհում:")</f>
        <v>Քանի՞ մայրցամաք կա աշխարհում:</v>
      </c>
      <c r="D6510" s="6" t="str">
        <f>IFERROR(__xludf.DUMMYFUNCTION("GOOGLETRANSLATE(B6510,""en"",""hy"")"),"Աշխարհում կան յոթ մայրցամաքներ։")</f>
        <v>Աշխարհում կան յոթ մայրցամաքներ։</v>
      </c>
    </row>
    <row r="6511">
      <c r="A6511" s="5" t="s">
        <v>8246</v>
      </c>
      <c r="B6511" s="5" t="s">
        <v>7492</v>
      </c>
      <c r="C6511" s="5" t="str">
        <f>IFERROR(__xludf.DUMMYFUNCTION("GOOGLETRANSLATE(A6511,""en"",""hy"")"),"Ո՞վ է նկարել հայտնի «Աստղային գիշերը» արվեստի գործը:")</f>
        <v>Ո՞վ է նկարել հայտնի «Աստղային գիշերը» արվեստի գործը:</v>
      </c>
      <c r="D6511" s="6" t="str">
        <f>IFERROR(__xludf.DUMMYFUNCTION("GOOGLETRANSLATE(B6511,""en"",""hy"")"),"Վինսենթ վան Գոգ")</f>
        <v>Վինսենթ վան Գոգ</v>
      </c>
    </row>
    <row r="6512">
      <c r="A6512" s="5" t="s">
        <v>9135</v>
      </c>
      <c r="B6512" s="5" t="s">
        <v>9136</v>
      </c>
      <c r="C6512" s="5" t="str">
        <f>IFERROR(__xludf.DUMMYFUNCTION("GOOGLETRANSLATE(A6512,""en"",""hy"")"),"Ո՞ր թվականին է Նիլ Արմսթրոնգը քայլել լուսնի վրա:")</f>
        <v>Ո՞ր թվականին է Նիլ Արմսթրոնգը քայլել լուսնի վրա:</v>
      </c>
      <c r="D6512" s="6" t="str">
        <f>IFERROR(__xludf.DUMMYFUNCTION("GOOGLETRANSLATE(B6512,""en"",""hy"")"),"Նիլ Արմսթրոնգը քայլել է Լուսնի վրա 1969թ.")</f>
        <v>Նիլ Արմսթրոնգը քայլել է Լուսնի վրա 1969թ.</v>
      </c>
    </row>
    <row r="6513">
      <c r="A6513" s="5" t="s">
        <v>7699</v>
      </c>
      <c r="B6513" s="5" t="s">
        <v>8615</v>
      </c>
      <c r="C6513" s="5" t="str">
        <f>IFERROR(__xludf.DUMMYFUNCTION("GOOGLETRANSLATE(A6513,""en"",""hy"")"),"Ո՞րն է ածխածնի քիմիական նշանը:")</f>
        <v>Ո՞րն է ածխածնի քիմիական նշանը:</v>
      </c>
      <c r="D6513" s="6" t="str">
        <f>IFERROR(__xludf.DUMMYFUNCTION("GOOGLETRANSLATE(B6513,""en"",""hy"")"),"Գ")</f>
        <v>Գ</v>
      </c>
    </row>
    <row r="6514">
      <c r="A6514" s="5" t="s">
        <v>7506</v>
      </c>
      <c r="B6514" s="5" t="s">
        <v>8932</v>
      </c>
      <c r="C6514" s="5" t="str">
        <f>IFERROR(__xludf.DUMMYFUNCTION("GOOGLETRANSLATE(A6514,""en"",""hy"")"),"Ո՞րն է աշխարհի ամենափոքր երկիրը:")</f>
        <v>Ո՞րն է աշխարհի ամենափոքր երկիրը:</v>
      </c>
      <c r="D6514" s="6" t="str">
        <f>IFERROR(__xludf.DUMMYFUNCTION("GOOGLETRANSLATE(B6514,""en"",""hy"")"),"Վատիկան քաղաքը.")</f>
        <v>Վատիկան քաղաքը.</v>
      </c>
    </row>
    <row r="6515">
      <c r="A6515" s="5" t="s">
        <v>8308</v>
      </c>
      <c r="B6515" s="5" t="s">
        <v>8661</v>
      </c>
      <c r="C6515" s="5" t="str">
        <f>IFERROR(__xludf.DUMMYFUNCTION("GOOGLETRANSLATE(A6515,""en"",""hy"")"),"Ո՞վ է հունական իմաստության աստվածուհին:")</f>
        <v>Ո՞վ է հունական իմաստության աստվածուհին:</v>
      </c>
      <c r="D6515" s="6" t="str">
        <f>IFERROR(__xludf.DUMMYFUNCTION("GOOGLETRANSLATE(B6515,""en"",""hy"")"),"Հունական իմաստության աստվածուհին Աթենան է:")</f>
        <v>Հունական իմաստության աստվածուհին Աթենան է:</v>
      </c>
    </row>
    <row r="6516">
      <c r="A6516" s="5" t="s">
        <v>7780</v>
      </c>
      <c r="B6516" s="5" t="s">
        <v>2951</v>
      </c>
      <c r="C6516" s="5" t="str">
        <f>IFERROR(__xludf.DUMMYFUNCTION("GOOGLETRANSLATE(A6516,""en"",""hy"")"),"Ո՞րն է Կանադայի մայրաքաղաքը:")</f>
        <v>Ո՞րն է Կանադայի մայրաքաղաքը:</v>
      </c>
      <c r="D6516" s="6" t="str">
        <f>IFERROR(__xludf.DUMMYFUNCTION("GOOGLETRANSLATE(B6516,""en"",""hy"")"),"Օտտավա.")</f>
        <v>Օտտավա.</v>
      </c>
    </row>
    <row r="6517">
      <c r="A6517" s="5" t="s">
        <v>8125</v>
      </c>
      <c r="B6517" s="5" t="s">
        <v>8126</v>
      </c>
      <c r="C6517" s="5" t="str">
        <f>IFERROR(__xludf.DUMMYFUNCTION("GOOGLETRANSLATE(A6517,""en"",""hy"")"),"Ո՞րն է պինգվինի ամենամեծ տեսակը:")</f>
        <v>Ո՞րն է պինգվինի ամենամեծ տեսակը:</v>
      </c>
      <c r="D6517" s="6" t="str">
        <f>IFERROR(__xludf.DUMMYFUNCTION("GOOGLETRANSLATE(B6517,""en"",""hy"")"),"Պինգվինների ամենամեծ տեսակը կայսեր պինգվինն է:")</f>
        <v>Պինգվինների ամենամեծ տեսակը կայսեր պինգվինն է:</v>
      </c>
    </row>
    <row r="6518">
      <c r="A6518" s="5" t="s">
        <v>9137</v>
      </c>
      <c r="B6518" s="5" t="s">
        <v>9138</v>
      </c>
      <c r="C6518" s="5" t="str">
        <f>IFERROR(__xludf.DUMMYFUNCTION("GOOGLETRANSLATE(A6518,""en"",""hy"")"),"Ո՞րն է հումուսի հիմնական բաղադրիչը:")</f>
        <v>Ո՞րն է հումուսի հիմնական բաղադրիչը:</v>
      </c>
      <c r="D6518" s="6" t="str">
        <f>IFERROR(__xludf.DUMMYFUNCTION("GOOGLETRANSLATE(B6518,""en"",""hy"")"),"Հումուսի հիմնական բաղադրիչը սիսեռն է։")</f>
        <v>Հումուսի հիմնական բաղադրիչը սիսեռն է։</v>
      </c>
    </row>
    <row r="6519">
      <c r="A6519" s="5" t="s">
        <v>7572</v>
      </c>
      <c r="B6519" s="5" t="s">
        <v>7573</v>
      </c>
      <c r="C6519" s="5" t="str">
        <f>IFERROR(__xludf.DUMMYFUNCTION("GOOGLETRANSLATE(A6519,""en"",""hy"")"),"Ո՞վ է հորինել լամպը:")</f>
        <v>Ո՞վ է հորինել լամպը:</v>
      </c>
      <c r="D6519" s="6" t="str">
        <f>IFERROR(__xludf.DUMMYFUNCTION("GOOGLETRANSLATE(B6519,""en"",""hy"")"),"Թոմաս Էդիսոն.")</f>
        <v>Թոմաս Էդիսոն.</v>
      </c>
    </row>
    <row r="6520">
      <c r="A6520" s="5" t="s">
        <v>7698</v>
      </c>
      <c r="B6520" s="5" t="s">
        <v>7630</v>
      </c>
      <c r="C6520" s="5" t="str">
        <f>IFERROR(__xludf.DUMMYFUNCTION("GOOGLETRANSLATE(A6520,""en"",""hy"")"),"Ո՞վ է գրել «Հպարտություն և նախապաշարմունք» վեպը:")</f>
        <v>Ո՞վ է գրել «Հպարտություն և նախապաշարմունք» վեպը:</v>
      </c>
      <c r="D6520" s="6" t="str">
        <f>IFERROR(__xludf.DUMMYFUNCTION("GOOGLETRANSLATE(B6520,""en"",""hy"")"),"Ջեյն Օսթին.")</f>
        <v>Ջեյն Օսթին.</v>
      </c>
    </row>
    <row r="6521">
      <c r="A6521" s="5" t="s">
        <v>9139</v>
      </c>
      <c r="B6521" s="7">
        <v>1776.0</v>
      </c>
      <c r="C6521" s="5" t="str">
        <f>IFERROR(__xludf.DUMMYFUNCTION("GOOGLETRANSLATE(A6521,""en"",""hy"")"),"Ո՞ր թվականին է ԱՄՆ-ն անկախություն ձեռք բերել:")</f>
        <v>Ո՞ր թվականին է ԱՄՆ-ն անկախություն ձեռք բերել:</v>
      </c>
      <c r="D6521" s="6" t="str">
        <f>IFERROR(__xludf.DUMMYFUNCTION("GOOGLETRANSLATE(B6521,""en"",""hy"")"),"1776 թ")</f>
        <v>1776 թ</v>
      </c>
    </row>
    <row r="6522">
      <c r="A6522" s="5" t="s">
        <v>8410</v>
      </c>
      <c r="B6522" s="5" t="s">
        <v>8742</v>
      </c>
      <c r="C6522" s="5" t="str">
        <f>IFERROR(__xludf.DUMMYFUNCTION("GOOGLETRANSLATE(A6522,""en"",""hy"")"),"Ո՞րն է բոլոր ժամանակների ամենաշատ եկամուտ ստացած ֆիլմը:")</f>
        <v>Ո՞րն է բոլոր ժամանակների ամենաշատ եկամուտ ստացած ֆիլմը:</v>
      </c>
      <c r="D6522" s="6" t="str">
        <f>IFERROR(__xludf.DUMMYFUNCTION("GOOGLETRANSLATE(B6522,""en"",""hy"")"),"Վրիժառուներ. վերջնախաղ.")</f>
        <v>Վրիժառուներ. վերջնախաղ.</v>
      </c>
    </row>
    <row r="6523">
      <c r="A6523" s="5" t="s">
        <v>7978</v>
      </c>
      <c r="B6523" s="5" t="s">
        <v>7549</v>
      </c>
      <c r="C6523" s="5" t="str">
        <f>IFERROR(__xludf.DUMMYFUNCTION("GOOGLETRANSLATE(A6523,""en"",""hy"")"),"Ո՞վ է նկարել «Մարգարտյա ականջօղով աղջիկը».")</f>
        <v>Ո՞վ է նկարել «Մարգարտյա ականջօղով աղջիկը».</v>
      </c>
      <c r="D6523" s="6" t="str">
        <f>IFERROR(__xludf.DUMMYFUNCTION("GOOGLETRANSLATE(B6523,""en"",""hy"")"),"Յոհաննես Վերմեեր.")</f>
        <v>Յոհաննես Վերմեեր.</v>
      </c>
    </row>
    <row r="6524">
      <c r="A6524" s="5" t="s">
        <v>8025</v>
      </c>
      <c r="B6524" s="5" t="s">
        <v>8026</v>
      </c>
      <c r="C6524" s="5" t="str">
        <f>IFERROR(__xludf.DUMMYFUNCTION("GOOGLETRANSLATE(A6524,""en"",""hy"")"),"Ո՞րն է Չինաստանի պաշտոնական լեզուն:")</f>
        <v>Ո՞րն է Չինաստանի պաշտոնական լեզուն:</v>
      </c>
      <c r="D6524" s="6" t="str">
        <f>IFERROR(__xludf.DUMMYFUNCTION("GOOGLETRANSLATE(B6524,""en"",""hy"")"),"Չինաստանի պաշտոնական լեզուն մանդարին չինարենն է։")</f>
        <v>Չինաստանի պաշտոնական լեզուն մանդարին չինարենն է։</v>
      </c>
    </row>
    <row r="6525">
      <c r="A6525" s="5" t="s">
        <v>9140</v>
      </c>
      <c r="B6525" s="5" t="s">
        <v>9141</v>
      </c>
      <c r="C6525" s="5" t="str">
        <f>IFERROR(__xludf.DUMMYFUNCTION("GOOGLETRANSLATE(A6525,""en"",""hy"")"),"Ո՞վ է Coldplay խմբի մենակատարը:")</f>
        <v>Ո՞վ է Coldplay խմբի մենակատարը:</v>
      </c>
      <c r="D6525" s="6" t="str">
        <f>IFERROR(__xludf.DUMMYFUNCTION("GOOGLETRANSLATE(B6525,""en"",""hy"")"),"Քրիս Մարտին.")</f>
        <v>Քրիս Մարտին.</v>
      </c>
    </row>
    <row r="6526">
      <c r="A6526" s="5" t="s">
        <v>7461</v>
      </c>
      <c r="B6526" s="5" t="s">
        <v>7639</v>
      </c>
      <c r="C6526" s="5" t="str">
        <f>IFERROR(__xludf.DUMMYFUNCTION("GOOGLETRANSLATE(A6526,""en"",""hy"")"),"Ո՞րն է մարդու մարմնի ամենամեծ օրգանը:")</f>
        <v>Ո՞րն է մարդու մարմնի ամենամեծ օրգանը:</v>
      </c>
      <c r="D6526" s="6" t="str">
        <f>IFERROR(__xludf.DUMMYFUNCTION("GOOGLETRANSLATE(B6526,""en"",""hy"")"),"Մարդու մարմնի ամենամեծ օրգանը մաշկն է։")</f>
        <v>Մարդու մարմնի ամենամեծ օրգանը մաշկն է։</v>
      </c>
    </row>
    <row r="6527">
      <c r="A6527" s="5" t="s">
        <v>9142</v>
      </c>
      <c r="B6527" s="5" t="s">
        <v>7545</v>
      </c>
      <c r="C6527" s="5" t="str">
        <f>IFERROR(__xludf.DUMMYFUNCTION("GOOGLETRANSLATE(A6527,""en"",""hy"")"),"Ո՞ր քաղաքն է հայտնի որպես «Հավերժական քաղաք»:")</f>
        <v>Ո՞ր քաղաքն է հայտնի որպես «Հավերժական քաղաք»:</v>
      </c>
      <c r="D6527" s="6" t="str">
        <f>IFERROR(__xludf.DUMMYFUNCTION("GOOGLETRANSLATE(B6527,""en"",""hy"")"),"Հռոմ.")</f>
        <v>Հռոմ.</v>
      </c>
    </row>
    <row r="6528">
      <c r="A6528" s="5" t="s">
        <v>7557</v>
      </c>
      <c r="B6528" s="5" t="s">
        <v>7857</v>
      </c>
      <c r="C6528" s="5" t="str">
        <f>IFERROR(__xludf.DUMMYFUNCTION("GOOGLETRANSLATE(A6528,""en"",""hy"")"),"Ո՞րն է երկաթի քիմիական նշանը:")</f>
        <v>Ո՞րն է երկաթի քիմիական նշանը:</v>
      </c>
      <c r="D6528" s="6" t="str">
        <f>IFERROR(__xludf.DUMMYFUNCTION("GOOGLETRANSLATE(B6528,""en"",""hy"")"),"Երկաթի քիմիական նշանը Fe է:")</f>
        <v>Երկաթի քիմիական նշանը Fe է:</v>
      </c>
    </row>
    <row r="6529">
      <c r="A6529" s="5" t="s">
        <v>7927</v>
      </c>
      <c r="B6529" s="5" t="s">
        <v>7928</v>
      </c>
      <c r="C6529" s="5" t="str">
        <f>IFERROR(__xludf.DUMMYFUNCTION("GOOGLETRANSLATE(A6529,""en"",""hy"")"),"Քանի՞ խաղացող կա բասկետբոլի թիմում:")</f>
        <v>Քանի՞ խաղացող կա բասկետբոլի թիմում:</v>
      </c>
      <c r="D6529" s="6" t="str">
        <f>IFERROR(__xludf.DUMMYFUNCTION("GOOGLETRANSLATE(B6529,""en"",""hy"")"),"Բասկետբոլի թիմում հինգ խաղացող կա:")</f>
        <v>Բասկետբոլի թիմում հինգ խաղացող կա:</v>
      </c>
    </row>
    <row r="6530">
      <c r="A6530" s="5" t="s">
        <v>7844</v>
      </c>
      <c r="B6530" s="5" t="s">
        <v>7635</v>
      </c>
      <c r="C6530" s="5" t="str">
        <f>IFERROR(__xludf.DUMMYFUNCTION("GOOGLETRANSLATE(A6530,""en"",""hy"")"),"Ո՞վ էր առաջին մարդը, ով ոտք դրեց լուսնի վրա:")</f>
        <v>Ո՞վ էր առաջին մարդը, ով ոտք դրեց լուսնի վրա:</v>
      </c>
      <c r="D6530" s="6" t="str">
        <f>IFERROR(__xludf.DUMMYFUNCTION("GOOGLETRANSLATE(B6530,""en"",""hy"")"),"Նիլ Արմսթրոնգ.")</f>
        <v>Նիլ Արմսթրոնգ.</v>
      </c>
    </row>
    <row r="6531">
      <c r="A6531" s="5" t="s">
        <v>7553</v>
      </c>
      <c r="B6531" s="5" t="s">
        <v>8305</v>
      </c>
      <c r="C6531" s="5" t="str">
        <f>IFERROR(__xludf.DUMMYFUNCTION("GOOGLETRANSLATE(A6531,""en"",""hy"")"),"Ո՞րն է Հարավային Աֆրիկայի մայրաքաղաքը:")</f>
        <v>Ո՞րն է Հարավային Աֆրիկայի մայրաքաղաքը:</v>
      </c>
      <c r="D6531" s="6" t="str">
        <f>IFERROR(__xludf.DUMMYFUNCTION("GOOGLETRANSLATE(B6531,""en"",""hy"")"),"Պրետորիա")</f>
        <v>Պրետորիա</v>
      </c>
    </row>
    <row r="6532">
      <c r="A6532" s="5" t="s">
        <v>7443</v>
      </c>
      <c r="B6532" s="5" t="s">
        <v>7444</v>
      </c>
      <c r="C6532" s="5" t="str">
        <f>IFERROR(__xludf.DUMMYFUNCTION("GOOGLETRANSLATE(A6532,""en"",""hy"")"),"Ո՞վ է գրել «1984» վեպը։")</f>
        <v>Ո՞վ է գրել «1984» վեպը։</v>
      </c>
      <c r="D6532" s="6" t="str">
        <f>IFERROR(__xludf.DUMMYFUNCTION("GOOGLETRANSLATE(B6532,""en"",""hy"")"),"Ջորջ Օրուել.")</f>
        <v>Ջորջ Օրուել.</v>
      </c>
    </row>
    <row r="6533">
      <c r="A6533" s="5" t="s">
        <v>7552</v>
      </c>
      <c r="B6533" s="5" t="s">
        <v>3535</v>
      </c>
      <c r="C6533" s="5" t="str">
        <f>IFERROR(__xludf.DUMMYFUNCTION("GOOGLETRANSLATE(A6533,""en"",""hy"")"),"Ո՞ր երկիրն է հայտնի Մեծ արգելախութով:")</f>
        <v>Ո՞ր երկիրն է հայտնի Մեծ արգելախութով:</v>
      </c>
      <c r="D6533" s="6" t="str">
        <f>IFERROR(__xludf.DUMMYFUNCTION("GOOGLETRANSLATE(B6533,""en"",""hy"")"),"Ավստրալիա.")</f>
        <v>Ավստրալիա.</v>
      </c>
    </row>
    <row r="6534">
      <c r="A6534" s="5" t="s">
        <v>9143</v>
      </c>
      <c r="B6534" s="5" t="s">
        <v>9144</v>
      </c>
      <c r="C6534" s="5" t="str">
        <f>IFERROR(__xludf.DUMMYFUNCTION("GOOGLETRANSLATE(A6534,""en"",""hy"")"),"Ինչպե՞ս է կոչվում Երկրի մթնոլորտի գիտական ​​ուսումնասիրությունը:")</f>
        <v>Ինչպե՞ս է կոչվում Երկրի մթնոլորտի գիտական ​​ուսումնասիրությունը:</v>
      </c>
      <c r="D6534" s="6" t="str">
        <f>IFERROR(__xludf.DUMMYFUNCTION("GOOGLETRANSLATE(B6534,""en"",""hy"")"),"Օդերեւութաբանություն")</f>
        <v>Օդերեւութաբանություն</v>
      </c>
    </row>
    <row r="6535">
      <c r="A6535" s="5" t="s">
        <v>8187</v>
      </c>
      <c r="B6535" s="5" t="s">
        <v>8188</v>
      </c>
      <c r="C6535" s="5" t="str">
        <f>IFERROR(__xludf.DUMMYFUNCTION("GOOGLETRANSLATE(A6535,""en"",""hy"")"),"Քանի՞ խցիկ ունի մարդու սիրտը:")</f>
        <v>Քանի՞ խցիկ ունի մարդու սիրտը:</v>
      </c>
      <c r="D6535" s="6" t="str">
        <f>IFERROR(__xludf.DUMMYFUNCTION("GOOGLETRANSLATE(B6535,""en"",""hy"")"),"Մարդու սիրտն ունի չորս խցիկ.")</f>
        <v>Մարդու սիրտն ունի չորս խցիկ.</v>
      </c>
    </row>
    <row r="6536">
      <c r="A6536" s="5" t="s">
        <v>7473</v>
      </c>
      <c r="B6536" s="5" t="s">
        <v>7474</v>
      </c>
      <c r="C6536" s="5" t="str">
        <f>IFERROR(__xludf.DUMMYFUNCTION("GOOGLETRANSLATE(A6536,""en"",""hy"")"),"Ո՞վ է նկարել Սիքստինյան կապելլայի առաստաղը:")</f>
        <v>Ո՞վ է նկարել Սիքստինյան կապելլայի առաստաղը:</v>
      </c>
      <c r="D6536" s="6" t="str">
        <f>IFERROR(__xludf.DUMMYFUNCTION("GOOGLETRANSLATE(B6536,""en"",""hy"")"),"Միքելանջելո.")</f>
        <v>Միքելանջելո.</v>
      </c>
    </row>
    <row r="6537">
      <c r="A6537" s="5" t="s">
        <v>7449</v>
      </c>
      <c r="B6537" s="5" t="s">
        <v>7343</v>
      </c>
      <c r="C6537" s="5" t="str">
        <f>IFERROR(__xludf.DUMMYFUNCTION("GOOGLETRANSLATE(A6537,""en"",""hy"")"),"Ո՞րն է աշխարհի ամենամեծ երկիրը ցամաքային տարածքով:")</f>
        <v>Ո՞րն է աշխարհի ամենամեծ երկիրը ցամաքային տարածքով:</v>
      </c>
      <c r="D6537" s="6" t="str">
        <f>IFERROR(__xludf.DUMMYFUNCTION("GOOGLETRANSLATE(B6537,""en"",""hy"")"),"Ռուսաստան.")</f>
        <v>Ռուսաստան.</v>
      </c>
    </row>
    <row r="6538">
      <c r="A6538" s="5" t="s">
        <v>8020</v>
      </c>
      <c r="B6538" s="5" t="s">
        <v>7961</v>
      </c>
      <c r="C6538" s="5" t="str">
        <f>IFERROR(__xludf.DUMMYFUNCTION("GOOGLETRANSLATE(A6538,""en"",""hy"")"),"Ո՞ր թվականին է խորտակվել Տիտանիկը:")</f>
        <v>Ո՞ր թվականին է խորտակվել Տիտանիկը:</v>
      </c>
      <c r="D6538" s="6" t="str">
        <f>IFERROR(__xludf.DUMMYFUNCTION("GOOGLETRANSLATE(B6538,""en"",""hy"")"),"Տիտանիկը խորտակվել է 1912 թվականին։")</f>
        <v>Տիտանիկը խորտակվել է 1912 թվականին։</v>
      </c>
    </row>
    <row r="6539">
      <c r="A6539" s="5" t="s">
        <v>7528</v>
      </c>
      <c r="B6539" s="5" t="s">
        <v>7529</v>
      </c>
      <c r="C6539" s="5" t="str">
        <f>IFERROR(__xludf.DUMMYFUNCTION("GOOGLETRANSLATE(A6539,""en"",""hy"")"),"Ո՞վ է Գերմանիայի ներկայիս կանցլերը:")</f>
        <v>Ո՞վ է Գերմանիայի ներկայիս կանցլերը:</v>
      </c>
      <c r="D6539" s="6" t="str">
        <f>IFERROR(__xludf.DUMMYFUNCTION("GOOGLETRANSLATE(B6539,""en"",""hy"")"),"Անգելա Մերկել.")</f>
        <v>Անգելա Մերկել.</v>
      </c>
    </row>
    <row r="6540">
      <c r="A6540" s="5" t="s">
        <v>7592</v>
      </c>
      <c r="B6540" s="5" t="s">
        <v>7593</v>
      </c>
      <c r="C6540" s="5" t="str">
        <f>IFERROR(__xludf.DUMMYFUNCTION("GOOGLETRANSLATE(A6540,""en"",""hy"")"),"Ո՞րն է թթվածնի քիմիական նշանը:")</f>
        <v>Ո՞րն է թթվածնի քիմիական նշանը:</v>
      </c>
      <c r="D6540" s="6" t="str">
        <f>IFERROR(__xludf.DUMMYFUNCTION("GOOGLETRANSLATE(B6540,""en"",""hy"")"),"Թթվածնի քիմիական նշանը O է:")</f>
        <v>Թթվածնի քիմիական նշանը O է:</v>
      </c>
    </row>
    <row r="6541">
      <c r="A6541" s="5" t="s">
        <v>7683</v>
      </c>
      <c r="B6541" s="5" t="s">
        <v>1016</v>
      </c>
      <c r="C6541" s="5" t="str">
        <f>IFERROR(__xludf.DUMMYFUNCTION("GOOGLETRANSLATE(A6541,""en"",""hy"")"),"Ո՞վ է գրել «Համլետ» պիեսը։")</f>
        <v>Ո՞վ է գրել «Համլետ» պիեսը։</v>
      </c>
      <c r="D6541" s="6" t="str">
        <f>IFERROR(__xludf.DUMMYFUNCTION("GOOGLETRANSLATE(B6541,""en"",""hy"")"),"Ուիլյամ Շեքսպիր.")</f>
        <v>Ուիլյամ Շեքսպիր.</v>
      </c>
    </row>
    <row r="6542">
      <c r="A6542" s="5" t="s">
        <v>7946</v>
      </c>
      <c r="B6542" s="5" t="s">
        <v>8111</v>
      </c>
      <c r="C6542" s="5" t="str">
        <f>IFERROR(__xludf.DUMMYFUNCTION("GOOGLETRANSLATE(A6542,""en"",""hy"")"),"Քանի՞ խաղացող կա ֆուտբոլային թիմում:")</f>
        <v>Քանի՞ խաղացող կա ֆուտբոլային թիմում:</v>
      </c>
      <c r="D6542" s="6" t="str">
        <f>IFERROR(__xludf.DUMMYFUNCTION("GOOGLETRANSLATE(B6542,""en"",""hy"")"),"Ֆուտբոլային թիմում կա 11 խաղացող։")</f>
        <v>Ֆուտբոլային թիմում կա 11 խաղացող։</v>
      </c>
    </row>
    <row r="6543">
      <c r="A6543" s="5" t="s">
        <v>7674</v>
      </c>
      <c r="B6543" s="5" t="s">
        <v>7675</v>
      </c>
      <c r="C6543" s="5" t="str">
        <f>IFERROR(__xludf.DUMMYFUNCTION("GOOGLETRANSLATE(A6543,""en"",""hy"")"),"Ո՞վ է հունական ծովի աստվածը:")</f>
        <v>Ո՞վ է հունական ծովի աստվածը:</v>
      </c>
      <c r="D6543" s="6" t="str">
        <f>IFERROR(__xludf.DUMMYFUNCTION("GOOGLETRANSLATE(B6543,""en"",""hy"")"),"Պոսեյդոն.")</f>
        <v>Պոսեյդոն.</v>
      </c>
    </row>
    <row r="6544">
      <c r="A6544" s="5" t="s">
        <v>7500</v>
      </c>
      <c r="B6544" s="5" t="s">
        <v>8170</v>
      </c>
      <c r="C6544" s="5" t="str">
        <f>IFERROR(__xludf.DUMMYFUNCTION("GOOGLETRANSLATE(A6544,""en"",""hy"")"),"Ո՞րն է Ֆրանսիայի մայրաքաղաքը:")</f>
        <v>Ո՞րն է Ֆրանսիայի մայրաքաղաքը:</v>
      </c>
      <c r="D6544" s="6" t="str">
        <f>IFERROR(__xludf.DUMMYFUNCTION("GOOGLETRANSLATE(B6544,""en"",""hy"")"),"Փարիզ")</f>
        <v>Փարիզ</v>
      </c>
    </row>
    <row r="6545">
      <c r="A6545" s="5" t="s">
        <v>8180</v>
      </c>
      <c r="B6545" s="5" t="s">
        <v>7826</v>
      </c>
      <c r="C6545" s="5" t="str">
        <f>IFERROR(__xludf.DUMMYFUNCTION("GOOGLETRANSLATE(A6545,""en"",""hy"")"),"Ո՞րն է մարդու մարմնի ամենաերկար ոսկորը:")</f>
        <v>Ո՞րն է մարդու մարմնի ամենաերկար ոսկորը:</v>
      </c>
      <c r="D6545" s="6" t="str">
        <f>IFERROR(__xludf.DUMMYFUNCTION("GOOGLETRANSLATE(B6545,""en"",""hy"")"),"Ֆեմուրը.")</f>
        <v>Ֆեմուրը.</v>
      </c>
    </row>
    <row r="6546">
      <c r="A6546" s="5" t="s">
        <v>9145</v>
      </c>
      <c r="B6546" s="5" t="s">
        <v>9146</v>
      </c>
      <c r="C6546" s="5" t="str">
        <f>IFERROR(__xludf.DUMMYFUNCTION("GOOGLETRANSLATE(A6546,""en"",""hy"")"),"Ո՞վ է արժանացել ֆիզիկայի Նոբելյան մրցանակի 2020 թվականին:")</f>
        <v>Ո՞վ է արժանացել ֆիզիկայի Նոբելյան մրցանակի 2020 թվականին:</v>
      </c>
      <c r="D6546" s="6" t="str">
        <f>IFERROR(__xludf.DUMMYFUNCTION("GOOGLETRANSLATE(B6546,""en"",""hy"")"),"Անդրեա Գեզ, Ռայնհարդ Գենզել և Ռոջեր Պենրոուզ:")</f>
        <v>Անդրեա Գեզ, Ռայնհարդ Գենզել և Ռոջեր Պենրոուզ:</v>
      </c>
    </row>
    <row r="6547">
      <c r="A6547" s="5" t="s">
        <v>9147</v>
      </c>
      <c r="B6547" s="5" t="s">
        <v>9110</v>
      </c>
      <c r="C6547" s="5" t="str">
        <f>IFERROR(__xludf.DUMMYFUNCTION("GOOGLETRANSLATE(A6547,""en"",""hy"")"),"Ո՞ր գետն է հոսում Գրանդ Կանյոնով:")</f>
        <v>Ո՞ր գետն է հոսում Գրանդ Կանյոնով:</v>
      </c>
      <c r="D6547" s="6" t="str">
        <f>IFERROR(__xludf.DUMMYFUNCTION("GOOGLETRANSLATE(B6547,""en"",""hy"")"),"Կոլորադո գետը.")</f>
        <v>Կոլորադո գետը.</v>
      </c>
    </row>
    <row r="6548">
      <c r="A6548" s="5" t="s">
        <v>8213</v>
      </c>
      <c r="B6548" s="5" t="s">
        <v>9148</v>
      </c>
      <c r="C6548" s="5" t="str">
        <f>IFERROR(__xludf.DUMMYFUNCTION("GOOGLETRANSLATE(A6548,""en"",""hy"")"),"Ո՞րն է Ռուսաստանի ազգային կենդանին:")</f>
        <v>Ո՞րն է Ռուսաստանի ազգային կենդանին:</v>
      </c>
      <c r="D6548" s="6" t="str">
        <f>IFERROR(__xludf.DUMMYFUNCTION("GOOGLETRANSLATE(B6548,""en"",""hy"")"),"Ռուսաստանի ազգային կենդանին ռուսական գորշ արջն է։")</f>
        <v>Ռուսաստանի ազգային կենդանին ռուսական գորշ արջն է։</v>
      </c>
    </row>
    <row r="6549">
      <c r="A6549" s="5" t="s">
        <v>8262</v>
      </c>
      <c r="B6549" s="5" t="s">
        <v>8837</v>
      </c>
      <c r="C6549" s="5" t="str">
        <f>IFERROR(__xludf.DUMMYFUNCTION("GOOGLETRANSLATE(A6549,""en"",""hy"")"),"Ո՞րն է Ճապոնիայի պաշտոնական լեզուն:")</f>
        <v>Ո՞րն է Ճապոնիայի պաշտոնական լեզուն:</v>
      </c>
      <c r="D6549" s="6" t="str">
        <f>IFERROR(__xludf.DUMMYFUNCTION("GOOGLETRANSLATE(B6549,""en"",""hy"")"),"Ճապոնիայի պաշտոնական լեզուն ճապոներենն է։")</f>
        <v>Ճապոնիայի պաշտոնական լեզուն ճապոներենն է։</v>
      </c>
    </row>
    <row r="6550">
      <c r="A6550" s="5" t="s">
        <v>7606</v>
      </c>
      <c r="B6550" s="5" t="s">
        <v>7607</v>
      </c>
      <c r="C6550" s="5" t="str">
        <f>IFERROR(__xludf.DUMMYFUNCTION("GOOGLETRANSLATE(A6550,""en"",""hy"")"),"Ո՞վ է հորինել էվոլյուցիայի տեսությունը:")</f>
        <v>Ո՞վ է հորինել էվոլյուցիայի տեսությունը:</v>
      </c>
      <c r="D6550" s="6" t="str">
        <f>IFERROR(__xludf.DUMMYFUNCTION("GOOGLETRANSLATE(B6550,""en"",""hy"")"),"Չարլզ Դարվին.")</f>
        <v>Չարլզ Դարվին.</v>
      </c>
    </row>
    <row r="6551">
      <c r="A6551" s="5" t="s">
        <v>7787</v>
      </c>
      <c r="B6551" s="5" t="s">
        <v>7788</v>
      </c>
      <c r="C6551" s="5" t="str">
        <f>IFERROR(__xludf.DUMMYFUNCTION("GOOGLETRANSLATE(A6551,""en"",""hy"")"),"Ո՞րն է շնաձկան ամենամեծ տեսակը:")</f>
        <v>Ո՞րն է շնաձկան ամենամեծ տեսակը:</v>
      </c>
      <c r="D6551" s="6" t="str">
        <f>IFERROR(__xludf.DUMMYFUNCTION("GOOGLETRANSLATE(B6551,""en"",""hy"")"),"Շնաձկների ամենամեծ տեսակը կետ շնաձուկն է։")</f>
        <v>Շնաձկների ամենամեծ տեսակը կետ շնաձուկն է։</v>
      </c>
    </row>
    <row r="6552">
      <c r="A6552" s="5" t="s">
        <v>7655</v>
      </c>
      <c r="B6552" s="5" t="s">
        <v>7656</v>
      </c>
      <c r="C6552" s="5" t="str">
        <f>IFERROR(__xludf.DUMMYFUNCTION("GOOGLETRANSLATE(A6552,""en"",""hy"")"),"Ո՞վ է գրել «Ագռավը» բանաստեղծությունը:")</f>
        <v>Ո՞վ է գրել «Ագռավը» բանաստեղծությունը:</v>
      </c>
      <c r="D6552" s="6" t="str">
        <f>IFERROR(__xludf.DUMMYFUNCTION("GOOGLETRANSLATE(B6552,""en"",""hy"")"),"Էդգար Ալան Պո.")</f>
        <v>Էդգար Ալան Պո.</v>
      </c>
    </row>
    <row r="6553">
      <c r="A6553" s="5" t="s">
        <v>8298</v>
      </c>
      <c r="B6553" s="7">
        <v>1989.0</v>
      </c>
      <c r="C6553" s="5" t="str">
        <f>IFERROR(__xludf.DUMMYFUNCTION("GOOGLETRANSLATE(A6553,""en"",""hy"")"),"Ո՞ր թվականին է փլվել Բեռլինի պատը:")</f>
        <v>Ո՞ր թվականին է փլվել Բեռլինի պատը:</v>
      </c>
      <c r="D6553" s="6" t="str">
        <f>IFERROR(__xludf.DUMMYFUNCTION("GOOGLETRANSLATE(B6553,""en"",""hy"")"),"1989 թ")</f>
        <v>1989 թ</v>
      </c>
    </row>
    <row r="6554">
      <c r="A6554" s="5" t="s">
        <v>7509</v>
      </c>
      <c r="B6554" s="5" t="s">
        <v>7684</v>
      </c>
      <c r="C6554" s="5" t="str">
        <f>IFERROR(__xludf.DUMMYFUNCTION("GOOGLETRANSLATE(A6554,""en"",""hy"")"),"Ո՞րն է արծաթի քիմիական նշանը:")</f>
        <v>Ո՞րն է արծաթի քիմիական նշանը:</v>
      </c>
      <c r="D6554" s="6" t="str">
        <f>IFERROR(__xludf.DUMMYFUNCTION("GOOGLETRANSLATE(B6554,""en"",""hy"")"),"Արծաթի քիմիական խորհրդանիշն է Ag.")</f>
        <v>Արծաթի քիմիական խորհրդանիշն է Ag.</v>
      </c>
    </row>
    <row r="6555">
      <c r="A6555" s="5" t="s">
        <v>7964</v>
      </c>
      <c r="B6555" s="5" t="s">
        <v>7965</v>
      </c>
      <c r="C6555" s="5" t="str">
        <f>IFERROR(__xludf.DUMMYFUNCTION("GOOGLETRANSLATE(A6555,""en"",""hy"")"),"Քանի՞ խաղացող կա բեյսբոլի թիմում:")</f>
        <v>Քանի՞ խաղացող կա բեյսբոլի թիմում:</v>
      </c>
      <c r="D6555" s="6" t="str">
        <f>IFERROR(__xludf.DUMMYFUNCTION("GOOGLETRANSLATE(B6555,""en"",""hy"")"),"Բեյսբոլի թիմում 9 խաղացող կա։")</f>
        <v>Բեյսբոլի թիմում 9 խաղացող կա։</v>
      </c>
    </row>
    <row r="6556">
      <c r="A6556" s="5" t="s">
        <v>7852</v>
      </c>
      <c r="B6556" s="5" t="s">
        <v>9149</v>
      </c>
      <c r="C6556" s="5" t="str">
        <f>IFERROR(__xludf.DUMMYFUNCTION("GOOGLETRANSLATE(A6556,""en"",""hy"")"),"Ո՞վ է ներկայիս Անգլիայի թագուհին:")</f>
        <v>Ո՞վ է ներկայիս Անգլիայի թագուհին:</v>
      </c>
      <c r="D6556" s="6" t="str">
        <f>IFERROR(__xludf.DUMMYFUNCTION("GOOGLETRANSLATE(B6556,""en"",""hy"")"),"Անգլիայի ներկայիս թագուհին Էլիզաբեթ II թագուհին է։")</f>
        <v>Անգլիայի ներկայիս թագուհին Էլիզաբեթ II թագուհին է։</v>
      </c>
    </row>
    <row r="6557">
      <c r="A6557" s="5" t="s">
        <v>7589</v>
      </c>
      <c r="B6557" s="5" t="s">
        <v>7545</v>
      </c>
      <c r="C6557" s="5" t="str">
        <f>IFERROR(__xludf.DUMMYFUNCTION("GOOGLETRANSLATE(A6557,""en"",""hy"")"),"Ո՞րն է Իտալիայի մայրաքաղաքը:")</f>
        <v>Ո՞րն է Իտալիայի մայրաքաղաքը:</v>
      </c>
      <c r="D6557" s="6" t="str">
        <f>IFERROR(__xludf.DUMMYFUNCTION("GOOGLETRANSLATE(B6557,""en"",""hy"")"),"Հռոմ.")</f>
        <v>Հռոմ.</v>
      </c>
    </row>
    <row r="6558">
      <c r="A6558" s="5" t="s">
        <v>9150</v>
      </c>
      <c r="B6558" s="5" t="s">
        <v>9151</v>
      </c>
      <c r="C6558" s="5" t="str">
        <f>IFERROR(__xludf.DUMMYFUNCTION("GOOGLETRANSLATE(A6558,""en"",""hy"")"),"Ո՞րն է Բրոդվեյի ամենաերկարատև մյուզիքլը:")</f>
        <v>Ո՞րն է Բրոդվեյի ամենաերկարատև մյուզիքլը:</v>
      </c>
      <c r="D6558" s="6" t="str">
        <f>IFERROR(__xludf.DUMMYFUNCTION("GOOGLETRANSLATE(B6558,""en"",""hy"")"),"«Օպերայի ուրվականը»")</f>
        <v>«Օպերայի ուրվականը»</v>
      </c>
    </row>
    <row r="6559">
      <c r="A6559" s="5" t="s">
        <v>7858</v>
      </c>
      <c r="B6559" s="5" t="s">
        <v>7448</v>
      </c>
      <c r="C6559" s="5" t="str">
        <f>IFERROR(__xludf.DUMMYFUNCTION("GOOGLETRANSLATE(A6559,""en"",""hy"")"),"Ո՞վ է նկարել «Մոնա Լիզան»:")</f>
        <v>Ո՞վ է նկարել «Մոնա Լիզան»:</v>
      </c>
      <c r="D6559" s="6" t="str">
        <f>IFERROR(__xludf.DUMMYFUNCTION("GOOGLETRANSLATE(B6559,""en"",""hy"")"),"Լեոնարդո դա Վինչի.")</f>
        <v>Լեոնարդո դա Վինչի.</v>
      </c>
    </row>
    <row r="6560">
      <c r="A6560" s="5" t="s">
        <v>7893</v>
      </c>
      <c r="B6560" s="5" t="s">
        <v>7894</v>
      </c>
      <c r="C6560" s="5" t="str">
        <f>IFERROR(__xludf.DUMMYFUNCTION("GOOGLETRANSLATE(A6560,""en"",""hy"")"),"Ո՞րն է կալիումի քիմիական նշանը:")</f>
        <v>Ո՞րն է կալիումի քիմիական նշանը:</v>
      </c>
      <c r="D6560" s="6" t="str">
        <f>IFERROR(__xludf.DUMMYFUNCTION("GOOGLETRANSLATE(B6560,""en"",""hy"")"),"Կալիումի քիմիական նշանը Կ.")</f>
        <v>Կալիումի քիմիական նշանը Կ.</v>
      </c>
    </row>
    <row r="6561">
      <c r="A6561" s="5" t="s">
        <v>9152</v>
      </c>
      <c r="B6561" s="5" t="s">
        <v>9153</v>
      </c>
      <c r="C6561" s="5" t="str">
        <f>IFERROR(__xludf.DUMMYFUNCTION("GOOGLETRANSLATE(A6561,""en"",""hy"")"),"Ո՞վ է գրել «Ջեյն Էյր» վեպը:")</f>
        <v>Ո՞վ է գրել «Ջեյն Էյր» վեպը:</v>
      </c>
      <c r="D6561" s="6" t="str">
        <f>IFERROR(__xludf.DUMMYFUNCTION("GOOGLETRANSLATE(B6561,""en"",""hy"")"),"Շառլոտ Բրոնտե.")</f>
        <v>Շառլոտ Բրոնտե.</v>
      </c>
    </row>
    <row r="6562">
      <c r="A6562" s="5" t="s">
        <v>9154</v>
      </c>
      <c r="B6562" s="5" t="s">
        <v>9155</v>
      </c>
      <c r="C6562" s="5" t="str">
        <f>IFERROR(__xludf.DUMMYFUNCTION("GOOGLETRANSLATE(A6562,""en"",""hy"")"),"Քանի՞ ոտք կա մեկ մղոնում:")</f>
        <v>Քանի՞ ոտք կա մեկ մղոնում:</v>
      </c>
      <c r="D6562" s="6" t="str">
        <f>IFERROR(__xludf.DUMMYFUNCTION("GOOGLETRANSLATE(B6562,""en"",""hy"")"),"Մեկ մղոնում կա 5280 ֆուտ:")</f>
        <v>Մեկ մղոնում կա 5280 ֆուտ:</v>
      </c>
    </row>
    <row r="6563">
      <c r="A6563" s="5" t="s">
        <v>7966</v>
      </c>
      <c r="B6563" s="5" t="s">
        <v>7967</v>
      </c>
      <c r="C6563" s="5" t="str">
        <f>IFERROR(__xludf.DUMMYFUNCTION("GOOGLETRANSLATE(A6563,""en"",""hy"")"),"Ո՞վ է եղել առաջին կինը, ով Նոբելյան մրցանակ է ստացել:")</f>
        <v>Ո՞վ է եղել առաջին կինը, ով Նոբելյան մրցանակ է ստացել:</v>
      </c>
      <c r="D6563" s="6" t="str">
        <f>IFERROR(__xludf.DUMMYFUNCTION("GOOGLETRANSLATE(B6563,""en"",""hy"")"),"Մարի Կյուրի.")</f>
        <v>Մարի Կյուրի.</v>
      </c>
    </row>
    <row r="6564">
      <c r="A6564" s="5" t="s">
        <v>7722</v>
      </c>
      <c r="B6564" s="5" t="s">
        <v>7723</v>
      </c>
      <c r="C6564" s="5" t="str">
        <f>IFERROR(__xludf.DUMMYFUNCTION("GOOGLETRANSLATE(A6564,""en"",""hy"")"),"Ո՞րն է Աֆրիկայի ամենաբարձր լեռը:")</f>
        <v>Ո՞րն է Աֆրիկայի ամենաբարձր լեռը:</v>
      </c>
      <c r="D6564" s="6" t="str">
        <f>IFERROR(__xludf.DUMMYFUNCTION("GOOGLETRANSLATE(B6564,""en"",""hy"")"),"Կիլիմանջարո լեռ.")</f>
        <v>Կիլիմանջարո լեռ.</v>
      </c>
    </row>
    <row r="6565">
      <c r="A6565" s="5" t="s">
        <v>9156</v>
      </c>
      <c r="B6565" s="5" t="s">
        <v>6824</v>
      </c>
      <c r="C6565" s="5" t="str">
        <f>IFERROR(__xludf.DUMMYFUNCTION("GOOGLETRANSLATE(A6565,""en"",""hy"")"),"Ո՞ր երկիրն է հայտնի ֆլամենկո պարով:")</f>
        <v>Ո՞ր երկիրն է հայտնի ֆլամենկո պարով:</v>
      </c>
      <c r="D6565" s="6" t="str">
        <f>IFERROR(__xludf.DUMMYFUNCTION("GOOGLETRANSLATE(B6565,""en"",""hy"")"),"Իսպանիա.")</f>
        <v>Իսպանիա.</v>
      </c>
    </row>
    <row r="6566">
      <c r="A6566" s="5" t="s">
        <v>8144</v>
      </c>
      <c r="B6566" s="5" t="s">
        <v>8145</v>
      </c>
      <c r="C6566" s="5" t="str">
        <f>IFERROR(__xludf.DUMMYFUNCTION("GOOGLETRANSLATE(A6566,""en"",""hy"")"),"Ո՞րն է Իսպանիայի պաշտոնական լեզուն:")</f>
        <v>Ո՞րն է Իսպանիայի պաշտոնական լեզուն:</v>
      </c>
      <c r="D6566" s="6" t="str">
        <f>IFERROR(__xludf.DUMMYFUNCTION("GOOGLETRANSLATE(B6566,""en"",""hy"")"),"Իսպանիայի պաշտոնական լեզուն իսպաներենն է։")</f>
        <v>Իսպանիայի պաշտոնական լեզուն իսպաներենն է։</v>
      </c>
    </row>
    <row r="6567">
      <c r="A6567" s="5" t="s">
        <v>7807</v>
      </c>
      <c r="B6567" s="5" t="s">
        <v>7808</v>
      </c>
      <c r="C6567" s="5" t="str">
        <f>IFERROR(__xludf.DUMMYFUNCTION("GOOGLETRANSLATE(A6567,""en"",""hy"")"),"Ո՞վ է հորինել տպագրական մեքենան:")</f>
        <v>Ո՞վ է հորինել տպագրական մեքենան:</v>
      </c>
      <c r="D6567" s="6" t="str">
        <f>IFERROR(__xludf.DUMMYFUNCTION("GOOGLETRANSLATE(B6567,""en"",""hy"")"),"Յոհաննես Գուտենբերգ.")</f>
        <v>Յոհաննես Գուտենբերգ.</v>
      </c>
    </row>
    <row r="6568">
      <c r="A6568" s="5" t="s">
        <v>7856</v>
      </c>
      <c r="B6568" s="5" t="s">
        <v>7472</v>
      </c>
      <c r="C6568" s="5" t="str">
        <f>IFERROR(__xludf.DUMMYFUNCTION("GOOGLETRANSLATE(A6568,""en"",""hy"")"),"Ո՞րն է աշխարհի ամենամեծ կենդանին:")</f>
        <v>Ո՞րն է աշխարհի ամենամեծ կենդանին:</v>
      </c>
      <c r="D6568" s="6" t="str">
        <f>IFERROR(__xludf.DUMMYFUNCTION("GOOGLETRANSLATE(B6568,""en"",""hy"")"),"Կապույտ կետը.")</f>
        <v>Կապույտ կետը.</v>
      </c>
    </row>
    <row r="6569">
      <c r="A6569" s="5" t="s">
        <v>7890</v>
      </c>
      <c r="B6569" s="5" t="s">
        <v>7661</v>
      </c>
      <c r="C6569" s="5" t="str">
        <f>IFERROR(__xludf.DUMMYFUNCTION("GOOGLETRANSLATE(A6569,""en"",""hy"")"),"Ո՞վ է գրել «Մեծն Գեթսբի» վեպը:")</f>
        <v>Ո՞վ է գրել «Մեծն Գեթսբի» վեպը:</v>
      </c>
      <c r="D6569" s="6" t="str">
        <f>IFERROR(__xludf.DUMMYFUNCTION("GOOGLETRANSLATE(B6569,""en"",""hy"")"),"F. Scott Fitzgerald.")</f>
        <v>F. Scott Fitzgerald.</v>
      </c>
    </row>
    <row r="6570">
      <c r="A6570" s="5" t="s">
        <v>7665</v>
      </c>
      <c r="B6570" s="5" t="s">
        <v>7781</v>
      </c>
      <c r="C6570" s="5" t="str">
        <f>IFERROR(__xludf.DUMMYFUNCTION("GOOGLETRANSLATE(A6570,""en"",""hy"")"),"Ո՞րն է նատրիումի քիմիական նշանը:")</f>
        <v>Ո՞րն է նատրիումի քիմիական նշանը:</v>
      </c>
      <c r="D6570" s="6" t="str">
        <f>IFERROR(__xludf.DUMMYFUNCTION("GOOGLETRANSLATE(B6570,""en"",""hy"")"),"Նատրիումի քիմիական նշանը Na է:")</f>
        <v>Նատրիումի քիմիական նշանը Na է:</v>
      </c>
    </row>
    <row r="6571">
      <c r="A6571" s="5" t="s">
        <v>8099</v>
      </c>
      <c r="B6571" s="5" t="s">
        <v>8100</v>
      </c>
      <c r="C6571" s="5" t="str">
        <f>IFERROR(__xludf.DUMMYFUNCTION("GOOGLETRANSLATE(A6571,""en"",""hy"")"),"Քանի՞ մոլորակ կա մեր արեգակնային համակարգում:")</f>
        <v>Քանի՞ մոլորակ կա մեր արեգակնային համակարգում:</v>
      </c>
      <c r="D6571" s="6" t="str">
        <f>IFERROR(__xludf.DUMMYFUNCTION("GOOGLETRANSLATE(B6571,""en"",""hy"")"),"Մեր Արեգակնային համակարգում կա ութ մոլորակ:")</f>
        <v>Մեր Արեգակնային համակարգում կա ութ մոլորակ:</v>
      </c>
    </row>
    <row r="6572">
      <c r="A6572" s="5" t="s">
        <v>7601</v>
      </c>
      <c r="B6572" s="5" t="s">
        <v>3966</v>
      </c>
      <c r="C6572" s="5" t="str">
        <f>IFERROR(__xludf.DUMMYFUNCTION("GOOGLETRANSLATE(A6572,""en"",""hy"")"),"Ո՞վ է Ֆրանսիայի ներկայիս նախագահը.")</f>
        <v>Ո՞վ է Ֆրանսիայի ներկայիս նախագահը.</v>
      </c>
      <c r="D6572" s="6" t="str">
        <f>IFERROR(__xludf.DUMMYFUNCTION("GOOGLETRANSLATE(B6572,""en"",""hy"")"),"Էմանուել Մակրոն.")</f>
        <v>Էմանուել Մակրոն.</v>
      </c>
    </row>
    <row r="6573">
      <c r="A6573" s="5" t="s">
        <v>7608</v>
      </c>
      <c r="B6573" s="5" t="s">
        <v>7609</v>
      </c>
      <c r="C6573" s="5" t="str">
        <f>IFERROR(__xludf.DUMMYFUNCTION("GOOGLETRANSLATE(A6573,""en"",""hy"")"),"Ո՞րն է Հնդկաստանի մայրաքաղաքը:")</f>
        <v>Ո՞րն է Հնդկաստանի մայրաքաղաքը:</v>
      </c>
      <c r="D6573" s="6" t="str">
        <f>IFERROR(__xludf.DUMMYFUNCTION("GOOGLETRANSLATE(B6573,""en"",""hy"")"),"Նյու Դելի.")</f>
        <v>Նյու Դելի.</v>
      </c>
    </row>
    <row r="6574">
      <c r="A6574" s="5" t="s">
        <v>9157</v>
      </c>
      <c r="B6574" s="5" t="s">
        <v>9158</v>
      </c>
      <c r="C6574" s="5" t="str">
        <f>IFERROR(__xludf.DUMMYFUNCTION("GOOGLETRANSLATE(A6574,""en"",""hy"")"),"Ո՞րն է երբևէ գրված ամենաերկար բանաստեղծությունը:")</f>
        <v>Ո՞րն է երբևէ գրված ամենաերկար բանաստեղծությունը:</v>
      </c>
      <c r="D6574" s="6" t="str">
        <f>IFERROR(__xludf.DUMMYFUNCTION("GOOGLETRANSLATE(B6574,""en"",""hy"")"),"Երբևէ գրված ամենաերկար բանաստեղծությունը Մահաբհարաթան է:")</f>
        <v>Երբևէ գրված ամենաերկար բանաստեղծությունը Մահաբհարաթան է:</v>
      </c>
    </row>
    <row r="6575">
      <c r="A6575" s="5" t="s">
        <v>8229</v>
      </c>
      <c r="B6575" s="5" t="s">
        <v>8230</v>
      </c>
      <c r="C6575" s="5" t="str">
        <f>IFERROR(__xludf.DUMMYFUNCTION("GOOGLETRANSLATE(A6575,""en"",""hy"")"),"Ո՞վ հայտնաբերեց Ամերիկան:")</f>
        <v>Ո՞վ հայտնաբերեց Ամերիկան:</v>
      </c>
      <c r="D6575" s="6" t="str">
        <f>IFERROR(__xludf.DUMMYFUNCTION("GOOGLETRANSLATE(B6575,""en"",""hy"")"),"Քրիստափոր Կոլումբոս.")</f>
        <v>Քրիստափոր Կոլումբոս.</v>
      </c>
    </row>
    <row r="6576">
      <c r="A6576" s="5" t="s">
        <v>7691</v>
      </c>
      <c r="B6576" s="5" t="s">
        <v>8421</v>
      </c>
      <c r="C6576" s="5" t="str">
        <f>IFERROR(__xludf.DUMMYFUNCTION("GOOGLETRANSLATE(A6576,""en"",""hy"")"),"Ո՞րն է Աֆրիկայի ամենամեծ լիճը:")</f>
        <v>Ո՞րն է Աֆրիկայի ամենամեծ լիճը:</v>
      </c>
      <c r="D6576" s="6" t="str">
        <f>IFERROR(__xludf.DUMMYFUNCTION("GOOGLETRANSLATE(B6576,""en"",""hy"")"),"Աֆրիկայի ամենամեծ լիճը Վիկտորիա լիճն է:")</f>
        <v>Աֆրիկայի ամենամեծ լիճը Վիկտորիա լիճն է:</v>
      </c>
    </row>
    <row r="6577">
      <c r="A6577" s="5" t="s">
        <v>7963</v>
      </c>
      <c r="B6577" s="5" t="s">
        <v>7878</v>
      </c>
      <c r="C6577" s="5" t="str">
        <f>IFERROR(__xludf.DUMMYFUNCTION("GOOGLETRANSLATE(A6577,""en"",""hy"")"),"Ո՞վ է նկարել «Սիքստինյան կապելլան»:")</f>
        <v>Ո՞վ է նկարել «Սիքստինյան կապելլան»:</v>
      </c>
      <c r="D6577" s="6" t="str">
        <f>IFERROR(__xludf.DUMMYFUNCTION("GOOGLETRANSLATE(B6577,""en"",""hy"")"),"Միքելանջելո")</f>
        <v>Միքելանջելո</v>
      </c>
    </row>
    <row r="6578">
      <c r="A6578" s="5" t="s">
        <v>7809</v>
      </c>
      <c r="B6578" s="5" t="s">
        <v>7810</v>
      </c>
      <c r="C6578" s="5" t="str">
        <f>IFERROR(__xludf.DUMMYFUNCTION("GOOGLETRANSLATE(A6578,""en"",""hy"")"),"Ո՞րն է հելիումի քիմիական նշանը:")</f>
        <v>Ո՞րն է հելիումի քիմիական նշանը:</v>
      </c>
      <c r="D6578" s="6" t="str">
        <f>IFERROR(__xludf.DUMMYFUNCTION("GOOGLETRANSLATE(B6578,""en"",""hy"")"),"Նա")</f>
        <v>Նա</v>
      </c>
    </row>
    <row r="6579">
      <c r="A6579" s="5" t="s">
        <v>8327</v>
      </c>
      <c r="B6579" s="5" t="s">
        <v>7837</v>
      </c>
      <c r="C6579" s="5" t="str">
        <f>IFERROR(__xludf.DUMMYFUNCTION("GOOGLETRANSLATE(A6579,""en"",""hy"")"),"Ո՞ր թվականին սկսվեց Առաջին համաշխարհային պատերազմը:")</f>
        <v>Ո՞ր թվականին սկսվեց Առաջին համաշխարհային պատերազմը:</v>
      </c>
      <c r="D6579" s="6" t="str">
        <f>IFERROR(__xludf.DUMMYFUNCTION("GOOGLETRANSLATE(B6579,""en"",""hy"")"),"Առաջին համաշխարհային պատերազմը սկսվել է 1914 թ.")</f>
        <v>Առաջին համաշխարհային պատերազմը սկսվել է 1914 թ.</v>
      </c>
    </row>
    <row r="6580">
      <c r="A6580" s="5" t="s">
        <v>8049</v>
      </c>
      <c r="B6580" s="5" t="s">
        <v>2267</v>
      </c>
      <c r="C6580" s="5" t="str">
        <f>IFERROR(__xludf.DUMMYFUNCTION("GOOGLETRANSLATE(A6580,""en"",""hy"")"),"Ո՞րն է Մեքսիկայի պաշտոնական լեզուն:")</f>
        <v>Ո՞րն է Մեքսիկայի պաշտոնական լեզուն:</v>
      </c>
      <c r="D6580" s="6" t="str">
        <f>IFERROR(__xludf.DUMMYFUNCTION("GOOGLETRANSLATE(B6580,""en"",""hy"")"),"իսպաներեն.")</f>
        <v>իսպաներեն.</v>
      </c>
    </row>
    <row r="6581">
      <c r="A6581" s="5" t="s">
        <v>7500</v>
      </c>
      <c r="B6581" s="5" t="s">
        <v>7501</v>
      </c>
      <c r="C6581" s="5" t="str">
        <f>IFERROR(__xludf.DUMMYFUNCTION("GOOGLETRANSLATE(A6581,""en"",""hy"")"),"Ո՞րն է Ֆրանսիայի մայրաքաղաքը:")</f>
        <v>Ո՞րն է Ֆրանսիայի մայրաքաղաքը:</v>
      </c>
      <c r="D6581" s="6" t="str">
        <f>IFERROR(__xludf.DUMMYFUNCTION("GOOGLETRANSLATE(B6581,""en"",""hy"")"),"Փարիզ.")</f>
        <v>Փարիզ.</v>
      </c>
    </row>
    <row r="6582">
      <c r="A6582" s="5" t="s">
        <v>7447</v>
      </c>
      <c r="B6582" s="5" t="s">
        <v>7448</v>
      </c>
      <c r="C6582" s="5" t="str">
        <f>IFERROR(__xludf.DUMMYFUNCTION("GOOGLETRANSLATE(A6582,""en"",""hy"")"),"Ո՞վ է նկարել Մոնա Լիզան:")</f>
        <v>Ո՞վ է նկարել Մոնա Լիզան:</v>
      </c>
      <c r="D6582" s="6" t="str">
        <f>IFERROR(__xludf.DUMMYFUNCTION("GOOGLETRANSLATE(B6582,""en"",""hy"")"),"Լեոնարդո դա Վինչի.")</f>
        <v>Լեոնարդո դա Վինչի.</v>
      </c>
    </row>
    <row r="6583">
      <c r="A6583" s="5" t="s">
        <v>7632</v>
      </c>
      <c r="B6583" s="5" t="s">
        <v>7633</v>
      </c>
      <c r="C6583" s="5" t="str">
        <f>IFERROR(__xludf.DUMMYFUNCTION("GOOGLETRANSLATE(A6583,""en"",""hy"")"),"Ո՞րն է մեր արեգակնային համակարգի ամենամեծ մոլորակը:")</f>
        <v>Ո՞րն է մեր արեգակնային համակարգի ամենամեծ մոլորակը:</v>
      </c>
      <c r="D6583" s="6" t="str">
        <f>IFERROR(__xludf.DUMMYFUNCTION("GOOGLETRANSLATE(B6583,""en"",""hy"")"),"Յուպիտեր.")</f>
        <v>Յուպիտեր.</v>
      </c>
    </row>
    <row r="6584">
      <c r="A6584" s="5" t="s">
        <v>7454</v>
      </c>
      <c r="B6584" s="5" t="s">
        <v>1016</v>
      </c>
      <c r="C6584" s="5" t="str">
        <f>IFERROR(__xludf.DUMMYFUNCTION("GOOGLETRANSLATE(A6584,""en"",""hy"")"),"Ո՞վ է գրել Ռոմեո և Ջուլիետ պիեսը:")</f>
        <v>Ո՞վ է գրել Ռոմեո և Ջուլիետ պիեսը:</v>
      </c>
      <c r="D6584" s="6" t="str">
        <f>IFERROR(__xludf.DUMMYFUNCTION("GOOGLETRANSLATE(B6584,""en"",""hy"")"),"Ուիլյամ Շեքսպիր.")</f>
        <v>Ուիլյամ Շեքսպիր.</v>
      </c>
    </row>
    <row r="6585">
      <c r="A6585" s="5" t="s">
        <v>8078</v>
      </c>
      <c r="B6585" s="5" t="s">
        <v>7784</v>
      </c>
      <c r="C6585" s="5" t="str">
        <f>IFERROR(__xludf.DUMMYFUNCTION("GOOGLETRANSLATE(A6585,""en"",""hy"")"),"Ո՞ր երկիրն է հայտնի որպես Ծագող Արևի երկիր:")</f>
        <v>Ո՞ր երկիրն է հայտնի որպես Ծագող Արևի երկիր:</v>
      </c>
      <c r="D6585" s="6" t="str">
        <f>IFERROR(__xludf.DUMMYFUNCTION("GOOGLETRANSLATE(B6585,""en"",""hy"")"),"Ճապոնիա")</f>
        <v>Ճապոնիա</v>
      </c>
    </row>
    <row r="6586">
      <c r="A6586" s="5" t="s">
        <v>7595</v>
      </c>
      <c r="B6586" s="5" t="s">
        <v>7596</v>
      </c>
      <c r="C6586" s="5" t="str">
        <f>IFERROR(__xludf.DUMMYFUNCTION("GOOGLETRANSLATE(A6586,""en"",""hy"")"),"Ո՞րն է Բրազիլիայի արժույթը:")</f>
        <v>Ո՞րն է Բրազիլիայի արժույթը:</v>
      </c>
      <c r="D6586" s="6" t="str">
        <f>IFERROR(__xludf.DUMMYFUNCTION("GOOGLETRANSLATE(B6586,""en"",""hy"")"),"Բրազիլիայի արժույթը բրազիլական ռեալն է։")</f>
        <v>Բրազիլիայի արժույթը բրազիլական ռեալն է։</v>
      </c>
    </row>
    <row r="6587">
      <c r="A6587" s="5" t="s">
        <v>7452</v>
      </c>
      <c r="B6587" s="5" t="s">
        <v>7631</v>
      </c>
      <c r="C6587" s="5" t="str">
        <f>IFERROR(__xludf.DUMMYFUNCTION("GOOGLETRANSLATE(A6587,""en"",""hy"")"),"Ո՞րն է ոսկու քիմիական նշանը:")</f>
        <v>Ո՞րն է ոսկու քիմիական նշանը:</v>
      </c>
      <c r="D6587" s="6" t="str">
        <f>IFERROR(__xludf.DUMMYFUNCTION("GOOGLETRANSLATE(B6587,""en"",""hy"")"),"Ավ")</f>
        <v>Ավ</v>
      </c>
    </row>
    <row r="6588">
      <c r="A6588" s="5" t="s">
        <v>8393</v>
      </c>
      <c r="B6588" s="5" t="s">
        <v>8394</v>
      </c>
      <c r="C6588" s="5" t="str">
        <f>IFERROR(__xludf.DUMMYFUNCTION("GOOGLETRANSLATE(A6588,""en"",""hy"")"),"Քանի՞ մայրցամաք կա Երկրի վրա:")</f>
        <v>Քանի՞ մայրցամաք կա Երկրի վրա:</v>
      </c>
      <c r="D6588" s="6" t="str">
        <f>IFERROR(__xludf.DUMMYFUNCTION("GOOGLETRANSLATE(B6588,""en"",""hy"")"),"Երկրի վրա կան յոթ մայրցամաքներ:")</f>
        <v>Երկրի վրա կան յոթ մայրցամաքներ:</v>
      </c>
    </row>
    <row r="6589">
      <c r="A6589" s="5" t="s">
        <v>7769</v>
      </c>
      <c r="B6589" s="5" t="s">
        <v>7486</v>
      </c>
      <c r="C6589" s="5" t="str">
        <f>IFERROR(__xludf.DUMMYFUNCTION("GOOGLETRANSLATE(A6589,""en"",""hy"")"),"Ո՞վ է Հարրի Փոթերի գրքերի շարքի հեղինակը:")</f>
        <v>Ո՞վ է Հարրի Փոթերի գրքերի շարքի հեղինակը:</v>
      </c>
      <c r="D6589" s="6" t="str">
        <f>IFERROR(__xludf.DUMMYFUNCTION("GOOGLETRANSLATE(B6589,""en"",""hy"")"),"Ջ.Կ. Ռոուլինգ.")</f>
        <v>Ջ.Կ. Ռոուլինգ.</v>
      </c>
    </row>
    <row r="6590">
      <c r="A6590" s="5" t="s">
        <v>7463</v>
      </c>
      <c r="B6590" s="5" t="s">
        <v>7464</v>
      </c>
      <c r="C6590" s="5" t="str">
        <f>IFERROR(__xludf.DUMMYFUNCTION("GOOGLETRANSLATE(A6590,""en"",""hy"")"),"Ո՞րն է աշխարհի ամենաբարձր լեռը:")</f>
        <v>Ո՞րն է աշխարհի ամենաբարձր լեռը:</v>
      </c>
      <c r="D6590" s="6" t="str">
        <f>IFERROR(__xludf.DUMMYFUNCTION("GOOGLETRANSLATE(B6590,""en"",""hy"")"),"Էվերեստ լեռ.")</f>
        <v>Էվերեստ լեռ.</v>
      </c>
    </row>
    <row r="6591">
      <c r="A6591" s="5" t="s">
        <v>8011</v>
      </c>
      <c r="B6591" s="7">
        <v>1945.0</v>
      </c>
      <c r="C6591" s="5" t="str">
        <f>IFERROR(__xludf.DUMMYFUNCTION("GOOGLETRANSLATE(A6591,""en"",""hy"")"),"Ո՞ր թվականին ավարտվեց Երկրորդ համաշխարհային պատերազմը:")</f>
        <v>Ո՞ր թվականին ավարտվեց Երկրորդ համաշխարհային պատերազմը:</v>
      </c>
      <c r="D6591" s="6" t="str">
        <f>IFERROR(__xludf.DUMMYFUNCTION("GOOGLETRANSLATE(B6591,""en"",""hy"")"),"1945 թ")</f>
        <v>1945 թ</v>
      </c>
    </row>
    <row r="6592">
      <c r="A6592" s="5" t="s">
        <v>9159</v>
      </c>
      <c r="B6592" s="5" t="s">
        <v>7181</v>
      </c>
      <c r="C6592" s="5" t="str">
        <f>IFERROR(__xludf.DUMMYFUNCTION("GOOGLETRANSLATE(A6592,""en"",""hy"")"),"Ո՞ր երկիրն է հայտնի Մեծ արգելախութով:")</f>
        <v>Ո՞ր երկիրն է հայտնի Մեծ արգելախութով:</v>
      </c>
      <c r="D6592" s="6" t="str">
        <f>IFERROR(__xludf.DUMMYFUNCTION("GOOGLETRANSLATE(B6592,""en"",""hy"")"),"Ավստրալիա")</f>
        <v>Ավստրալիա</v>
      </c>
    </row>
    <row r="6593">
      <c r="A6593" s="5" t="s">
        <v>7455</v>
      </c>
      <c r="B6593" s="5" t="s">
        <v>7646</v>
      </c>
      <c r="C6593" s="5" t="str">
        <f>IFERROR(__xludf.DUMMYFUNCTION("GOOGLETRANSLATE(A6593,""en"",""hy"")"),"Ո՞րն է աշխարհի ամենամեծ օվկիանոսը:")</f>
        <v>Ո՞րն է աշխարհի ամենամեծ օվկիանոսը:</v>
      </c>
      <c r="D6593" s="6" t="str">
        <f>IFERROR(__xludf.DUMMYFUNCTION("GOOGLETRANSLATE(B6593,""en"",""hy"")"),"Խաղաղ օվկիանոս.")</f>
        <v>Խաղաղ օվկիանոս.</v>
      </c>
    </row>
    <row r="6594">
      <c r="A6594" s="5" t="s">
        <v>7534</v>
      </c>
      <c r="B6594" s="5" t="s">
        <v>7535</v>
      </c>
      <c r="C6594" s="5" t="str">
        <f>IFERROR(__xludf.DUMMYFUNCTION("GOOGLETRANSLATE(A6594,""en"",""hy"")"),"Ո՞վ է հորինել հեռախոսը:")</f>
        <v>Ո՞վ է հորինել հեռախոսը:</v>
      </c>
      <c r="D6594" s="6" t="str">
        <f>IFERROR(__xludf.DUMMYFUNCTION("GOOGLETRANSLATE(B6594,""en"",""hy"")"),"Ալեքսանդր Գրեհեմ Բել.")</f>
        <v>Ալեքսանդր Գրեհեմ Բել.</v>
      </c>
    </row>
    <row r="6595">
      <c r="A6595" s="5" t="s">
        <v>7791</v>
      </c>
      <c r="B6595" s="5" t="s">
        <v>8128</v>
      </c>
      <c r="C6595" s="5" t="str">
        <f>IFERROR(__xludf.DUMMYFUNCTION("GOOGLETRANSLATE(A6595,""en"",""hy"")"),"Ո՞րն է Ավստրալիայի ազգային կենդանին:")</f>
        <v>Ո՞րն է Ավստրալիայի ազգային կենդանին:</v>
      </c>
      <c r="D6595" s="6" t="str">
        <f>IFERROR(__xludf.DUMMYFUNCTION("GOOGLETRANSLATE(B6595,""en"",""hy"")"),"Կենգուրու.")</f>
        <v>Կենգուրու.</v>
      </c>
    </row>
    <row r="6596">
      <c r="A6596" s="5" t="s">
        <v>9160</v>
      </c>
      <c r="B6596" s="5" t="s">
        <v>8323</v>
      </c>
      <c r="C6596" s="5" t="str">
        <f>IFERROR(__xludf.DUMMYFUNCTION("GOOGLETRANSLATE(A6596,""en"",""hy"")"),"Մեր Արեգակնային համակարգի ո՞ր մոլորակն է հայտնի օղակների համակարգով:")</f>
        <v>Մեր Արեգակնային համակարգի ո՞ր մոլորակն է հայտնի օղակների համակարգով:</v>
      </c>
      <c r="D6596" s="6" t="str">
        <f>IFERROR(__xludf.DUMMYFUNCTION("GOOGLETRANSLATE(B6596,""en"",""hy"")"),"Սատուրն")</f>
        <v>Սատուրն</v>
      </c>
    </row>
    <row r="6597">
      <c r="A6597" s="5" t="s">
        <v>8105</v>
      </c>
      <c r="B6597" s="5" t="s">
        <v>9161</v>
      </c>
      <c r="C6597" s="5" t="str">
        <f>IFERROR(__xludf.DUMMYFUNCTION("GOOGLETRANSLATE(A6597,""en"",""hy"")"),"Ո՞վ էր առաջին մարդը, ով քայլեց լուսնի վրա:")</f>
        <v>Ո՞վ էր առաջին մարդը, ով քայլեց լուսնի վրա:</v>
      </c>
      <c r="D6597" s="6" t="str">
        <f>IFERROR(__xludf.DUMMYFUNCTION("GOOGLETRANSLATE(B6597,""en"",""hy"")"),"Նիլ Արմսթրոնգը առաջին մարդն էր, ով քայլեց լուսնի վրա:")</f>
        <v>Նիլ Արմսթրոնգը առաջին մարդն էր, ով քայլեց լուսնի վրա:</v>
      </c>
    </row>
    <row r="6598">
      <c r="A6598" s="5" t="s">
        <v>8103</v>
      </c>
      <c r="B6598" s="5" t="s">
        <v>8727</v>
      </c>
      <c r="C6598" s="5" t="str">
        <f>IFERROR(__xludf.DUMMYFUNCTION("GOOGLETRANSLATE(A6598,""en"",""hy"")"),"Ո՞րն է Աֆրիկայի ամենաերկար գետը:")</f>
        <v>Ո՞րն է Աֆրիկայի ամենաերկար գետը:</v>
      </c>
      <c r="D6598" s="6" t="str">
        <f>IFERROR(__xludf.DUMMYFUNCTION("GOOGLETRANSLATE(B6598,""en"",""hy"")"),"Աֆրիկայի ամենաերկար գետը Նեղոս գետն է։")</f>
        <v>Աֆրիկայի ամենաերկար գետը Նեղոս գետն է։</v>
      </c>
    </row>
    <row r="6599">
      <c r="A6599" s="5" t="s">
        <v>8246</v>
      </c>
      <c r="B6599" s="5" t="s">
        <v>7648</v>
      </c>
      <c r="C6599" s="5" t="str">
        <f>IFERROR(__xludf.DUMMYFUNCTION("GOOGLETRANSLATE(A6599,""en"",""hy"")"),"Ո՞վ է նկարել հայտնի «Աստղային գիշերը» արվեստի գործը:")</f>
        <v>Ո՞վ է նկարել հայտնի «Աստղային գիշերը» արվեստի գործը:</v>
      </c>
      <c r="D6599" s="6" t="str">
        <f>IFERROR(__xludf.DUMMYFUNCTION("GOOGLETRANSLATE(B6599,""en"",""hy"")"),"Վինսենթ վան Գոգ.")</f>
        <v>Վինսենթ վան Գոգ.</v>
      </c>
    </row>
    <row r="6600">
      <c r="A6600" s="5" t="s">
        <v>7467</v>
      </c>
      <c r="B6600" s="5" t="s">
        <v>7766</v>
      </c>
      <c r="C6600" s="5" t="str">
        <f>IFERROR(__xludf.DUMMYFUNCTION("GOOGLETRANSLATE(A6600,""en"",""hy"")"),"Ո՞րն է Ճապոնիայի արժույթը:")</f>
        <v>Ո՞րն է Ճապոնիայի արժույթը:</v>
      </c>
      <c r="D6600" s="6" t="str">
        <f>IFERROR(__xludf.DUMMYFUNCTION("GOOGLETRANSLATE(B6600,""en"",""hy"")"),"Ճապոնիայի արժույթը ճապոնական իենն է։")</f>
        <v>Ճապոնիայի արժույթը ճապոնական իենն է։</v>
      </c>
    </row>
    <row r="6601">
      <c r="A6601" s="5" t="s">
        <v>8108</v>
      </c>
      <c r="B6601" s="5" t="s">
        <v>7556</v>
      </c>
      <c r="C6601" s="5" t="str">
        <f>IFERROR(__xludf.DUMMYFUNCTION("GOOGLETRANSLATE(A6601,""en"",""hy"")"),"Ո՞ր հայտնի գիտնականն է մշակել հարաբերականության տեսությունը:")</f>
        <v>Ո՞ր հայտնի գիտնականն է մշակել հարաբերականության տեսությունը:</v>
      </c>
      <c r="D6601" s="6" t="str">
        <f>IFERROR(__xludf.DUMMYFUNCTION("GOOGLETRANSLATE(B6601,""en"",""hy"")"),"Albert Einstein.")</f>
        <v>Albert Einstein.</v>
      </c>
    </row>
    <row r="6602">
      <c r="A6602" s="5" t="s">
        <v>8172</v>
      </c>
      <c r="B6602" s="5" t="s">
        <v>7733</v>
      </c>
      <c r="C6602" s="5" t="str">
        <f>IFERROR(__xludf.DUMMYFUNCTION("GOOGLETRANSLATE(A6602,""en"",""hy"")"),"Ո՞րն է աշխարհի ամենաբարձր ջրվեժը:")</f>
        <v>Ո՞րն է աշխարհի ամենաբարձր ջրվեժը:</v>
      </c>
      <c r="D6602" s="6" t="str">
        <f>IFERROR(__xludf.DUMMYFUNCTION("GOOGLETRANSLATE(B6602,""en"",""hy"")"),"Angel Falls.")</f>
        <v>Angel Falls.</v>
      </c>
    </row>
    <row r="6603">
      <c r="A6603" s="5" t="s">
        <v>8622</v>
      </c>
      <c r="B6603" s="5" t="s">
        <v>7921</v>
      </c>
      <c r="C6603" s="5" t="str">
        <f>IFERROR(__xludf.DUMMYFUNCTION("GOOGLETRANSLATE(A6603,""en"",""hy"")"),"Ո՞ր երկրում է գտնվում Թաջ Մահալը:")</f>
        <v>Ո՞ր երկրում է գտնվում Թաջ Մահալը:</v>
      </c>
      <c r="D6603" s="6" t="str">
        <f>IFERROR(__xludf.DUMMYFUNCTION("GOOGLETRANSLATE(B6603,""en"",""hy"")"),"Հնդկաստան.")</f>
        <v>Հնդկաստան.</v>
      </c>
    </row>
    <row r="6604">
      <c r="A6604" s="5" t="s">
        <v>7763</v>
      </c>
      <c r="B6604" s="5" t="s">
        <v>7505</v>
      </c>
      <c r="C6604" s="5" t="str">
        <f>IFERROR(__xludf.DUMMYFUNCTION("GOOGLETRANSLATE(A6604,""en"",""hy"")"),"Ո՞վ է Միացյալ Նահանգների ներկայիս նախագահը.")</f>
        <v>Ո՞վ է Միացյալ Նահանգների ներկայիս նախագահը.</v>
      </c>
      <c r="D6604" s="6" t="str">
        <f>IFERROR(__xludf.DUMMYFUNCTION("GOOGLETRANSLATE(B6604,""en"",""hy"")"),"Ջո Բայդեն.")</f>
        <v>Ջո Բայդեն.</v>
      </c>
    </row>
    <row r="6605">
      <c r="A6605" s="5" t="s">
        <v>7761</v>
      </c>
      <c r="B6605" s="5" t="s">
        <v>9162</v>
      </c>
      <c r="C6605" s="5" t="str">
        <f>IFERROR(__xludf.DUMMYFUNCTION("GOOGLETRANSLATE(A6605,""en"",""hy"")"),"Ո՞րն է ջրածնի քիմիական նշանը:")</f>
        <v>Ո՞րն է ջրածնի քիմիական նշանը:</v>
      </c>
      <c r="D6605" s="6" t="str">
        <f>IFERROR(__xludf.DUMMYFUNCTION("GOOGLETRANSLATE(B6605,""en"",""hy"")"),"Հ.")</f>
        <v>Հ.</v>
      </c>
    </row>
    <row r="6606">
      <c r="A6606" s="5" t="s">
        <v>8014</v>
      </c>
      <c r="B6606" s="5" t="s">
        <v>8460</v>
      </c>
      <c r="C6606" s="5" t="str">
        <f>IFERROR(__xludf.DUMMYFUNCTION("GOOGLETRANSLATE(A6606,""en"",""hy"")"),"Քանի՞ խաղացող կա բասկետբոլի թիմում:")</f>
        <v>Քանի՞ խաղացող կա բասկետբոլի թիմում:</v>
      </c>
      <c r="D6606" s="6" t="str">
        <f>IFERROR(__xludf.DUMMYFUNCTION("GOOGLETRANSLATE(B6606,""en"",""hy"")"),"Բասկետբոլի թիմում 5 խաղացող կա։")</f>
        <v>Բասկետբոլի թիմում 5 խաղացող կա։</v>
      </c>
    </row>
    <row r="6607">
      <c r="A6607" s="5" t="s">
        <v>7513</v>
      </c>
      <c r="B6607" s="5" t="s">
        <v>8337</v>
      </c>
      <c r="C6607" s="5" t="str">
        <f>IFERROR(__xludf.DUMMYFUNCTION("GOOGLETRANSLATE(A6607,""en"",""hy"")"),"Ո՞րն է աշխարհի ամենամեծ անապատը:")</f>
        <v>Ո՞րն է աշխարհի ամենամեծ անապատը:</v>
      </c>
      <c r="D6607" s="6" t="str">
        <f>IFERROR(__xludf.DUMMYFUNCTION("GOOGLETRANSLATE(B6607,""en"",""hy"")"),"Աշխարհի ամենամեծ անապատը Անտարկտիդայի անապատն է։")</f>
        <v>Աշխարհի ամենամեծ անապատը Անտարկտիդայի անապատն է։</v>
      </c>
    </row>
    <row r="6608">
      <c r="A6608" s="5" t="s">
        <v>9163</v>
      </c>
      <c r="B6608" s="5" t="s">
        <v>8759</v>
      </c>
      <c r="C6608" s="5" t="str">
        <f>IFERROR(__xludf.DUMMYFUNCTION("GOOGLETRANSLATE(A6608,""en"",""hy"")"),"Ո՞վ է հայտնի որպես «ֆիզիկայի հայր»:")</f>
        <v>Ո՞վ է հայտնի որպես «ֆիզիկայի հայր»:</v>
      </c>
      <c r="D6608" s="6" t="str">
        <f>IFERROR(__xludf.DUMMYFUNCTION("GOOGLETRANSLATE(B6608,""en"",""hy"")"),"Սըր Իսահակ Նյուտոն.")</f>
        <v>Սըր Իսահակ Նյուտոն.</v>
      </c>
    </row>
    <row r="6609">
      <c r="A6609" s="5" t="s">
        <v>7480</v>
      </c>
      <c r="B6609" s="5" t="s">
        <v>7481</v>
      </c>
      <c r="C6609" s="5" t="str">
        <f>IFERROR(__xludf.DUMMYFUNCTION("GOOGLETRANSLATE(A6609,""en"",""hy"")"),"Ո՞րն է Միացյալ Նահանգների ազգային թռչունը:")</f>
        <v>Ո՞րն է Միացյալ Նահանգների ազգային թռչունը:</v>
      </c>
      <c r="D6609" s="6" t="str">
        <f>IFERROR(__xludf.DUMMYFUNCTION("GOOGLETRANSLATE(B6609,""en"",""hy"")"),"Միացյալ Նահանգների ազգային թռչունը ճաղատ արծիվն է։")</f>
        <v>Միացյալ Նահանգների ազգային թռչունը ճաղատ արծիվն է։</v>
      </c>
    </row>
    <row r="6610">
      <c r="A6610" s="5" t="s">
        <v>7511</v>
      </c>
      <c r="B6610" s="5" t="s">
        <v>7512</v>
      </c>
      <c r="C6610" s="5" t="str">
        <f>IFERROR(__xludf.DUMMYFUNCTION("GOOGLETRANSLATE(A6610,""en"",""hy"")"),"Ո՞ր երկիրն է հայտնի իր բուրգերով:")</f>
        <v>Ո՞ր երկիրն է հայտնի իր բուրգերով:</v>
      </c>
      <c r="D6610" s="6" t="str">
        <f>IFERROR(__xludf.DUMMYFUNCTION("GOOGLETRANSLATE(B6610,""en"",""hy"")"),"Եգիպտոս.")</f>
        <v>Եգիպտոս.</v>
      </c>
    </row>
    <row r="6611">
      <c r="A6611" s="5" t="s">
        <v>7461</v>
      </c>
      <c r="B6611" s="5" t="s">
        <v>7639</v>
      </c>
      <c r="C6611" s="5" t="str">
        <f>IFERROR(__xludf.DUMMYFUNCTION("GOOGLETRANSLATE(A6611,""en"",""hy"")"),"Ո՞րն է մարդու մարմնի ամենամեծ օրգանը:")</f>
        <v>Ո՞րն է մարդու մարմնի ամենամեծ օրգանը:</v>
      </c>
      <c r="D6611" s="6" t="str">
        <f>IFERROR(__xludf.DUMMYFUNCTION("GOOGLETRANSLATE(B6611,""en"",""hy"")"),"Մարդու մարմնի ամենամեծ օրգանը մաշկն է։")</f>
        <v>Մարդու մարմնի ամենամեծ օրգանը մաշկն է։</v>
      </c>
    </row>
    <row r="6612">
      <c r="A6612" s="5" t="s">
        <v>7778</v>
      </c>
      <c r="B6612" s="5" t="s">
        <v>7878</v>
      </c>
      <c r="C6612" s="5" t="str">
        <f>IFERROR(__xludf.DUMMYFUNCTION("GOOGLETRANSLATE(A6612,""en"",""hy"")"),"Ո՞վ է նկարել Սիքստինյան կապելլայի առաստաղը:")</f>
        <v>Ո՞վ է նկարել Սիքստինյան կապելլայի առաստաղը:</v>
      </c>
      <c r="D6612" s="6" t="str">
        <f>IFERROR(__xludf.DUMMYFUNCTION("GOOGLETRANSLATE(B6612,""en"",""hy"")"),"Միքելանջելո")</f>
        <v>Միքելանջելո</v>
      </c>
    </row>
    <row r="6613">
      <c r="A6613" s="5" t="s">
        <v>8300</v>
      </c>
      <c r="B6613" s="5" t="s">
        <v>8301</v>
      </c>
      <c r="C6613" s="5" t="str">
        <f>IFERROR(__xludf.DUMMYFUNCTION("GOOGLETRANSLATE(A6613,""en"",""hy"")"),"Ո՞ր մոլորակն է ամենամոտն արեգակին:")</f>
        <v>Ո՞ր մոլորակն է ամենամոտն արեգակին:</v>
      </c>
      <c r="D6613" s="6" t="str">
        <f>IFERROR(__xludf.DUMMYFUNCTION("GOOGLETRANSLATE(B6613,""en"",""hy"")"),"Մերկուրի.")</f>
        <v>Մերկուրի.</v>
      </c>
    </row>
    <row r="6614">
      <c r="A6614" s="5" t="s">
        <v>7780</v>
      </c>
      <c r="B6614" s="5" t="s">
        <v>2951</v>
      </c>
      <c r="C6614" s="5" t="str">
        <f>IFERROR(__xludf.DUMMYFUNCTION("GOOGLETRANSLATE(A6614,""en"",""hy"")"),"Ո՞րն է Կանադայի մայրաքաղաքը:")</f>
        <v>Ո՞րն է Կանադայի մայրաքաղաքը:</v>
      </c>
      <c r="D6614" s="6" t="str">
        <f>IFERROR(__xludf.DUMMYFUNCTION("GOOGLETRANSLATE(B6614,""en"",""hy"")"),"Օտտավա.")</f>
        <v>Օտտավա.</v>
      </c>
    </row>
    <row r="6615">
      <c r="A6615" s="5" t="s">
        <v>8802</v>
      </c>
      <c r="B6615" s="7">
        <v>1776.0</v>
      </c>
      <c r="C6615" s="5" t="str">
        <f>IFERROR(__xludf.DUMMYFUNCTION("GOOGLETRANSLATE(A6615,""en"",""hy"")"),"Ո՞ր թվականին է ստորագրվել Անկախության հռչակագիրը։")</f>
        <v>Ո՞ր թվականին է ստորագրվել Անկախության հռչակագիրը։</v>
      </c>
      <c r="D6615" s="6" t="str">
        <f>IFERROR(__xludf.DUMMYFUNCTION("GOOGLETRANSLATE(B6615,""en"",""hy"")"),"1776 թ")</f>
        <v>1776 թ</v>
      </c>
    </row>
    <row r="6616">
      <c r="A6616" s="5" t="s">
        <v>7793</v>
      </c>
      <c r="B6616" s="5" t="s">
        <v>1958</v>
      </c>
      <c r="C6616" s="5" t="str">
        <f>IFERROR(__xludf.DUMMYFUNCTION("GOOGLETRANSLATE(A6616,""en"",""hy"")"),"Ո՞ր երկիրն է հայտնի իր կակաչներով և հողմաղացներով:")</f>
        <v>Ո՞ր երկիրն է հայտնի իր կակաչներով և հողմաղացներով:</v>
      </c>
      <c r="D6616" s="6" t="str">
        <f>IFERROR(__xludf.DUMMYFUNCTION("GOOGLETRANSLATE(B6616,""en"",""hy"")"),"Նիդեռլանդներ.")</f>
        <v>Նիդեռլանդներ.</v>
      </c>
    </row>
    <row r="6617">
      <c r="A6617" s="5" t="s">
        <v>7849</v>
      </c>
      <c r="B6617" s="5" t="s">
        <v>7541</v>
      </c>
      <c r="C6617" s="5" t="str">
        <f>IFERROR(__xludf.DUMMYFUNCTION("GOOGLETRANSLATE(A6617,""en"",""hy"")"),"Ո՞վ է գրել «Սպանել ծաղրող թռչունին» վեպը:")</f>
        <v>Ո՞վ է գրել «Սպանել ծաղրող թռչունին» վեպը:</v>
      </c>
      <c r="D6617" s="6" t="str">
        <f>IFERROR(__xludf.DUMMYFUNCTION("GOOGLETRANSLATE(B6617,""en"",""hy"")"),"Հարփեր Լի.")</f>
        <v>Հարփեր Լի.</v>
      </c>
    </row>
    <row r="6618">
      <c r="A6618" s="5" t="s">
        <v>7665</v>
      </c>
      <c r="B6618" s="5" t="s">
        <v>7781</v>
      </c>
      <c r="C6618" s="5" t="str">
        <f>IFERROR(__xludf.DUMMYFUNCTION("GOOGLETRANSLATE(A6618,""en"",""hy"")"),"Ո՞րն է նատրիումի քիմիական նշանը:")</f>
        <v>Ո՞րն է նատրիումի քիմիական նշանը:</v>
      </c>
      <c r="D6618" s="6" t="str">
        <f>IFERROR(__xludf.DUMMYFUNCTION("GOOGLETRANSLATE(B6618,""en"",""hy"")"),"Նատրիումի քիմիական նշանը Na է:")</f>
        <v>Նատրիումի քիմիական նշանը Na է:</v>
      </c>
    </row>
    <row r="6619">
      <c r="A6619" s="5" t="s">
        <v>8644</v>
      </c>
      <c r="B6619" s="5" t="s">
        <v>8645</v>
      </c>
      <c r="C6619" s="5" t="str">
        <f>IFERROR(__xludf.DUMMYFUNCTION("GOOGLETRANSLATE(A6619,""en"",""hy"")"),"Քանի՞ խաղացող կա վոլեյբոլի թիմում:")</f>
        <v>Քանի՞ խաղացող կա վոլեյբոլի թիմում:</v>
      </c>
      <c r="D6619" s="6" t="str">
        <f>IFERROR(__xludf.DUMMYFUNCTION("GOOGLETRANSLATE(B6619,""en"",""hy"")"),"Վոլեյբոլի թիմում վեց խաղացող կա։")</f>
        <v>Վոլեյբոլի թիմում վեց խաղացող կա։</v>
      </c>
    </row>
    <row r="6620">
      <c r="A6620" s="5" t="s">
        <v>7691</v>
      </c>
      <c r="B6620" s="5" t="s">
        <v>7692</v>
      </c>
      <c r="C6620" s="5" t="str">
        <f>IFERROR(__xludf.DUMMYFUNCTION("GOOGLETRANSLATE(A6620,""en"",""hy"")"),"Ո՞րն է Աֆրիկայի ամենամեծ լիճը:")</f>
        <v>Ո՞րն է Աֆրիկայի ամենամեծ լիճը:</v>
      </c>
      <c r="D6620" s="6" t="str">
        <f>IFERROR(__xludf.DUMMYFUNCTION("GOOGLETRANSLATE(B6620,""en"",""hy"")"),"Վիկտորիա լիճ.")</f>
        <v>Վիկտորիա լիճ.</v>
      </c>
    </row>
    <row r="6621">
      <c r="A6621" s="5" t="s">
        <v>7479</v>
      </c>
      <c r="B6621" s="5" t="s">
        <v>9164</v>
      </c>
      <c r="C6621" s="5" t="str">
        <f>IFERROR(__xludf.DUMMYFUNCTION("GOOGLETRANSLATE(A6621,""en"",""hy"")"),"Ո՞վ է Միացյալ Թագավորության ներկայիս վարչապետը:")</f>
        <v>Ո՞վ է Միացյալ Թագավորության ներկայիս վարչապետը:</v>
      </c>
      <c r="D6621" s="6" t="str">
        <f>IFERROR(__xludf.DUMMYFUNCTION("GOOGLETRANSLATE(B6621,""en"",""hy"")"),"Միացյալ Թագավորության ներկայիս վարչապետը Բորիս Ջոնսոնն է։")</f>
        <v>Միացյալ Թագավորության ներկայիս վարչապետը Բորիս Ջոնսոնն է։</v>
      </c>
    </row>
    <row r="6622">
      <c r="A6622" s="5" t="s">
        <v>7450</v>
      </c>
      <c r="B6622" s="5" t="s">
        <v>7451</v>
      </c>
      <c r="C6622" s="5" t="str">
        <f>IFERROR(__xludf.DUMMYFUNCTION("GOOGLETRANSLATE(A6622,""en"",""hy"")"),"Ո՞րն է Ավստրալիայի մայրաքաղաքը:")</f>
        <v>Ո՞րն է Ավստրալիայի մայրաքաղաքը:</v>
      </c>
      <c r="D6622" s="6" t="str">
        <f>IFERROR(__xludf.DUMMYFUNCTION("GOOGLETRANSLATE(B6622,""en"",""hy"")"),"Կանբերա.")</f>
        <v>Կանբերա.</v>
      </c>
    </row>
    <row r="6623">
      <c r="A6623" s="5" t="s">
        <v>9165</v>
      </c>
      <c r="B6623" s="5" t="s">
        <v>7954</v>
      </c>
      <c r="C6623" s="5" t="str">
        <f>IFERROR(__xludf.DUMMYFUNCTION("GOOGLETRANSLATE(A6623,""en"",""hy"")"),"Ո՞ր երկիրն է հայտնի իր թխկի օշարակով:")</f>
        <v>Ո՞ր երկիրն է հայտնի իր թխկի օշարակով:</v>
      </c>
      <c r="D6623" s="6" t="str">
        <f>IFERROR(__xludf.DUMMYFUNCTION("GOOGLETRANSLATE(B6623,""en"",""hy"")"),"Կանադա")</f>
        <v>Կանադա</v>
      </c>
    </row>
    <row r="6624">
      <c r="A6624" s="5" t="s">
        <v>8123</v>
      </c>
      <c r="B6624" s="5" t="s">
        <v>7448</v>
      </c>
      <c r="C6624" s="5" t="str">
        <f>IFERROR(__xludf.DUMMYFUNCTION("GOOGLETRANSLATE(A6624,""en"",""hy"")"),"Ո՞վ է նկարել հայտնի «Վերջին ընթրիքը» ստեղծագործությունը:")</f>
        <v>Ո՞վ է նկարել հայտնի «Վերջին ընթրիքը» ստեղծագործությունը:</v>
      </c>
      <c r="D6624" s="6" t="str">
        <f>IFERROR(__xludf.DUMMYFUNCTION("GOOGLETRANSLATE(B6624,""en"",""hy"")"),"Լեոնարդո դա Վինչի.")</f>
        <v>Լեոնարդո դա Վինչի.</v>
      </c>
    </row>
    <row r="6625">
      <c r="A6625" s="5" t="s">
        <v>8254</v>
      </c>
      <c r="B6625" s="5" t="s">
        <v>3535</v>
      </c>
      <c r="C6625" s="5" t="str">
        <f>IFERROR(__xludf.DUMMYFUNCTION("GOOGLETRANSLATE(A6625,""en"",""hy"")"),"Ո՞րն է աշխարհի ամենափոքր մայրցամաքը:")</f>
        <v>Ո՞րն է աշխարհի ամենափոքր մայրցամաքը:</v>
      </c>
      <c r="D6625" s="6" t="str">
        <f>IFERROR(__xludf.DUMMYFUNCTION("GOOGLETRANSLATE(B6625,""en"",""hy"")"),"Ավստրալիա.")</f>
        <v>Ավստրալիա.</v>
      </c>
    </row>
    <row r="6626">
      <c r="A6626" s="5" t="s">
        <v>7502</v>
      </c>
      <c r="B6626" s="5" t="s">
        <v>7503</v>
      </c>
      <c r="C6626" s="5" t="str">
        <f>IFERROR(__xludf.DUMMYFUNCTION("GOOGLETRANSLATE(A6626,""en"",""hy"")"),"Քանի՞ կողմ ունի վեցանկյունը:")</f>
        <v>Քանի՞ կողմ ունի վեցանկյունը:</v>
      </c>
      <c r="D6626" s="6" t="str">
        <f>IFERROR(__xludf.DUMMYFUNCTION("GOOGLETRANSLATE(B6626,""en"",""hy"")"),"Վեցանկյունն ունի վեց կողմ:")</f>
        <v>Վեցանկյունն ունի վեց կողմ:</v>
      </c>
    </row>
    <row r="6627">
      <c r="A6627" s="5" t="s">
        <v>7817</v>
      </c>
      <c r="B6627" s="5" t="s">
        <v>7818</v>
      </c>
      <c r="C6627" s="5" t="str">
        <f>IFERROR(__xludf.DUMMYFUNCTION("GOOGLETRANSLATE(A6627,""en"",""hy"")"),"Ո՞րն է Կանադայի ազգային կենդանին:")</f>
        <v>Ո՞րն է Կանադայի ազգային կենդանին:</v>
      </c>
      <c r="D6627" s="6" t="str">
        <f>IFERROR(__xludf.DUMMYFUNCTION("GOOGLETRANSLATE(B6627,""en"",""hy"")"),"Կանադայի ազգային կենդանին կեղևն է:")</f>
        <v>Կանադայի ազգային կենդանին կեղևն է:</v>
      </c>
    </row>
    <row r="6628">
      <c r="A6628" s="5" t="s">
        <v>7772</v>
      </c>
      <c r="B6628" s="5" t="s">
        <v>3535</v>
      </c>
      <c r="C6628" s="5" t="str">
        <f>IFERROR(__xludf.DUMMYFUNCTION("GOOGLETRANSLATE(A6628,""en"",""hy"")"),"Ո՞ր երկիրն է հայտնի որպես «Land Down Under»:")</f>
        <v>Ո՞ր երկիրն է հայտնի որպես «Land Down Under»:</v>
      </c>
      <c r="D6628" s="6" t="str">
        <f>IFERROR(__xludf.DUMMYFUNCTION("GOOGLETRANSLATE(B6628,""en"",""hy"")"),"Ավստրալիա.")</f>
        <v>Ավստրալիա.</v>
      </c>
    </row>
    <row r="6629">
      <c r="A6629" s="5" t="s">
        <v>9166</v>
      </c>
      <c r="B6629" s="5" t="s">
        <v>7607</v>
      </c>
      <c r="C6629" s="5" t="str">
        <f>IFERROR(__xludf.DUMMYFUNCTION("GOOGLETRANSLATE(A6629,""en"",""hy"")"),"Ո՞վ է հայտնի էվոլյուցիայի իր տեսությամբ:")</f>
        <v>Ո՞վ է հայտնի էվոլյուցիայի իր տեսությամբ:</v>
      </c>
      <c r="D6629" s="6" t="str">
        <f>IFERROR(__xludf.DUMMYFUNCTION("GOOGLETRANSLATE(B6629,""en"",""hy"")"),"Չարլզ Դարվին.")</f>
        <v>Չարլզ Դարվին.</v>
      </c>
    </row>
    <row r="6630">
      <c r="A6630" s="5" t="s">
        <v>7699</v>
      </c>
      <c r="B6630" s="5" t="s">
        <v>7700</v>
      </c>
      <c r="C6630" s="5" t="str">
        <f>IFERROR(__xludf.DUMMYFUNCTION("GOOGLETRANSLATE(A6630,""en"",""hy"")"),"Ո՞րն է ածխածնի քիմիական նշանը:")</f>
        <v>Ո՞րն է ածխածնի քիմիական նշանը:</v>
      </c>
      <c r="D6630" s="6" t="str">
        <f>IFERROR(__xludf.DUMMYFUNCTION("GOOGLETRANSLATE(B6630,""en"",""hy"")"),"Ածխածնի քիմիական նշանը C է:")</f>
        <v>Ածխածնի քիմիական նշանը C է:</v>
      </c>
    </row>
    <row r="6631">
      <c r="A6631" s="5" t="s">
        <v>9167</v>
      </c>
      <c r="B6631" s="5" t="s">
        <v>9168</v>
      </c>
      <c r="C6631" s="5" t="str">
        <f>IFERROR(__xludf.DUMMYFUNCTION("GOOGLETRANSLATE(A6631,""en"",""hy"")"),"Քանի՞ խաղացող կա կրիկետի թիմում:")</f>
        <v>Քանի՞ խաղացող կա կրիկետի թիմում:</v>
      </c>
      <c r="D6631" s="6" t="str">
        <f>IFERROR(__xludf.DUMMYFUNCTION("GOOGLETRANSLATE(B6631,""en"",""hy"")"),"Կրիկետի թիմում կա 11 խաղացող։")</f>
        <v>Կրիկետի թիմում կա 11 խաղացող։</v>
      </c>
    </row>
    <row r="6632">
      <c r="A6632" s="5" t="s">
        <v>7526</v>
      </c>
      <c r="B6632" s="5" t="s">
        <v>7527</v>
      </c>
      <c r="C6632" s="5" t="str">
        <f>IFERROR(__xludf.DUMMYFUNCTION("GOOGLETRANSLATE(A6632,""en"",""hy"")"),"Ո՞րն է աշխարհի ամենամեծ կղզին:")</f>
        <v>Ո՞րն է աշխարհի ամենամեծ կղզին:</v>
      </c>
      <c r="D6632" s="6" t="str">
        <f>IFERROR(__xludf.DUMMYFUNCTION("GOOGLETRANSLATE(B6632,""en"",""hy"")"),"Գրենլանդիա.")</f>
        <v>Գրենլանդիա.</v>
      </c>
    </row>
    <row r="6633">
      <c r="A6633" s="5" t="s">
        <v>7521</v>
      </c>
      <c r="B6633" s="5" t="s">
        <v>1016</v>
      </c>
      <c r="C6633" s="5" t="str">
        <f>IFERROR(__xludf.DUMMYFUNCTION("GOOGLETRANSLATE(A6633,""en"",""hy"")"),"Ո՞վ է գրել Համլետ պիեսը:")</f>
        <v>Ո՞վ է գրել Համլետ պիեսը:</v>
      </c>
      <c r="D6633" s="6" t="str">
        <f>IFERROR(__xludf.DUMMYFUNCTION("GOOGLETRANSLATE(B6633,""en"",""hy"")"),"Ուիլյամ Շեքսպիր.")</f>
        <v>Ուիլյամ Շեքսպիր.</v>
      </c>
    </row>
    <row r="6634">
      <c r="A6634" s="5" t="s">
        <v>7872</v>
      </c>
      <c r="B6634" s="5" t="s">
        <v>6011</v>
      </c>
      <c r="C6634" s="5" t="str">
        <f>IFERROR(__xludf.DUMMYFUNCTION("GOOGLETRANSLATE(A6634,""en"",""hy"")"),"Ո՞րն է Իսպանիայի մայրաքաղաքը:")</f>
        <v>Ո՞րն է Իսպանիայի մայրաքաղաքը:</v>
      </c>
      <c r="D6634" s="6" t="str">
        <f>IFERROR(__xludf.DUMMYFUNCTION("GOOGLETRANSLATE(B6634,""en"",""hy"")"),"Մադրիդ")</f>
        <v>Մադրիդ</v>
      </c>
    </row>
    <row r="6635">
      <c r="A6635" s="5" t="s">
        <v>7744</v>
      </c>
      <c r="B6635" s="5" t="s">
        <v>7745</v>
      </c>
      <c r="C6635" s="5" t="str">
        <f>IFERROR(__xludf.DUMMYFUNCTION("GOOGLETRANSLATE(A6635,""en"",""hy"")"),"Ո՞վ է նկարել հայտնի «Հիշողության համառությունը» ստեղծագործությունը:")</f>
        <v>Ո՞վ է նկարել հայտնի «Հիշողության համառությունը» ստեղծագործությունը:</v>
      </c>
      <c r="D6635" s="6" t="str">
        <f>IFERROR(__xludf.DUMMYFUNCTION("GOOGLETRANSLATE(B6635,""en"",""hy"")"),"Սալվադոր Դալի.")</f>
        <v>Սալվադոր Դալի.</v>
      </c>
    </row>
    <row r="6636">
      <c r="A6636" s="5" t="s">
        <v>7689</v>
      </c>
      <c r="B6636" s="5" t="s">
        <v>9169</v>
      </c>
      <c r="C6636" s="5" t="str">
        <f>IFERROR(__xludf.DUMMYFUNCTION("GOOGLETRANSLATE(A6636,""en"",""hy"")"),"Ո՞րն է Ռուսաստանի արժույթը:")</f>
        <v>Ո՞րն է Ռուսաստանի արժույթը:</v>
      </c>
      <c r="D6636" s="6" t="str">
        <f>IFERROR(__xludf.DUMMYFUNCTION("GOOGLETRANSLATE(B6636,""en"",""hy"")"),"Ռուսաստանի արժույթը ռուսական ռուբլին է։")</f>
        <v>Ռուսաստանի արժույթը ռուսական ռուբլին է։</v>
      </c>
    </row>
    <row r="6637">
      <c r="A6637" s="5" t="s">
        <v>7592</v>
      </c>
      <c r="B6637" s="5" t="s">
        <v>8257</v>
      </c>
      <c r="C6637" s="5" t="str">
        <f>IFERROR(__xludf.DUMMYFUNCTION("GOOGLETRANSLATE(A6637,""en"",""hy"")"),"Ո՞րն է թթվածնի քիմիական նշանը:")</f>
        <v>Ո՞րն է թթվածնի քիմիական նշանը:</v>
      </c>
      <c r="D6637" s="6" t="str">
        <f>IFERROR(__xludf.DUMMYFUNCTION("GOOGLETRANSLATE(B6637,""en"",""hy"")"),"Օ")</f>
        <v>Օ</v>
      </c>
    </row>
    <row r="6638">
      <c r="A6638" s="5" t="s">
        <v>7575</v>
      </c>
      <c r="B6638" s="5" t="s">
        <v>9170</v>
      </c>
      <c r="C6638" s="5" t="str">
        <f>IFERROR(__xludf.DUMMYFUNCTION("GOOGLETRANSLATE(A6638,""en"",""hy"")"),"Քանի՞ գույն կա ծիածանի մեջ:")</f>
        <v>Քանի՞ գույն կա ծիածանի մեջ:</v>
      </c>
      <c r="D6638" s="6" t="str">
        <f>IFERROR(__xludf.DUMMYFUNCTION("GOOGLETRANSLATE(B6638,""en"",""hy"")"),"Ծիածանի մեջ սովորաբար յոթ գույն կա՝ կարմիր, նարնջագույն, դեղին, կանաչ, կապույտ, ինդիգո և մանուշակագույն:")</f>
        <v>Ծիածանի մեջ սովորաբար յոթ գույն կա՝ կարմիր, նարնջագույն, դեղին, կանաչ, կապույտ, ինդիգո և մանուշակագույն:</v>
      </c>
    </row>
    <row r="6639">
      <c r="A6639" s="5" t="s">
        <v>7528</v>
      </c>
      <c r="B6639" s="5" t="s">
        <v>7529</v>
      </c>
      <c r="C6639" s="5" t="str">
        <f>IFERROR(__xludf.DUMMYFUNCTION("GOOGLETRANSLATE(A6639,""en"",""hy"")"),"Ո՞վ է Գերմանիայի ներկայիս կանցլերը:")</f>
        <v>Ո՞վ է Գերմանիայի ներկայիս կանցլերը:</v>
      </c>
      <c r="D6639" s="6" t="str">
        <f>IFERROR(__xludf.DUMMYFUNCTION("GOOGLETRANSLATE(B6639,""en"",""hy"")"),"Անգելա Մերկել.")</f>
        <v>Անգելա Մերկել.</v>
      </c>
    </row>
    <row r="6640">
      <c r="A6640" s="5" t="s">
        <v>8177</v>
      </c>
      <c r="B6640" s="5" t="s">
        <v>8178</v>
      </c>
      <c r="C6640" s="5" t="str">
        <f>IFERROR(__xludf.DUMMYFUNCTION("GOOGLETRANSLATE(A6640,""en"",""hy"")"),"Ո՞րն է Հնդկաստանի ազգային ծաղիկը:")</f>
        <v>Ո՞րն է Հնդկաստանի ազգային ծաղիկը:</v>
      </c>
      <c r="D6640" s="6" t="str">
        <f>IFERROR(__xludf.DUMMYFUNCTION("GOOGLETRANSLATE(B6640,""en"",""hy"")"),"Հնդկաստանի ազգային ծաղիկը լոտոսն է:")</f>
        <v>Հնդկաստանի ազգային ծաղիկը լոտոսն է:</v>
      </c>
    </row>
    <row r="6641">
      <c r="A6641" s="5" t="s">
        <v>8624</v>
      </c>
      <c r="B6641" s="5" t="s">
        <v>3700</v>
      </c>
      <c r="C6641" s="5" t="str">
        <f>IFERROR(__xludf.DUMMYFUNCTION("GOOGLETRANSLATE(A6641,""en"",""hy"")"),"Ո՞ր երկիրն է հայտնի Մեծ պարիսպով:")</f>
        <v>Ո՞ր երկիրն է հայտնի Մեծ պարիսպով:</v>
      </c>
      <c r="D6641" s="6" t="str">
        <f>IFERROR(__xludf.DUMMYFUNCTION("GOOGLETRANSLATE(B6641,""en"",""hy"")"),"Չինաստան")</f>
        <v>Չինաստան</v>
      </c>
    </row>
    <row r="6642">
      <c r="A6642" s="5" t="s">
        <v>8400</v>
      </c>
      <c r="B6642" s="5" t="s">
        <v>8401</v>
      </c>
      <c r="C6642" s="5" t="str">
        <f>IFERROR(__xludf.DUMMYFUNCTION("GOOGLETRANSLATE(A6642,""en"",""hy"")"),"Ո՞րն է օվկիանոսի ամենամեծ գիշատիչը:")</f>
        <v>Ո՞րն է օվկիանոսի ամենամեծ գիշատիչը:</v>
      </c>
      <c r="D6642" s="6" t="str">
        <f>IFERROR(__xludf.DUMMYFUNCTION("GOOGLETRANSLATE(B6642,""en"",""hy"")"),"Օվկիանոսի ամենամեծ գիշատիչը սերմնահեղուկ կետն է:")</f>
        <v>Օվկիանոսի ամենամեծ գիշատիչը սերմնահեղուկ կետն է:</v>
      </c>
    </row>
    <row r="6643">
      <c r="A6643" s="5" t="s">
        <v>8324</v>
      </c>
      <c r="B6643" s="5" t="s">
        <v>7956</v>
      </c>
      <c r="C6643" s="5" t="str">
        <f>IFERROR(__xludf.DUMMYFUNCTION("GOOGLETRANSLATE(A6643,""en"",""hy"")"),"Ո՞ւմ է վերագրվում գրավիտացիայի հայտնաբերումը:")</f>
        <v>Ո՞ւմ է վերագրվում գրավիտացիայի հայտնաբերումը:</v>
      </c>
      <c r="D6643" s="6" t="str">
        <f>IFERROR(__xludf.DUMMYFUNCTION("GOOGLETRANSLATE(B6643,""en"",""hy"")"),"Իսահակ Նյուտոն.")</f>
        <v>Իսահակ Նյուտոն.</v>
      </c>
    </row>
    <row r="6644">
      <c r="A6644" s="5" t="s">
        <v>7530</v>
      </c>
      <c r="B6644" s="5" t="s">
        <v>7531</v>
      </c>
      <c r="C6644" s="5" t="str">
        <f>IFERROR(__xludf.DUMMYFUNCTION("GOOGLETRANSLATE(A6644,""en"",""hy"")"),"Ո՞րն է Հնդկաստանի ազգային թռչունը:")</f>
        <v>Ո՞րն է Հնդկաստանի ազգային թռչունը:</v>
      </c>
      <c r="D6644" s="6" t="str">
        <f>IFERROR(__xludf.DUMMYFUNCTION("GOOGLETRANSLATE(B6644,""en"",""hy"")"),"Հնդկաստանի ազգային թռչունը սիրամարգն է։")</f>
        <v>Հնդկաստանի ազգային թռչունը սիրամարգն է։</v>
      </c>
    </row>
    <row r="6645">
      <c r="A6645" s="5" t="s">
        <v>9171</v>
      </c>
      <c r="B6645" s="5" t="s">
        <v>3535</v>
      </c>
      <c r="C6645" s="5" t="str">
        <f>IFERROR(__xludf.DUMMYFUNCTION("GOOGLETRANSLATE(A6645,""en"",""hy"")"),"Ո՞ր երկիրն է հայտնի իր կենգուրուներով:")</f>
        <v>Ո՞ր երկիրն է հայտնի իր կենգուրուներով:</v>
      </c>
      <c r="D6645" s="6" t="str">
        <f>IFERROR(__xludf.DUMMYFUNCTION("GOOGLETRANSLATE(B6645,""en"",""hy"")"),"Ավստրալիա.")</f>
        <v>Ավստրալիա.</v>
      </c>
    </row>
    <row r="6646">
      <c r="A6646" s="5" t="s">
        <v>7557</v>
      </c>
      <c r="B6646" s="5" t="s">
        <v>7857</v>
      </c>
      <c r="C6646" s="5" t="str">
        <f>IFERROR(__xludf.DUMMYFUNCTION("GOOGLETRANSLATE(A6646,""en"",""hy"")"),"Ո՞րն է երկաթի քիմիական նշանը:")</f>
        <v>Ո՞րն է երկաթի քիմիական նշանը:</v>
      </c>
      <c r="D6646" s="6" t="str">
        <f>IFERROR(__xludf.DUMMYFUNCTION("GOOGLETRANSLATE(B6646,""en"",""hy"")"),"Երկաթի քիմիական նշանը Fe է:")</f>
        <v>Երկաթի քիմիական նշանը Fe է:</v>
      </c>
    </row>
    <row r="6647">
      <c r="A6647" s="5" t="s">
        <v>8033</v>
      </c>
      <c r="B6647" s="5" t="s">
        <v>9172</v>
      </c>
      <c r="C6647" s="5" t="str">
        <f>IFERROR(__xludf.DUMMYFUNCTION("GOOGLETRANSLATE(A6647,""en"",""hy"")"),"Քանի՞ խաղացող կա բեյսբոլի թիմում:")</f>
        <v>Քանի՞ խաղացող կա բեյսբոլի թիմում:</v>
      </c>
      <c r="D6647" s="6" t="str">
        <f>IFERROR(__xludf.DUMMYFUNCTION("GOOGLETRANSLATE(B6647,""en"",""hy"")"),"Բեյսբոլի թիմում 9 խաղացող կա։")</f>
        <v>Բեյսբոլի թիմում 9 խաղացող կա։</v>
      </c>
    </row>
    <row r="6648">
      <c r="A6648" s="5" t="s">
        <v>8743</v>
      </c>
      <c r="B6648" s="5" t="s">
        <v>7783</v>
      </c>
      <c r="C6648" s="5" t="str">
        <f>IFERROR(__xludf.DUMMYFUNCTION("GOOGLETRANSLATE(A6648,""en"",""hy"")"),"Ո՞րն է աշխարհի ամենամեծ տաք անապատը:")</f>
        <v>Ո՞րն է աշխարհի ամենամեծ տաք անապատը:</v>
      </c>
      <c r="D6648" s="6" t="str">
        <f>IFERROR(__xludf.DUMMYFUNCTION("GOOGLETRANSLATE(B6648,""en"",""hy"")"),"Սահարա անապատ.")</f>
        <v>Սահարա անապատ.</v>
      </c>
    </row>
    <row r="6649">
      <c r="A6649" s="5" t="s">
        <v>9173</v>
      </c>
      <c r="B6649" s="5" t="s">
        <v>9079</v>
      </c>
      <c r="C6649" s="5" t="str">
        <f>IFERROR(__xludf.DUMMYFUNCTION("GOOGLETRANSLATE(A6649,""en"",""hy"")"),"Ո՞վ է հայտնի որպես «բժշկության հայր»:")</f>
        <v>Ո՞վ է հայտնի որպես «բժշկության հայր»:</v>
      </c>
      <c r="D6649" s="6" t="str">
        <f>IFERROR(__xludf.DUMMYFUNCTION("GOOGLETRANSLATE(B6649,""en"",""hy"")"),"Հիպոկրատ.")</f>
        <v>Հիպոկրատ.</v>
      </c>
    </row>
    <row r="6650">
      <c r="A6650" s="5" t="s">
        <v>8198</v>
      </c>
      <c r="B6650" s="5" t="s">
        <v>8199</v>
      </c>
      <c r="C6650" s="5" t="str">
        <f>IFERROR(__xludf.DUMMYFUNCTION("GOOGLETRANSLATE(A6650,""en"",""hy"")"),"Ո՞րն է Չինաստանի ազգային կենդանին:")</f>
        <v>Ո՞րն է Չինաստանի ազգային կենդանին:</v>
      </c>
      <c r="D6650" s="6" t="str">
        <f>IFERROR(__xludf.DUMMYFUNCTION("GOOGLETRANSLATE(B6650,""en"",""hy"")"),"Չինաստանի ազգային կենդանին հսկա պանդան է։")</f>
        <v>Չինաստանի ազգային կենդանին հսկա պանդան է։</v>
      </c>
    </row>
    <row r="6651">
      <c r="A6651" s="5" t="s">
        <v>7624</v>
      </c>
      <c r="B6651" s="5" t="s">
        <v>7625</v>
      </c>
      <c r="C6651" s="5" t="str">
        <f>IFERROR(__xludf.DUMMYFUNCTION("GOOGLETRANSLATE(A6651,""en"",""hy"")"),"Ո՞ր երկիրն է հայտնի իր ֆյորդներով:")</f>
        <v>Ո՞ր երկիրն է հայտնի իր ֆյորդներով:</v>
      </c>
      <c r="D6651" s="6" t="str">
        <f>IFERROR(__xludf.DUMMYFUNCTION("GOOGLETRANSLATE(B6651,""en"",""hy"")"),"Նորվեգիա")</f>
        <v>Նորվեգիա</v>
      </c>
    </row>
    <row r="6652">
      <c r="A6652" s="5" t="s">
        <v>9174</v>
      </c>
      <c r="B6652" s="5" t="s">
        <v>9175</v>
      </c>
      <c r="C6652" s="5" t="str">
        <f>IFERROR(__xludf.DUMMYFUNCTION("GOOGLETRANSLATE(A6652,""en"",""hy"")"),"Ո՞րն է մեր արեգակնային համակարգի ամենամեծ լուսինը:")</f>
        <v>Ո՞րն է մեր արեգակնային համակարգի ամենամեծ լուսինը:</v>
      </c>
      <c r="D6652" s="6" t="str">
        <f>IFERROR(__xludf.DUMMYFUNCTION("GOOGLETRANSLATE(B6652,""en"",""hy"")"),"Գանիմեդ.")</f>
        <v>Գանիմեդ.</v>
      </c>
    </row>
    <row r="6653">
      <c r="A6653" s="5" t="s">
        <v>7443</v>
      </c>
      <c r="B6653" s="5" t="s">
        <v>7444</v>
      </c>
      <c r="C6653" s="5" t="str">
        <f>IFERROR(__xludf.DUMMYFUNCTION("GOOGLETRANSLATE(A6653,""en"",""hy"")"),"Ո՞վ է գրել «1984» վեպը։")</f>
        <v>Ո՞վ է գրել «1984» վեպը։</v>
      </c>
      <c r="D6653" s="6" t="str">
        <f>IFERROR(__xludf.DUMMYFUNCTION("GOOGLETRANSLATE(B6653,""en"",""hy"")"),"Ջորջ Օրուել.")</f>
        <v>Ջորջ Օրուել.</v>
      </c>
    </row>
    <row r="6654">
      <c r="A6654" s="5" t="s">
        <v>7589</v>
      </c>
      <c r="B6654" s="5" t="s">
        <v>7545</v>
      </c>
      <c r="C6654" s="5" t="str">
        <f>IFERROR(__xludf.DUMMYFUNCTION("GOOGLETRANSLATE(A6654,""en"",""hy"")"),"Ո՞րն է Իտալիայի մայրաքաղաքը:")</f>
        <v>Ո՞րն է Իտալիայի մայրաքաղաքը:</v>
      </c>
      <c r="D6654" s="6" t="str">
        <f>IFERROR(__xludf.DUMMYFUNCTION("GOOGLETRANSLATE(B6654,""en"",""hy"")"),"Հռոմ.")</f>
        <v>Հռոմ.</v>
      </c>
    </row>
    <row r="6655">
      <c r="A6655" s="5" t="s">
        <v>8264</v>
      </c>
      <c r="B6655" s="5" t="s">
        <v>7621</v>
      </c>
      <c r="C6655" s="5" t="str">
        <f>IFERROR(__xludf.DUMMYFUNCTION("GOOGLETRANSLATE(A6655,""en"",""hy"")"),"Ո՞վ է նկարել հայտնի «Վեներայի ծնունդը» ստեղծագործությունը:")</f>
        <v>Ո՞վ է նկարել հայտնի «Վեներայի ծնունդը» ստեղծագործությունը:</v>
      </c>
      <c r="D6655" s="6" t="str">
        <f>IFERROR(__xludf.DUMMYFUNCTION("GOOGLETRANSLATE(B6655,""en"",""hy"")"),"Սանդրո Բոտիչելի.")</f>
        <v>Սանդրո Բոտիչելի.</v>
      </c>
    </row>
    <row r="6656">
      <c r="A6656" s="5" t="s">
        <v>7662</v>
      </c>
      <c r="B6656" s="5" t="s">
        <v>7663</v>
      </c>
      <c r="C6656" s="5" t="str">
        <f>IFERROR(__xludf.DUMMYFUNCTION("GOOGLETRANSLATE(A6656,""en"",""hy"")"),"Ո՞րն է Հնդկաստանի արժույթը:")</f>
        <v>Ո՞րն է Հնդկաստանի արժույթը:</v>
      </c>
      <c r="D6656" s="6" t="str">
        <f>IFERROR(__xludf.DUMMYFUNCTION("GOOGLETRANSLATE(B6656,""en"",""hy"")"),"Հնդկաստանի արժույթը հնդկական ռուփին է։")</f>
        <v>Հնդկաստանի արժույթը հնդկական ռուփին է։</v>
      </c>
    </row>
    <row r="6657">
      <c r="A6657" s="5" t="s">
        <v>7509</v>
      </c>
      <c r="B6657" s="5" t="s">
        <v>7510</v>
      </c>
      <c r="C6657" s="5" t="str">
        <f>IFERROR(__xludf.DUMMYFUNCTION("GOOGLETRANSLATE(A6657,""en"",""hy"")"),"Ո՞րն է արծաթի քիմիական նշանը:")</f>
        <v>Ո՞րն է արծաթի քիմիական նշանը:</v>
      </c>
      <c r="D6657" s="6" t="str">
        <f>IFERROR(__xludf.DUMMYFUNCTION("GOOGLETRANSLATE(B6657,""en"",""hy"")"),"Ագ")</f>
        <v>Ագ</v>
      </c>
    </row>
    <row r="6658">
      <c r="A6658" s="5" t="s">
        <v>7915</v>
      </c>
      <c r="B6658" s="5" t="s">
        <v>7916</v>
      </c>
      <c r="C6658" s="5" t="str">
        <f>IFERROR(__xludf.DUMMYFUNCTION("GOOGLETRANSLATE(A6658,""en"",""hy"")"),"Քանի՞ ոսկոր կա մարդու մարմնում:")</f>
        <v>Քանի՞ ոսկոր կա մարդու մարմնում:</v>
      </c>
      <c r="D6658" s="6" t="str">
        <f>IFERROR(__xludf.DUMMYFUNCTION("GOOGLETRANSLATE(B6658,""en"",""hy"")"),"Մարդու մարմնում կա 206 ոսկոր։")</f>
        <v>Մարդու մարմնում կա 206 ոսկոր։</v>
      </c>
    </row>
    <row r="6659">
      <c r="A6659" s="5" t="s">
        <v>8843</v>
      </c>
      <c r="B6659" s="5" t="s">
        <v>9176</v>
      </c>
      <c r="C6659" s="5" t="str">
        <f>IFERROR(__xludf.DUMMYFUNCTION("GOOGLETRANSLATE(A6659,""en"",""hy"")"),"Ո՞վ է Հնդկաստանի ներկայիս վարչապետը:")</f>
        <v>Ո՞վ է Հնդկաստանի ներկայիս վարչապետը:</v>
      </c>
      <c r="D6659" s="6" t="str">
        <f>IFERROR(__xludf.DUMMYFUNCTION("GOOGLETRANSLATE(B6659,""en"",""hy"")"),"Նարենդրա Մոդի.")</f>
        <v>Նարենդրա Մոդի.</v>
      </c>
    </row>
    <row r="6660">
      <c r="A6660" s="5" t="s">
        <v>8161</v>
      </c>
      <c r="B6660" s="5" t="s">
        <v>8162</v>
      </c>
      <c r="C6660" s="5" t="str">
        <f>IFERROR(__xludf.DUMMYFUNCTION("GOOGLETRANSLATE(A6660,""en"",""hy"")"),"Ո՞րն է Ճապոնիայի ազգային ծաղիկը:")</f>
        <v>Ո՞րն է Ճապոնիայի ազգային ծաղիկը:</v>
      </c>
      <c r="D6660" s="6" t="str">
        <f>IFERROR(__xludf.DUMMYFUNCTION("GOOGLETRANSLATE(B6660,""en"",""hy"")"),"Ճապոնիայի ազգային ծաղիկը բալի ծաղիկն է:")</f>
        <v>Ճապոնիայի ազգային ծաղիկը բալի ծաղիկն է:</v>
      </c>
    </row>
    <row r="6661">
      <c r="A6661" s="5" t="s">
        <v>9177</v>
      </c>
      <c r="B6661" s="5" t="s">
        <v>9026</v>
      </c>
      <c r="C6661" s="5" t="str">
        <f>IFERROR(__xludf.DUMMYFUNCTION("GOOGLETRANSLATE(A6661,""en"",""hy"")"),"Ո՞ր երկիրն է հայտնի իր շոկոլադով.")</f>
        <v>Ո՞ր երկիրն է հայտնի իր շոկոլադով.</v>
      </c>
      <c r="D6661" s="6" t="str">
        <f>IFERROR(__xludf.DUMMYFUNCTION("GOOGLETRANSLATE(B6661,""en"",""hy"")"),"Շվեյցարիա.")</f>
        <v>Շվեյցարիա.</v>
      </c>
    </row>
    <row r="6662">
      <c r="A6662" s="5" t="s">
        <v>9178</v>
      </c>
      <c r="B6662" s="5" t="s">
        <v>9179</v>
      </c>
      <c r="C6662" s="5" t="str">
        <f>IFERROR(__xludf.DUMMYFUNCTION("GOOGLETRANSLATE(A6662,""en"",""hy"")"),"Ո՞րն է Հյուսիսային Ամերիկայի ամենամեծ անապատը:")</f>
        <v>Ո՞րն է Հյուսիսային Ամերիկայի ամենամեծ անապատը:</v>
      </c>
      <c r="D6662" s="6" t="str">
        <f>IFERROR(__xludf.DUMMYFUNCTION("GOOGLETRANSLATE(B6662,""en"",""hy"")"),"Հյուսիսային Ամերիկայի ամենամեծ անապատը Չիուահուան անապատն է:")</f>
        <v>Հյուսիսային Ամերիկայի ամենամեծ անապատը Չիուահուան անապատն է:</v>
      </c>
    </row>
    <row r="6663">
      <c r="A6663" s="5" t="s">
        <v>8765</v>
      </c>
      <c r="B6663" s="5" t="s">
        <v>7556</v>
      </c>
      <c r="C6663" s="5" t="str">
        <f>IFERROR(__xludf.DUMMYFUNCTION("GOOGLETRANSLATE(A6663,""en"",""hy"")"),"Ո՞վ է հայտնի հարաբերականության ընդհանուր տեսությամբ:")</f>
        <v>Ո՞վ է հայտնի հարաբերականության ընդհանուր տեսությամբ:</v>
      </c>
      <c r="D6663" s="6" t="str">
        <f>IFERROR(__xludf.DUMMYFUNCTION("GOOGLETRANSLATE(B6663,""en"",""hy"")"),"Albert Einstein.")</f>
        <v>Albert Einstein.</v>
      </c>
    </row>
    <row r="6664">
      <c r="A6664" s="5" t="s">
        <v>7568</v>
      </c>
      <c r="B6664" s="5" t="s">
        <v>7569</v>
      </c>
      <c r="C6664" s="5" t="str">
        <f>IFERROR(__xludf.DUMMYFUNCTION("GOOGLETRANSLATE(A6664,""en"",""hy"")"),"Ո՞րն է Ավստրալիայի ազգային թռչունը:")</f>
        <v>Ո՞րն է Ավստրալիայի ազգային թռչունը:</v>
      </c>
      <c r="D6664" s="6" t="str">
        <f>IFERROR(__xludf.DUMMYFUNCTION("GOOGLETRANSLATE(B6664,""en"",""hy"")"),"Ավստրալիայի ազգային թռչունը էմուն է:")</f>
        <v>Ավստրալիայի ազգային թռչունը էմուն է:</v>
      </c>
    </row>
    <row r="6665">
      <c r="A6665" s="5" t="s">
        <v>9180</v>
      </c>
      <c r="B6665" s="5" t="s">
        <v>3700</v>
      </c>
      <c r="C6665" s="5" t="str">
        <f>IFERROR(__xludf.DUMMYFUNCTION("GOOGLETRANSLATE(A6665,""en"",""hy"")"),"Ո՞ր երկիրն է հայտնի իր պանդաներով:")</f>
        <v>Ո՞ր երկիրն է հայտնի իր պանդաներով:</v>
      </c>
      <c r="D6665" s="6" t="str">
        <f>IFERROR(__xludf.DUMMYFUNCTION("GOOGLETRANSLATE(B6665,""en"",""hy"")"),"Չինաստան")</f>
        <v>Չինաստան</v>
      </c>
    </row>
    <row r="6666">
      <c r="A6666" s="5" t="s">
        <v>7809</v>
      </c>
      <c r="B6666" s="5" t="s">
        <v>8061</v>
      </c>
      <c r="C6666" s="5" t="str">
        <f>IFERROR(__xludf.DUMMYFUNCTION("GOOGLETRANSLATE(A6666,""en"",""hy"")"),"Ո՞րն է հելիումի քիմիական նշանը:")</f>
        <v>Ո՞րն է հելիումի քիմիական նշանը:</v>
      </c>
      <c r="D6666" s="6" t="str">
        <f>IFERROR(__xludf.DUMMYFUNCTION("GOOGLETRANSLATE(B6666,""en"",""hy"")"),"Հելիումի քիմիական նշանը Նա է:")</f>
        <v>Հելիումի քիմիական նշանը Նա է:</v>
      </c>
    </row>
    <row r="6667">
      <c r="A6667" s="5" t="s">
        <v>8062</v>
      </c>
      <c r="B6667" s="5" t="s">
        <v>8063</v>
      </c>
      <c r="C6667" s="5" t="str">
        <f>IFERROR(__xludf.DUMMYFUNCTION("GOOGLETRANSLATE(A6667,""en"",""hy"")"),"Քանի՞ խաղացող կա ֆուտբոլային թիմում:")</f>
        <v>Քանի՞ խաղացող կա ֆուտբոլային թիմում:</v>
      </c>
      <c r="D6667" s="6" t="str">
        <f>IFERROR(__xludf.DUMMYFUNCTION("GOOGLETRANSLATE(B6667,""en"",""hy"")"),"Ֆուտբոլային թիմում կա 11 խաղացող։")</f>
        <v>Ֆուտբոլային թիմում կա 11 խաղացող։</v>
      </c>
    </row>
    <row r="6668">
      <c r="A6668" s="5" t="s">
        <v>9181</v>
      </c>
      <c r="B6668" s="5" t="s">
        <v>9182</v>
      </c>
      <c r="C6668" s="5" t="str">
        <f>IFERROR(__xludf.DUMMYFUNCTION("GOOGLETRANSLATE(A6668,""en"",""hy"")"),"Ո՞րն է Հյուսիսային Ամերիկայի ամենաբարձր ջրվեժը:")</f>
        <v>Ո՞րն է Հյուսիսային Ամերիկայի ամենաբարձր ջրվեժը:</v>
      </c>
      <c r="D6668" s="6" t="str">
        <f>IFERROR(__xludf.DUMMYFUNCTION("GOOGLETRANSLATE(B6668,""en"",""hy"")"),"Հյուսիսային Ամերիկայի ամենաբարձր ջրվեժը Angel Falls-ն է:")</f>
        <v>Հյուսիսային Ամերիկայի ամենաբարձր ջրվեժը Angel Falls-ն է:</v>
      </c>
    </row>
    <row r="6669">
      <c r="A6669" s="5" t="s">
        <v>8653</v>
      </c>
      <c r="B6669" s="5" t="s">
        <v>7688</v>
      </c>
      <c r="C6669" s="5" t="str">
        <f>IFERROR(__xludf.DUMMYFUNCTION("GOOGLETRANSLATE(A6669,""en"",""hy"")"),"Ո՞վ է Մատանիների տիրակալը գրքերի շարքի հեղինակը:")</f>
        <v>Ո՞վ է Մատանիների տիրակալը գրքերի շարքի հեղինակը:</v>
      </c>
      <c r="D6669" s="6" t="str">
        <f>IFERROR(__xludf.DUMMYFUNCTION("GOOGLETRANSLATE(B6669,""en"",""hy"")"),"Ջ.Ռ.Ռ. Թոլքինը")</f>
        <v>Ջ.Ռ.Ռ. Թոլքինը</v>
      </c>
    </row>
    <row r="6670">
      <c r="A6670" s="5" t="s">
        <v>7626</v>
      </c>
      <c r="B6670" s="5" t="s">
        <v>8066</v>
      </c>
      <c r="C6670" s="5" t="str">
        <f>IFERROR(__xludf.DUMMYFUNCTION("GOOGLETRANSLATE(A6670,""en"",""hy"")"),"Ո՞րն է Գերմանիայի մայրաքաղաքը:")</f>
        <v>Ո՞րն է Գերմանիայի մայրաքաղաքը:</v>
      </c>
      <c r="D6670" s="6" t="str">
        <f>IFERROR(__xludf.DUMMYFUNCTION("GOOGLETRANSLATE(B6670,""en"",""hy"")"),"Բեռլին.")</f>
        <v>Բեռլին.</v>
      </c>
    </row>
    <row r="6671">
      <c r="A6671" s="5" t="s">
        <v>9183</v>
      </c>
      <c r="B6671" s="5" t="s">
        <v>8814</v>
      </c>
      <c r="C6671" s="5" t="str">
        <f>IFERROR(__xludf.DUMMYFUNCTION("GOOGLETRANSLATE(A6671,""en"",""hy"")"),"Ո՞ր երկիրն է հայտնի որպես Երկար սպիտակ ամպի երկիր:")</f>
        <v>Ո՞ր երկիրն է հայտնի որպես Երկար սպիտակ ամպի երկիր:</v>
      </c>
      <c r="D6671" s="6" t="str">
        <f>IFERROR(__xludf.DUMMYFUNCTION("GOOGLETRANSLATE(B6671,""en"",""hy"")"),"Նոր Զելանդիա.")</f>
        <v>Նոր Զելանդիա.</v>
      </c>
    </row>
    <row r="6672">
      <c r="A6672" s="5" t="s">
        <v>9184</v>
      </c>
      <c r="B6672" s="5" t="s">
        <v>9185</v>
      </c>
      <c r="C6672" s="5" t="str">
        <f>IFERROR(__xludf.DUMMYFUNCTION("GOOGLETRANSLATE(A6672,""en"",""hy"")"),"Ո՞րն է Հյուսիսային Ամերիկայի ամենամեծ լիճը:")</f>
        <v>Ո՞րն է Հյուսիսային Ամերիկայի ամենամեծ լիճը:</v>
      </c>
      <c r="D6672" s="6" t="str">
        <f>IFERROR(__xludf.DUMMYFUNCTION("GOOGLETRANSLATE(B6672,""en"",""hy"")"),"Հյուսիսային Ամերիկայի ամենամեծ լիճը Սուպերիոր լիճն է։")</f>
        <v>Հյուսիսային Ամերիկայի ամենամեծ լիճը Սուպերիոր լիճն է։</v>
      </c>
    </row>
    <row r="6673">
      <c r="A6673" s="5" t="s">
        <v>8275</v>
      </c>
      <c r="B6673" s="5" t="s">
        <v>7549</v>
      </c>
      <c r="C6673" s="5" t="str">
        <f>IFERROR(__xludf.DUMMYFUNCTION("GOOGLETRANSLATE(A6673,""en"",""hy"")"),"Ո՞վ է նկարել հայտնի «Մարգարտյա ականջօղով աղջիկը» ստեղծագործությունը:")</f>
        <v>Ո՞վ է նկարել հայտնի «Մարգարտյա ականջօղով աղջիկը» ստեղծագործությունը:</v>
      </c>
      <c r="D6673" s="6" t="str">
        <f>IFERROR(__xludf.DUMMYFUNCTION("GOOGLETRANSLATE(B6673,""en"",""hy"")"),"Յոհաննես Վերմեեր.")</f>
        <v>Յոհաննես Վերմեեր.</v>
      </c>
    </row>
    <row r="6674">
      <c r="A6674" s="5" t="s">
        <v>7561</v>
      </c>
      <c r="B6674" s="5" t="s">
        <v>7669</v>
      </c>
      <c r="C6674" s="5" t="str">
        <f>IFERROR(__xludf.DUMMYFUNCTION("GOOGLETRANSLATE(A6674,""en"",""hy"")"),"Ո՞րն է Մեքսիկայի արժույթը:")</f>
        <v>Ո՞րն է Մեքսիկայի արժույթը:</v>
      </c>
      <c r="D6674" s="6" t="str">
        <f>IFERROR(__xludf.DUMMYFUNCTION("GOOGLETRANSLATE(B6674,""en"",""hy"")"),"Մեքսիկայի արժույթը մեքսիկական պեսոն է։")</f>
        <v>Մեքսիկայի արժույթը մեքսիկական պեսոն է։</v>
      </c>
    </row>
    <row r="6675">
      <c r="A6675" s="5" t="s">
        <v>7875</v>
      </c>
      <c r="B6675" s="5" t="s">
        <v>7876</v>
      </c>
      <c r="C6675" s="5" t="str">
        <f>IFERROR(__xludf.DUMMYFUNCTION("GOOGLETRANSLATE(A6675,""en"",""hy"")"),"Ո՞րն է ազոտի քիմիական նշանը:")</f>
        <v>Ո՞րն է ազոտի քիմիական նշանը:</v>
      </c>
      <c r="D6675" s="6" t="str">
        <f>IFERROR(__xludf.DUMMYFUNCTION("GOOGLETRANSLATE(B6675,""en"",""hy"")"),"Ազոտի քիմիական նշանն է N.")</f>
        <v>Ազոտի քիմիական նշանն է N.</v>
      </c>
    </row>
    <row r="6676">
      <c r="A6676" s="5" t="s">
        <v>8181</v>
      </c>
      <c r="B6676" s="5" t="s">
        <v>8100</v>
      </c>
      <c r="C6676" s="5" t="str">
        <f>IFERROR(__xludf.DUMMYFUNCTION("GOOGLETRANSLATE(A6676,""en"",""hy"")"),"Քանի՞ մոլորակ կա մեր արեգակնային համակարգում:")</f>
        <v>Քանի՞ մոլորակ կա մեր արեգակնային համակարգում:</v>
      </c>
      <c r="D6676" s="6" t="str">
        <f>IFERROR(__xludf.DUMMYFUNCTION("GOOGLETRANSLATE(B6676,""en"",""hy"")"),"Մեր Արեգակնային համակարգում կա ութ մոլորակ:")</f>
        <v>Մեր Արեգակնային համակարգում կա ութ մոլորակ:</v>
      </c>
    </row>
    <row r="6677">
      <c r="A6677" s="5" t="s">
        <v>9186</v>
      </c>
      <c r="B6677" s="5" t="s">
        <v>9187</v>
      </c>
      <c r="C6677" s="5" t="str">
        <f>IFERROR(__xludf.DUMMYFUNCTION("GOOGLETRANSLATE(A6677,""en"",""hy"")"),"Ո՞վ է հայտնի որպես «Ժամանակակից գիտության հայր»:")</f>
        <v>Ո՞վ է հայտնի որպես «Ժամանակակից գիտության հայր»:</v>
      </c>
      <c r="D6677" s="6" t="str">
        <f>IFERROR(__xludf.DUMMYFUNCTION("GOOGLETRANSLATE(B6677,""en"",""hy"")"),"Գալիլեո Գալիլեյ.")</f>
        <v>Գալիլեո Գալիլեյ.</v>
      </c>
    </row>
    <row r="6678">
      <c r="A6678" s="5" t="s">
        <v>8213</v>
      </c>
      <c r="B6678" s="5" t="s">
        <v>8214</v>
      </c>
      <c r="C6678" s="5" t="str">
        <f>IFERROR(__xludf.DUMMYFUNCTION("GOOGLETRANSLATE(A6678,""en"",""hy"")"),"Ո՞րն է Ռուսաստանի ազգային կենդանին:")</f>
        <v>Ո՞րն է Ռուսաստանի ազգային կենդանին:</v>
      </c>
      <c r="D6678" s="6" t="str">
        <f>IFERROR(__xludf.DUMMYFUNCTION("GOOGLETRANSLATE(B6678,""en"",""hy"")"),"Ռուսաստանի ազգային կենդանին գորշ արջն է։")</f>
        <v>Ռուսաստանի ազգային կենդանին գորշ արջն է։</v>
      </c>
    </row>
    <row r="6679">
      <c r="A6679" s="5" t="s">
        <v>9188</v>
      </c>
      <c r="B6679" s="5" t="s">
        <v>7512</v>
      </c>
      <c r="C6679" s="5" t="str">
        <f>IFERROR(__xludf.DUMMYFUNCTION("GOOGLETRANSLATE(A6679,""en"",""hy"")"),"Ո՞ր երկիրն է հայտնի իր բուրգերով և փարավոններով:")</f>
        <v>Ո՞ր երկիրն է հայտնի իր բուրգերով և փարավոններով:</v>
      </c>
      <c r="D6679" s="6" t="str">
        <f>IFERROR(__xludf.DUMMYFUNCTION("GOOGLETRANSLATE(B6679,""en"",""hy"")"),"Եգիպտոս.")</f>
        <v>Եգիպտոս.</v>
      </c>
    </row>
    <row r="6680">
      <c r="A6680" s="5" t="s">
        <v>7893</v>
      </c>
      <c r="B6680" s="5" t="s">
        <v>7894</v>
      </c>
      <c r="C6680" s="5" t="str">
        <f>IFERROR(__xludf.DUMMYFUNCTION("GOOGLETRANSLATE(A6680,""en"",""hy"")"),"Ո՞րն է կալիումի քիմիական նշանը:")</f>
        <v>Ո՞րն է կալիումի քիմիական նշանը:</v>
      </c>
      <c r="D6680" s="6" t="str">
        <f>IFERROR(__xludf.DUMMYFUNCTION("GOOGLETRANSLATE(B6680,""en"",""hy"")"),"Կալիումի քիմիական նշանը Կ.")</f>
        <v>Կալիումի քիմիական նշանը Կ.</v>
      </c>
    </row>
    <row r="6681">
      <c r="A6681" s="5" t="s">
        <v>7504</v>
      </c>
      <c r="B6681" s="5" t="s">
        <v>7505</v>
      </c>
      <c r="C6681" s="5" t="str">
        <f>IFERROR(__xludf.DUMMYFUNCTION("GOOGLETRANSLATE(A6681,""en"",""hy"")"),"Ո՞վ է Միացյալ Նահանգների ներկայիս նախագահը:")</f>
        <v>Ո՞վ է Միացյալ Նահանգների ներկայիս նախագահը:</v>
      </c>
      <c r="D6681" s="6" t="str">
        <f>IFERROR(__xludf.DUMMYFUNCTION("GOOGLETRANSLATE(B6681,""en"",""hy"")"),"Ջո Բայդեն.")</f>
        <v>Ջո Բայդեն.</v>
      </c>
    </row>
    <row r="6682">
      <c r="A6682" s="5" t="s">
        <v>8011</v>
      </c>
      <c r="B6682" s="7">
        <v>1945.0</v>
      </c>
      <c r="C6682" s="5" t="str">
        <f>IFERROR(__xludf.DUMMYFUNCTION("GOOGLETRANSLATE(A6682,""en"",""hy"")"),"Ո՞ր թվականին ավարտվեց Երկրորդ համաշխարհային պատերազմը:")</f>
        <v>Ո՞ր թվականին ավարտվեց Երկրորդ համաշխարհային պատերազմը:</v>
      </c>
      <c r="D6682" s="6" t="str">
        <f>IFERROR(__xludf.DUMMYFUNCTION("GOOGLETRANSLATE(B6682,""en"",""hy"")"),"1945 թ")</f>
        <v>1945 թ</v>
      </c>
    </row>
    <row r="6683">
      <c r="A6683" s="5" t="s">
        <v>7842</v>
      </c>
      <c r="B6683" s="5" t="s">
        <v>7671</v>
      </c>
      <c r="C6683" s="5" t="str">
        <f>IFERROR(__xludf.DUMMYFUNCTION("GOOGLETRANSLATE(A6683,""en"",""hy"")"),"Ո՞րն է աշխարհի ամենաերկար գետը:")</f>
        <v>Ո՞րն է աշխարհի ամենաերկար գետը:</v>
      </c>
      <c r="D6683" s="6" t="str">
        <f>IFERROR(__xludf.DUMMYFUNCTION("GOOGLETRANSLATE(B6683,""en"",""hy"")"),"Նեղոս գետ.")</f>
        <v>Նեղոս գետ.</v>
      </c>
    </row>
    <row r="6684">
      <c r="A6684" s="5" t="s">
        <v>7849</v>
      </c>
      <c r="B6684" s="5" t="s">
        <v>7541</v>
      </c>
      <c r="C6684" s="5" t="str">
        <f>IFERROR(__xludf.DUMMYFUNCTION("GOOGLETRANSLATE(A6684,""en"",""hy"")"),"Ո՞վ է գրել «Սպանել ծաղրող թռչունին» վեպը:")</f>
        <v>Ո՞վ է գրել «Սպանել ծաղրող թռչունին» վեպը:</v>
      </c>
      <c r="D6684" s="6" t="str">
        <f>IFERROR(__xludf.DUMMYFUNCTION("GOOGLETRANSLATE(B6684,""en"",""hy"")"),"Հարփեր Լի.")</f>
        <v>Հարփեր Լի.</v>
      </c>
    </row>
    <row r="6685">
      <c r="A6685" s="5" t="s">
        <v>7450</v>
      </c>
      <c r="B6685" s="5" t="s">
        <v>7451</v>
      </c>
      <c r="C6685" s="5" t="str">
        <f>IFERROR(__xludf.DUMMYFUNCTION("GOOGLETRANSLATE(A6685,""en"",""hy"")"),"Ո՞րն է Ավստրալիայի մայրաքաղաքը:")</f>
        <v>Ո՞րն է Ավստրալիայի մայրաքաղաքը:</v>
      </c>
      <c r="D6685" s="6" t="str">
        <f>IFERROR(__xludf.DUMMYFUNCTION("GOOGLETRANSLATE(B6685,""en"",""hy"")"),"Կանբերա.")</f>
        <v>Կանբերա.</v>
      </c>
    </row>
    <row r="6686">
      <c r="A6686" s="5" t="s">
        <v>8786</v>
      </c>
      <c r="B6686" s="5" t="s">
        <v>7631</v>
      </c>
      <c r="C6686" s="5" t="str">
        <f>IFERROR(__xludf.DUMMYFUNCTION("GOOGLETRANSLATE(A6686,""en"",""hy"")"),"Ո՞րն է ոսկու քիմիական նշանը պարբերական աղյուսակում:")</f>
        <v>Ո՞րն է ոսկու քիմիական նշանը պարբերական աղյուսակում:</v>
      </c>
      <c r="D6686" s="6" t="str">
        <f>IFERROR(__xludf.DUMMYFUNCTION("GOOGLETRANSLATE(B6686,""en"",""hy"")"),"Ավ")</f>
        <v>Ավ</v>
      </c>
    </row>
    <row r="6687">
      <c r="A6687" s="5" t="s">
        <v>7463</v>
      </c>
      <c r="B6687" s="5" t="s">
        <v>7464</v>
      </c>
      <c r="C6687" s="5" t="str">
        <f>IFERROR(__xludf.DUMMYFUNCTION("GOOGLETRANSLATE(A6687,""en"",""hy"")"),"Ո՞րն է աշխարհի ամենաբարձր լեռը:")</f>
        <v>Ո՞րն է աշխարհի ամենաբարձր լեռը:</v>
      </c>
      <c r="D6687" s="6" t="str">
        <f>IFERROR(__xludf.DUMMYFUNCTION("GOOGLETRANSLATE(B6687,""en"",""hy"")"),"Էվերեստ լեռ.")</f>
        <v>Էվերեստ լեռ.</v>
      </c>
    </row>
    <row r="6688">
      <c r="A6688" s="5" t="s">
        <v>7447</v>
      </c>
      <c r="B6688" s="5" t="s">
        <v>7448</v>
      </c>
      <c r="C6688" s="5" t="str">
        <f>IFERROR(__xludf.DUMMYFUNCTION("GOOGLETRANSLATE(A6688,""en"",""hy"")"),"Ո՞վ է նկարել Մոնա Լիզան:")</f>
        <v>Ո՞վ է նկարել Մոնա Լիզան:</v>
      </c>
      <c r="D6688" s="6" t="str">
        <f>IFERROR(__xludf.DUMMYFUNCTION("GOOGLETRANSLATE(B6688,""en"",""hy"")"),"Լեոնարդո դա Վինչի.")</f>
        <v>Լեոնարդո դա Վինչի.</v>
      </c>
    </row>
    <row r="6689">
      <c r="A6689" s="5" t="s">
        <v>7632</v>
      </c>
      <c r="B6689" s="5" t="s">
        <v>7633</v>
      </c>
      <c r="C6689" s="5" t="str">
        <f>IFERROR(__xludf.DUMMYFUNCTION("GOOGLETRANSLATE(A6689,""en"",""hy"")"),"Ո՞րն է մեր արեգակնային համակարգի ամենամեծ մոլորակը:")</f>
        <v>Ո՞րն է մեր արեգակնային համակարգի ամենամեծ մոլորակը:</v>
      </c>
      <c r="D6689" s="6" t="str">
        <f>IFERROR(__xludf.DUMMYFUNCTION("GOOGLETRANSLATE(B6689,""en"",""hy"")"),"Յուպիտեր.")</f>
        <v>Յուպիտեր.</v>
      </c>
    </row>
    <row r="6690">
      <c r="A6690" s="5" t="s">
        <v>7477</v>
      </c>
      <c r="B6690" s="5" t="s">
        <v>7784</v>
      </c>
      <c r="C6690" s="5" t="str">
        <f>IFERROR(__xludf.DUMMYFUNCTION("GOOGLETRANSLATE(A6690,""en"",""hy"")"),"Ո՞ր երկիրն է հայտնի որպես «Ծագող արևի երկիր»:")</f>
        <v>Ո՞ր երկիրն է հայտնի որպես «Ծագող արևի երկիր»:</v>
      </c>
      <c r="D6690" s="6" t="str">
        <f>IFERROR(__xludf.DUMMYFUNCTION("GOOGLETRANSLATE(B6690,""en"",""hy"")"),"Ճապոնիա")</f>
        <v>Ճապոնիա</v>
      </c>
    </row>
    <row r="6691">
      <c r="A6691" s="5" t="s">
        <v>7817</v>
      </c>
      <c r="B6691" s="5" t="s">
        <v>9189</v>
      </c>
      <c r="C6691" s="5" t="str">
        <f>IFERROR(__xludf.DUMMYFUNCTION("GOOGLETRANSLATE(A6691,""en"",""hy"")"),"Ո՞րն է Կանադայի ազգային կենդանին:")</f>
        <v>Ո՞րն է Կանադայի ազգային կենդանին:</v>
      </c>
      <c r="D6691" s="6" t="str">
        <f>IFERROR(__xludf.DUMMYFUNCTION("GOOGLETRANSLATE(B6691,""en"",""hy"")"),"Beaver.")</f>
        <v>Beaver.</v>
      </c>
    </row>
    <row r="6692">
      <c r="A6692" s="5" t="s">
        <v>7919</v>
      </c>
      <c r="B6692" s="5" t="s">
        <v>7556</v>
      </c>
      <c r="C6692" s="5" t="str">
        <f>IFERROR(__xludf.DUMMYFUNCTION("GOOGLETRANSLATE(A6692,""en"",""hy"")"),"Ո՞վ է հայտնաբերել հարաբերականության տեսությունը:")</f>
        <v>Ո՞վ է հայտնաբերել հարաբերականության տեսությունը:</v>
      </c>
      <c r="D6692" s="6" t="str">
        <f>IFERROR(__xludf.DUMMYFUNCTION("GOOGLETRANSLATE(B6692,""en"",""hy"")"),"Albert Einstein.")</f>
        <v>Albert Einstein.</v>
      </c>
    </row>
    <row r="6693">
      <c r="A6693" s="5" t="s">
        <v>8020</v>
      </c>
      <c r="B6693" s="5" t="s">
        <v>7961</v>
      </c>
      <c r="C6693" s="5" t="str">
        <f>IFERROR(__xludf.DUMMYFUNCTION("GOOGLETRANSLATE(A6693,""en"",""hy"")"),"Ո՞ր թվականին է խորտակվել Տիտանիկը:")</f>
        <v>Ո՞ր թվականին է խորտակվել Տիտանիկը:</v>
      </c>
      <c r="D6693" s="6" t="str">
        <f>IFERROR(__xludf.DUMMYFUNCTION("GOOGLETRANSLATE(B6693,""en"",""hy"")"),"Տիտանիկը խորտակվել է 1912 թվականին։")</f>
        <v>Տիտանիկը խորտակվել է 1912 թվականին։</v>
      </c>
    </row>
    <row r="6694">
      <c r="A6694" s="5" t="s">
        <v>7645</v>
      </c>
      <c r="B6694" s="5" t="s">
        <v>8336</v>
      </c>
      <c r="C6694" s="5" t="str">
        <f>IFERROR(__xludf.DUMMYFUNCTION("GOOGLETRANSLATE(A6694,""en"",""hy"")"),"Ո՞րն է Երկրի ամենամեծ օվկիանոսը:")</f>
        <v>Ո՞րն է Երկրի ամենամեծ օվկիանոսը:</v>
      </c>
      <c r="D6694" s="6" t="str">
        <f>IFERROR(__xludf.DUMMYFUNCTION("GOOGLETRANSLATE(B6694,""en"",""hy"")"),"Երկրի ամենամեծ օվկիանոսը Խաղաղ օվկիանոսն է։")</f>
        <v>Երկրի ամենամեծ օվկիանոսը Խաղաղ օվկիանոսն է։</v>
      </c>
    </row>
    <row r="6695">
      <c r="A6695" s="5" t="s">
        <v>7640</v>
      </c>
      <c r="B6695" s="5" t="s">
        <v>1016</v>
      </c>
      <c r="C6695" s="5" t="str">
        <f>IFERROR(__xludf.DUMMYFUNCTION("GOOGLETRANSLATE(A6695,""en"",""hy"")"),"Ո՞վ է գրել «Ռոմեո և Ջուլիետ» պիեսը:")</f>
        <v>Ո՞վ է գրել «Ռոմեո և Ջուլիետ» պիեսը:</v>
      </c>
      <c r="D6695" s="6" t="str">
        <f>IFERROR(__xludf.DUMMYFUNCTION("GOOGLETRANSLATE(B6695,""en"",""hy"")"),"Ուիլյամ Շեքսպիր.")</f>
        <v>Ուիլյամ Շեքսպիր.</v>
      </c>
    </row>
    <row r="6696">
      <c r="A6696" s="5" t="s">
        <v>7845</v>
      </c>
      <c r="B6696" s="5" t="s">
        <v>3533</v>
      </c>
      <c r="C6696" s="5" t="str">
        <f>IFERROR(__xludf.DUMMYFUNCTION("GOOGLETRANSLATE(A6696,""en"",""hy"")"),"Ո՞րն է Բրազիլիայի պաշտոնական լեզուն:")</f>
        <v>Ո՞րն է Բրազիլիայի պաշտոնական լեզուն:</v>
      </c>
      <c r="D6696" s="6" t="str">
        <f>IFERROR(__xludf.DUMMYFUNCTION("GOOGLETRANSLATE(B6696,""en"",""hy"")"),"Բրազիլիայի պաշտոնական լեզուն պորտուգալերենն է։")</f>
        <v>Բրազիլիայի պաշտոնական լեզուն պորտուգալերենն է։</v>
      </c>
    </row>
    <row r="6697">
      <c r="A6697" s="5" t="s">
        <v>7513</v>
      </c>
      <c r="B6697" s="5" t="s">
        <v>8525</v>
      </c>
      <c r="C6697" s="5" t="str">
        <f>IFERROR(__xludf.DUMMYFUNCTION("GOOGLETRANSLATE(A6697,""en"",""hy"")"),"Ո՞րն է աշխարհի ամենամեծ անապատը:")</f>
        <v>Ո՞րն է աշխարհի ամենամեծ անապատը:</v>
      </c>
      <c r="D6697" s="6" t="str">
        <f>IFERROR(__xludf.DUMMYFUNCTION("GOOGLETRANSLATE(B6697,""en"",""hy"")"),"Աշխարհի ամենամեծ անապատը Անտարկտիդայի անապատն է։")</f>
        <v>Աշխարհի ամենամեծ անապատը Անտարկտիդայի անապատն է։</v>
      </c>
    </row>
    <row r="6698">
      <c r="A6698" s="5" t="s">
        <v>8243</v>
      </c>
      <c r="B6698" s="5" t="s">
        <v>8448</v>
      </c>
      <c r="C6698" s="5" t="str">
        <f>IFERROR(__xludf.DUMMYFUNCTION("GOOGLETRANSLATE(A6698,""en"",""hy"")"),"Ո՞ր հայտնի գիտնականն է մշակել էվոլյուցիայի տեսությունը:")</f>
        <v>Ո՞ր հայտնի գիտնականն է մշակել էվոլյուցիայի տեսությունը:</v>
      </c>
      <c r="D6698" s="6" t="str">
        <f>IFERROR(__xludf.DUMMYFUNCTION("GOOGLETRANSLATE(B6698,""en"",""hy"")"),"Չարլզ Դարվին")</f>
        <v>Չարլզ Դարվին</v>
      </c>
    </row>
    <row r="6699">
      <c r="A6699" s="5" t="s">
        <v>9190</v>
      </c>
      <c r="B6699" s="5" t="s">
        <v>8040</v>
      </c>
      <c r="C6699" s="5" t="str">
        <f>IFERROR(__xludf.DUMMYFUNCTION("GOOGLETRANSLATE(A6699,""en"",""hy"")"),"Ո՞ր երկիրն է հայտնի Թաջ Մահալով:")</f>
        <v>Ո՞ր երկիրն է հայտնի Թաջ Մահալով:</v>
      </c>
      <c r="D6699" s="6" t="str">
        <f>IFERROR(__xludf.DUMMYFUNCTION("GOOGLETRANSLATE(B6699,""en"",""hy"")"),"Հնդկաստան")</f>
        <v>Հնդկաստան</v>
      </c>
    </row>
    <row r="6700">
      <c r="A6700" s="5" t="s">
        <v>8105</v>
      </c>
      <c r="B6700" s="5" t="s">
        <v>7635</v>
      </c>
      <c r="C6700" s="5" t="str">
        <f>IFERROR(__xludf.DUMMYFUNCTION("GOOGLETRANSLATE(A6700,""en"",""hy"")"),"Ո՞վ էր առաջին մարդը, ով քայլեց լուսնի վրա:")</f>
        <v>Ո՞վ էր առաջին մարդը, ով քայլեց լուսնի վրա:</v>
      </c>
      <c r="D6700" s="6" t="str">
        <f>IFERROR(__xludf.DUMMYFUNCTION("GOOGLETRANSLATE(B6700,""en"",""hy"")"),"Նիլ Արմսթրոնգ.")</f>
        <v>Նիլ Արմսթրոնգ.</v>
      </c>
    </row>
    <row r="6701">
      <c r="A6701" s="5" t="s">
        <v>7500</v>
      </c>
      <c r="B6701" s="5" t="s">
        <v>7501</v>
      </c>
      <c r="C6701" s="5" t="str">
        <f>IFERROR(__xludf.DUMMYFUNCTION("GOOGLETRANSLATE(A6701,""en"",""hy"")"),"Ո՞րն է Ֆրանսիայի մայրաքաղաքը:")</f>
        <v>Ո՞րն է Ֆրանսիայի մայրաքաղաքը:</v>
      </c>
      <c r="D6701" s="6" t="str">
        <f>IFERROR(__xludf.DUMMYFUNCTION("GOOGLETRANSLATE(B6701,""en"",""hy"")"),"Փարիզ.")</f>
        <v>Փարիզ.</v>
      </c>
    </row>
    <row r="6702">
      <c r="A6702" s="5" t="s">
        <v>8815</v>
      </c>
      <c r="B6702" s="5" t="s">
        <v>9191</v>
      </c>
      <c r="C6702" s="5" t="str">
        <f>IFERROR(__xludf.DUMMYFUNCTION("GOOGLETRANSLATE(A6702,""en"",""hy"")"),"Ո՞րն է պարբերական աղյուսակի թթվածնի քիմիական նշանը:")</f>
        <v>Ո՞րն է պարբերական աղյուսակի թթվածնի քիմիական նշանը:</v>
      </c>
      <c r="D6702" s="6" t="str">
        <f>IFERROR(__xludf.DUMMYFUNCTION("GOOGLETRANSLATE(B6702,""en"",""hy"")"),"Պարբերական աղյուսակում թթվածնի քիմիական նշանը O է")</f>
        <v>Պարբերական աղյուսակում թթվածնի քիմիական նշանը O է</v>
      </c>
    </row>
    <row r="6703">
      <c r="A6703" s="5" t="s">
        <v>8410</v>
      </c>
      <c r="B6703" s="5" t="s">
        <v>8742</v>
      </c>
      <c r="C6703" s="5" t="str">
        <f>IFERROR(__xludf.DUMMYFUNCTION("GOOGLETRANSLATE(A6703,""en"",""hy"")"),"Ո՞րն է բոլոր ժամանակների ամենաշատ եկամուտ ստացած ֆիլմը:")</f>
        <v>Ո՞րն է բոլոր ժամանակների ամենաշատ եկամուտ ստացած ֆիլմը:</v>
      </c>
      <c r="D6703" s="6" t="str">
        <f>IFERROR(__xludf.DUMMYFUNCTION("GOOGLETRANSLATE(B6703,""en"",""hy"")"),"Վրիժառուներ. վերջնախաղ.")</f>
        <v>Վրիժառուներ. վերջնախաղ.</v>
      </c>
    </row>
    <row r="6704">
      <c r="A6704" s="5" t="s">
        <v>7778</v>
      </c>
      <c r="B6704" s="5" t="s">
        <v>7474</v>
      </c>
      <c r="C6704" s="5" t="str">
        <f>IFERROR(__xludf.DUMMYFUNCTION("GOOGLETRANSLATE(A6704,""en"",""hy"")"),"Ո՞վ է նկարել Սիքստինյան կապելլայի առաստաղը:")</f>
        <v>Ո՞վ է նկարել Սիքստինյան կապելլայի առաստաղը:</v>
      </c>
      <c r="D6704" s="6" t="str">
        <f>IFERROR(__xludf.DUMMYFUNCTION("GOOGLETRANSLATE(B6704,""en"",""hy"")"),"Միքելանջելո.")</f>
        <v>Միքելանջելո.</v>
      </c>
    </row>
    <row r="6705">
      <c r="A6705" s="5" t="s">
        <v>7698</v>
      </c>
      <c r="B6705" s="5" t="s">
        <v>7630</v>
      </c>
      <c r="C6705" s="5" t="str">
        <f>IFERROR(__xludf.DUMMYFUNCTION("GOOGLETRANSLATE(A6705,""en"",""hy"")"),"Ո՞վ է գրել «Հպարտություն և նախապաշարմունք» վեպը:")</f>
        <v>Ո՞վ է գրել «Հպարտություն և նախապաշարմունք» վեպը:</v>
      </c>
      <c r="D6705" s="6" t="str">
        <f>IFERROR(__xludf.DUMMYFUNCTION("GOOGLETRANSLATE(B6705,""en"",""hy"")"),"Ջեյն Օսթին.")</f>
        <v>Ջեյն Օսթին.</v>
      </c>
    </row>
    <row r="6706">
      <c r="A6706" s="5" t="s">
        <v>8262</v>
      </c>
      <c r="B6706" s="5" t="s">
        <v>8837</v>
      </c>
      <c r="C6706" s="5" t="str">
        <f>IFERROR(__xludf.DUMMYFUNCTION("GOOGLETRANSLATE(A6706,""en"",""hy"")"),"Ո՞րն է Ճապոնիայի պաշտոնական լեզուն:")</f>
        <v>Ո՞րն է Ճապոնիայի պաշտոնական լեզուն:</v>
      </c>
      <c r="D6706" s="6" t="str">
        <f>IFERROR(__xludf.DUMMYFUNCTION("GOOGLETRANSLATE(B6706,""en"",""hy"")"),"Ճապոնիայի պաշտոնական լեզուն ճապոներենն է։")</f>
        <v>Ճապոնիայի պաշտոնական լեզուն ճապոներենն է։</v>
      </c>
    </row>
    <row r="6707">
      <c r="A6707" s="5" t="s">
        <v>8206</v>
      </c>
      <c r="B6707" s="5" t="s">
        <v>1299</v>
      </c>
      <c r="C6707" s="5" t="str">
        <f>IFERROR(__xludf.DUMMYFUNCTION("GOOGLETRANSLATE(A6707,""en"",""hy"")"),"Ո՞րն է Երկրի ամենամեծ մայրցամաքը:")</f>
        <v>Ո՞րն է Երկրի ամենամեծ մայրցամաքը:</v>
      </c>
      <c r="D6707" s="6" t="str">
        <f>IFERROR(__xludf.DUMMYFUNCTION("GOOGLETRANSLATE(B6707,""en"",""hy"")"),"Ասիա.")</f>
        <v>Ասիա.</v>
      </c>
    </row>
    <row r="6708">
      <c r="A6708" s="5" t="s">
        <v>9192</v>
      </c>
      <c r="B6708" s="5" t="s">
        <v>9193</v>
      </c>
      <c r="C6708" s="5" t="str">
        <f>IFERROR(__xludf.DUMMYFUNCTION("GOOGLETRANSLATE(A6708,""en"",""hy"")"),"Ո՞վ է «Սիմփսոնները» հեռուստաշոուի ստեղծողը:")</f>
        <v>Ո՞վ է «Սիմփսոնները» հեռուստաշոուի ստեղծողը:</v>
      </c>
      <c r="D6708" s="6" t="str">
        <f>IFERROR(__xludf.DUMMYFUNCTION("GOOGLETRANSLATE(B6708,""en"",""hy"")"),"Մեթ Գրենինգ.")</f>
        <v>Մեթ Գրենինգ.</v>
      </c>
    </row>
    <row r="6709">
      <c r="A6709" s="5" t="s">
        <v>7872</v>
      </c>
      <c r="B6709" s="5" t="s">
        <v>1307</v>
      </c>
      <c r="C6709" s="5" t="str">
        <f>IFERROR(__xludf.DUMMYFUNCTION("GOOGLETRANSLATE(A6709,""en"",""hy"")"),"Ո՞րն է Իսպանիայի մայրաքաղաքը:")</f>
        <v>Ո՞րն է Իսպանիայի մայրաքաղաքը:</v>
      </c>
      <c r="D6709" s="6" t="str">
        <f>IFERROR(__xludf.DUMMYFUNCTION("GOOGLETRANSLATE(B6709,""en"",""hy"")"),"Մադրիդ.")</f>
        <v>Մադրիդ.</v>
      </c>
    </row>
    <row r="6710">
      <c r="A6710" s="5" t="s">
        <v>9194</v>
      </c>
      <c r="B6710" s="5" t="s">
        <v>9195</v>
      </c>
      <c r="C6710" s="5" t="str">
        <f>IFERROR(__xludf.DUMMYFUNCTION("GOOGLETRANSLATE(A6710,""en"",""hy"")"),"Ո՞րն է ածխածնի քիմիական նշանը պարբերական աղյուսակում:")</f>
        <v>Ո՞րն է ածխածնի քիմիական նշանը պարբերական աղյուսակում:</v>
      </c>
      <c r="D6710" s="6" t="str">
        <f>IFERROR(__xludf.DUMMYFUNCTION("GOOGLETRANSLATE(B6710,""en"",""hy"")"),"Պարբերական աղյուսակում ածխածնի քիմիական նշանը C է:")</f>
        <v>Պարբերական աղյուսակում ածխածնի քիմիական նշանը C է:</v>
      </c>
    </row>
    <row r="6711">
      <c r="A6711" s="5" t="s">
        <v>7769</v>
      </c>
      <c r="B6711" s="5" t="s">
        <v>7486</v>
      </c>
      <c r="C6711" s="5" t="str">
        <f>IFERROR(__xludf.DUMMYFUNCTION("GOOGLETRANSLATE(A6711,""en"",""hy"")"),"Ո՞վ է Հարրի Փոթերի գրքերի շարքի հեղինակը:")</f>
        <v>Ո՞վ է Հարրի Փոթերի գրքերի շարքի հեղինակը:</v>
      </c>
      <c r="D6711" s="6" t="str">
        <f>IFERROR(__xludf.DUMMYFUNCTION("GOOGLETRANSLATE(B6711,""en"",""hy"")"),"Ջ.Կ. Ռոուլինգ.")</f>
        <v>Ջ.Կ. Ռոուլինգ.</v>
      </c>
    </row>
    <row r="6712">
      <c r="A6712" s="5" t="s">
        <v>8298</v>
      </c>
      <c r="B6712" s="7">
        <v>1989.0</v>
      </c>
      <c r="C6712" s="5" t="str">
        <f>IFERROR(__xludf.DUMMYFUNCTION("GOOGLETRANSLATE(A6712,""en"",""hy"")"),"Ո՞ր թվականին է փլվել Բեռլինի պատը:")</f>
        <v>Ո՞ր թվականին է փլվել Բեռլինի պատը:</v>
      </c>
      <c r="D6712" s="6" t="str">
        <f>IFERROR(__xludf.DUMMYFUNCTION("GOOGLETRANSLATE(B6712,""en"",""hy"")"),"1989 թ")</f>
        <v>1989 թ</v>
      </c>
    </row>
    <row r="6713">
      <c r="A6713" s="5" t="s">
        <v>7526</v>
      </c>
      <c r="B6713" s="5" t="s">
        <v>7527</v>
      </c>
      <c r="C6713" s="5" t="str">
        <f>IFERROR(__xludf.DUMMYFUNCTION("GOOGLETRANSLATE(A6713,""en"",""hy"")"),"Ո՞րն է աշխարհի ամենամեծ կղզին:")</f>
        <v>Ո՞րն է աշխարհի ամենամեծ կղզին:</v>
      </c>
      <c r="D6713" s="6" t="str">
        <f>IFERROR(__xludf.DUMMYFUNCTION("GOOGLETRANSLATE(B6713,""en"",""hy"")"),"Գրենլանդիա.")</f>
        <v>Գրենլանդիա.</v>
      </c>
    </row>
    <row r="6714">
      <c r="A6714" s="5" t="s">
        <v>7491</v>
      </c>
      <c r="B6714" s="5" t="s">
        <v>7648</v>
      </c>
      <c r="C6714" s="5" t="str">
        <f>IFERROR(__xludf.DUMMYFUNCTION("GOOGLETRANSLATE(A6714,""en"",""hy"")"),"Ո՞վ է նկարել Աստղային գիշերը:")</f>
        <v>Ո՞վ է նկարել Աստղային գիշերը:</v>
      </c>
      <c r="D6714" s="6" t="str">
        <f>IFERROR(__xludf.DUMMYFUNCTION("GOOGLETRANSLATE(B6714,""en"",""hy"")"),"Վինսենթ վան Գոգ.")</f>
        <v>Վինսենթ վան Գոգ.</v>
      </c>
    </row>
    <row r="6715">
      <c r="A6715" s="5" t="s">
        <v>7791</v>
      </c>
      <c r="B6715" s="5" t="s">
        <v>8128</v>
      </c>
      <c r="C6715" s="5" t="str">
        <f>IFERROR(__xludf.DUMMYFUNCTION("GOOGLETRANSLATE(A6715,""en"",""hy"")"),"Ո՞րն է Ավստրալիայի ազգային կենդանին:")</f>
        <v>Ո՞րն է Ավստրալիայի ազգային կենդանին:</v>
      </c>
      <c r="D6715" s="6" t="str">
        <f>IFERROR(__xludf.DUMMYFUNCTION("GOOGLETRANSLATE(B6715,""en"",""hy"")"),"Կենգուրու.")</f>
        <v>Կենգուրու.</v>
      </c>
    </row>
    <row r="6716">
      <c r="A6716" s="5" t="s">
        <v>7773</v>
      </c>
      <c r="B6716" s="5" t="s">
        <v>8253</v>
      </c>
      <c r="C6716" s="5" t="str">
        <f>IFERROR(__xludf.DUMMYFUNCTION("GOOGLETRANSLATE(A6716,""en"",""hy"")"),"Ո՞վ է հայտնաբերել պենիցիլինը:")</f>
        <v>Ո՞վ է հայտնաբերել պենիցիլինը:</v>
      </c>
      <c r="D6716" s="6" t="str">
        <f>IFERROR(__xludf.DUMMYFUNCTION("GOOGLETRANSLATE(B6716,""en"",""hy"")"),"Ալեքսանդր Ֆլեմինգ.")</f>
        <v>Ալեքսանդր Ֆլեմինգ.</v>
      </c>
    </row>
    <row r="6717">
      <c r="A6717" s="5" t="s">
        <v>8098</v>
      </c>
      <c r="B6717" s="7">
        <v>1776.0</v>
      </c>
      <c r="C6717" s="5" t="str">
        <f>IFERROR(__xludf.DUMMYFUNCTION("GOOGLETRANSLATE(A6717,""en"",""hy"")"),"Ո՞ր թվականին է ԱՄՆ-ն անկախացել Մեծ Բրիտանիայից։")</f>
        <v>Ո՞ր թվականին է ԱՄՆ-ն անկախացել Մեծ Բրիտանիայից։</v>
      </c>
      <c r="D6717" s="6" t="str">
        <f>IFERROR(__xludf.DUMMYFUNCTION("GOOGLETRANSLATE(B6717,""en"",""hy"")"),"1776 թ")</f>
        <v>1776 թ</v>
      </c>
    </row>
    <row r="6718">
      <c r="A6718" s="5" t="s">
        <v>7589</v>
      </c>
      <c r="B6718" s="5" t="s">
        <v>7545</v>
      </c>
      <c r="C6718" s="5" t="str">
        <f>IFERROR(__xludf.DUMMYFUNCTION("GOOGLETRANSLATE(A6718,""en"",""hy"")"),"Ո՞րն է Իտալիայի մայրաքաղաքը:")</f>
        <v>Ո՞րն է Իտալիայի մայրաքաղաքը:</v>
      </c>
      <c r="D6718" s="6" t="str">
        <f>IFERROR(__xludf.DUMMYFUNCTION("GOOGLETRANSLATE(B6718,""en"",""hy"")"),"Հռոմ.")</f>
        <v>Հռոմ.</v>
      </c>
    </row>
    <row r="6719">
      <c r="A6719" s="5" t="s">
        <v>9196</v>
      </c>
      <c r="B6719" s="5" t="s">
        <v>9197</v>
      </c>
      <c r="C6719" s="5" t="str">
        <f>IFERROR(__xludf.DUMMYFUNCTION("GOOGLETRANSLATE(A6719,""en"",""hy"")"),"Ո՞րն է ազոտի քիմիական նշանը պարբերական աղյուսակում:")</f>
        <v>Ո՞րն է ազոտի քիմիական նշանը պարբերական աղյուսակում:</v>
      </c>
      <c r="D6719" s="6" t="str">
        <f>IFERROR(__xludf.DUMMYFUNCTION("GOOGLETRANSLATE(B6719,""en"",""hy"")"),"Պարբերական աղյուսակում ազոտի քիմիական նշանն է N.")</f>
        <v>Պարբերական աղյուսակում ազոտի քիմիական նշանն է N.</v>
      </c>
    </row>
    <row r="6720">
      <c r="A6720" s="5" t="s">
        <v>7683</v>
      </c>
      <c r="B6720" s="5" t="s">
        <v>1016</v>
      </c>
      <c r="C6720" s="5" t="str">
        <f>IFERROR(__xludf.DUMMYFUNCTION("GOOGLETRANSLATE(A6720,""en"",""hy"")"),"Ո՞վ է գրել «Համլետ» պիեսը։")</f>
        <v>Ո՞վ է գրել «Համլետ» պիեսը։</v>
      </c>
      <c r="D6720" s="6" t="str">
        <f>IFERROR(__xludf.DUMMYFUNCTION("GOOGLETRANSLATE(B6720,""en"",""hy"")"),"Ուիլյամ Շեքսպիր.")</f>
        <v>Ուիլյամ Շեքսպիր.</v>
      </c>
    </row>
    <row r="6721">
      <c r="A6721" s="5" t="s">
        <v>7449</v>
      </c>
      <c r="B6721" s="5" t="s">
        <v>8141</v>
      </c>
      <c r="C6721" s="5" t="str">
        <f>IFERROR(__xludf.DUMMYFUNCTION("GOOGLETRANSLATE(A6721,""en"",""hy"")"),"Ո՞րն է աշխարհի ամենամեծ երկիրը ցամաքային տարածքով:")</f>
        <v>Ո՞րն է աշխարհի ամենամեծ երկիրը ցամաքային տարածքով:</v>
      </c>
      <c r="D6721" s="6" t="str">
        <f>IFERROR(__xludf.DUMMYFUNCTION("GOOGLETRANSLATE(B6721,""en"",""hy"")"),"Ռուսաստան")</f>
        <v>Ռուսաստան</v>
      </c>
    </row>
    <row r="6722">
      <c r="A6722" s="5" t="s">
        <v>7517</v>
      </c>
      <c r="B6722" s="5" t="s">
        <v>7448</v>
      </c>
      <c r="C6722" s="5" t="str">
        <f>IFERROR(__xludf.DUMMYFUNCTION("GOOGLETRANSLATE(A6722,""en"",""hy"")"),"Ո՞վ է նկարել Վերջին ընթրիքը:")</f>
        <v>Ո՞վ է նկարել Վերջին ընթրիքը:</v>
      </c>
      <c r="D6722" s="6" t="str">
        <f>IFERROR(__xludf.DUMMYFUNCTION("GOOGLETRANSLATE(B6722,""en"",""hy"")"),"Լեոնարդո դա Վինչի.")</f>
        <v>Լեոնարդո դա Վինչի.</v>
      </c>
    </row>
    <row r="6723">
      <c r="A6723" s="5" t="s">
        <v>8025</v>
      </c>
      <c r="B6723" s="5" t="s">
        <v>8026</v>
      </c>
      <c r="C6723" s="5" t="str">
        <f>IFERROR(__xludf.DUMMYFUNCTION("GOOGLETRANSLATE(A6723,""en"",""hy"")"),"Ո՞րն է Չինաստանի պաշտոնական լեզուն:")</f>
        <v>Ո՞րն է Չինաստանի պաշտոնական լեզուն:</v>
      </c>
      <c r="D6723" s="6" t="str">
        <f>IFERROR(__xludf.DUMMYFUNCTION("GOOGLETRANSLATE(B6723,""en"",""hy"")"),"Չինաստանի պաշտոնական լեզուն մանդարին չինարենն է։")</f>
        <v>Չինաստանի պաշտոնական լեզուն մանդարին չինարենն է։</v>
      </c>
    </row>
    <row r="6724">
      <c r="A6724" s="5" t="s">
        <v>9198</v>
      </c>
      <c r="B6724" s="5" t="s">
        <v>2143</v>
      </c>
      <c r="C6724" s="5" t="str">
        <f>IFERROR(__xludf.DUMMYFUNCTION("GOOGLETRANSLATE(A6724,""en"",""hy"")"),"Ո՞վ է Facebook սոցիալական մեդիայի հարթակի ստեղծողը:")</f>
        <v>Ո՞վ է Facebook սոցիալական մեդիայի հարթակի ստեղծողը:</v>
      </c>
      <c r="D6724" s="6" t="str">
        <f>IFERROR(__xludf.DUMMYFUNCTION("GOOGLETRANSLATE(B6724,""en"",""hy"")"),"Մարկ Ցուկերբերգը.")</f>
        <v>Մարկ Ցուկերբերգը.</v>
      </c>
    </row>
    <row r="6725">
      <c r="A6725" s="5" t="s">
        <v>7903</v>
      </c>
      <c r="B6725" s="5" t="s">
        <v>8261</v>
      </c>
      <c r="C6725" s="5" t="str">
        <f>IFERROR(__xludf.DUMMYFUNCTION("GOOGLETRANSLATE(A6725,""en"",""hy"")"),"Ո՞րն է Մեքսիկայի մայրաքաղաքը:")</f>
        <v>Ո՞րն է Մեքսիկայի մայրաքաղաքը:</v>
      </c>
      <c r="D6725" s="6" t="str">
        <f>IFERROR(__xludf.DUMMYFUNCTION("GOOGLETRANSLATE(B6725,""en"",""hy"")"),"Մեխիկո Սիթի.")</f>
        <v>Մեխիկո Սիթի.</v>
      </c>
    </row>
    <row r="6726">
      <c r="A6726" s="5" t="s">
        <v>8599</v>
      </c>
      <c r="B6726" s="5" t="s">
        <v>7661</v>
      </c>
      <c r="C6726" s="5" t="str">
        <f>IFERROR(__xludf.DUMMYFUNCTION("GOOGLETRANSLATE(A6726,""en"",""hy"")"),"Ո՞վ է «Մեծն Գեթսբի» վեպի հեղինակը.")</f>
        <v>Ո՞վ է «Մեծն Գեթսբի» վեպի հեղինակը.</v>
      </c>
      <c r="D6726" s="6" t="str">
        <f>IFERROR(__xludf.DUMMYFUNCTION("GOOGLETRANSLATE(B6726,""en"",""hy"")"),"F. Scott Fitzgerald.")</f>
        <v>F. Scott Fitzgerald.</v>
      </c>
    </row>
    <row r="6727">
      <c r="A6727" s="5" t="s">
        <v>8327</v>
      </c>
      <c r="B6727" s="5" t="s">
        <v>7837</v>
      </c>
      <c r="C6727" s="5" t="str">
        <f>IFERROR(__xludf.DUMMYFUNCTION("GOOGLETRANSLATE(A6727,""en"",""hy"")"),"Ո՞ր թվականին սկսվեց Առաջին համաշխարհային պատերազմը:")</f>
        <v>Ո՞ր թվականին սկսվեց Առաջին համաշխարհային պատերազմը:</v>
      </c>
      <c r="D6727" s="6" t="str">
        <f>IFERROR(__xludf.DUMMYFUNCTION("GOOGLETRANSLATE(B6727,""en"",""hy"")"),"Առաջին համաշխարհային պատերազմը սկսվել է 1914 թ.")</f>
        <v>Առաջին համաշխարհային պատերազմը սկսվել է 1914 թ.</v>
      </c>
    </row>
    <row r="6728">
      <c r="A6728" s="5" t="s">
        <v>7691</v>
      </c>
      <c r="B6728" s="5" t="s">
        <v>7692</v>
      </c>
      <c r="C6728" s="5" t="str">
        <f>IFERROR(__xludf.DUMMYFUNCTION("GOOGLETRANSLATE(A6728,""en"",""hy"")"),"Ո՞րն է Աֆրիկայի ամենամեծ լիճը:")</f>
        <v>Ո՞րն է Աֆրիկայի ամենամեծ լիճը:</v>
      </c>
      <c r="D6728" s="6" t="str">
        <f>IFERROR(__xludf.DUMMYFUNCTION("GOOGLETRANSLATE(B6728,""en"",""hy"")"),"Վիկտորիա լիճ.")</f>
        <v>Վիկտորիա լիճ.</v>
      </c>
    </row>
    <row r="6729">
      <c r="A6729" s="5" t="s">
        <v>8197</v>
      </c>
      <c r="B6729" s="5" t="s">
        <v>7710</v>
      </c>
      <c r="C6729" s="5" t="str">
        <f>IFERROR(__xludf.DUMMYFUNCTION("GOOGLETRANSLATE(A6729,""en"",""hy"")"),"Ո՞վ է նկարել Գերնիկան:")</f>
        <v>Ո՞վ է նկարել Գերնիկան:</v>
      </c>
      <c r="D6729" s="6" t="str">
        <f>IFERROR(__xludf.DUMMYFUNCTION("GOOGLETRANSLATE(B6729,""en"",""hy"")"),"Պաբլո Պիկասո.")</f>
        <v>Պաբլո Պիկասո.</v>
      </c>
    </row>
    <row r="6730">
      <c r="A6730" s="5" t="s">
        <v>9199</v>
      </c>
      <c r="B6730" s="5" t="s">
        <v>7181</v>
      </c>
      <c r="C6730" s="5" t="str">
        <f>IFERROR(__xludf.DUMMYFUNCTION("GOOGLETRANSLATE(A6730,""en"",""hy"")"),"Ո՞ր երկիրն է հայտնի Մեծ արգելախութով:")</f>
        <v>Ո՞ր երկիրն է հայտնի Մեծ արգելախութով:</v>
      </c>
      <c r="D6730" s="6" t="str">
        <f>IFERROR(__xludf.DUMMYFUNCTION("GOOGLETRANSLATE(B6730,""en"",""hy"")"),"Ավստրալիա")</f>
        <v>Ավստրալիա</v>
      </c>
    </row>
    <row r="6731">
      <c r="A6731" s="5" t="s">
        <v>9200</v>
      </c>
      <c r="B6731" s="5" t="s">
        <v>7956</v>
      </c>
      <c r="C6731" s="5" t="str">
        <f>IFERROR(__xludf.DUMMYFUNCTION("GOOGLETRANSLATE(A6731,""en"",""hy"")"),"Ո՞վ է մշակել ձգողականության տեսությունը:")</f>
        <v>Ո՞վ է մշակել ձգողականության տեսությունը:</v>
      </c>
      <c r="D6731" s="6" t="str">
        <f>IFERROR(__xludf.DUMMYFUNCTION("GOOGLETRANSLATE(B6731,""en"",""hy"")"),"Իսահակ Նյուտոն.")</f>
        <v>Իսահակ Նյուտոն.</v>
      </c>
    </row>
    <row r="6732">
      <c r="A6732" s="5" t="s">
        <v>8151</v>
      </c>
      <c r="B6732" s="5" t="s">
        <v>8152</v>
      </c>
      <c r="C6732" s="5" t="str">
        <f>IFERROR(__xludf.DUMMYFUNCTION("GOOGLETRANSLATE(A6732,""en"",""hy"")"),"Ո՞րն է Հնդկաստանի ազգային կենդանին:")</f>
        <v>Ո՞րն է Հնդկաստանի ազգային կենդանին:</v>
      </c>
      <c r="D6732" s="6" t="str">
        <f>IFERROR(__xludf.DUMMYFUNCTION("GOOGLETRANSLATE(B6732,""en"",""hy"")"),"Հնդկաստանի ազգային կենդանին Բենգալյան վագրն է:")</f>
        <v>Հնդկաստանի ազգային կենդանին Բենգալյան վագրն է:</v>
      </c>
    </row>
    <row r="6733">
      <c r="A6733" s="5" t="s">
        <v>8127</v>
      </c>
      <c r="B6733" s="5" t="s">
        <v>6556</v>
      </c>
      <c r="C6733" s="5" t="str">
        <f>IFERROR(__xludf.DUMMYFUNCTION("GOOGLETRANSLATE(A6733,""en"",""hy"")"),"Ո՞րն է Ռուսաստանի պաշտոնական լեզուն:")</f>
        <v>Ո՞րն է Ռուսաստանի պաշտոնական լեզուն:</v>
      </c>
      <c r="D6733" s="6" t="str">
        <f>IFERROR(__xludf.DUMMYFUNCTION("GOOGLETRANSLATE(B6733,""en"",""hy"")"),"Ռուսաստանի պաշտոնական լեզուն ռուսերենն է։")</f>
        <v>Ռուսաստանի պաշտոնական լեզուն ռուսերենն է։</v>
      </c>
    </row>
    <row r="6734">
      <c r="A6734" s="5" t="s">
        <v>7780</v>
      </c>
      <c r="B6734" s="5" t="s">
        <v>2951</v>
      </c>
      <c r="C6734" s="5" t="str">
        <f>IFERROR(__xludf.DUMMYFUNCTION("GOOGLETRANSLATE(A6734,""en"",""hy"")"),"Ո՞րն է Կանադայի մայրաքաղաքը:")</f>
        <v>Ո՞րն է Կանադայի մայրաքաղաքը:</v>
      </c>
      <c r="D6734" s="6" t="str">
        <f>IFERROR(__xludf.DUMMYFUNCTION("GOOGLETRANSLATE(B6734,""en"",""hy"")"),"Օտտավա.")</f>
        <v>Օտտավա.</v>
      </c>
    </row>
    <row r="6735">
      <c r="A6735" s="5" t="s">
        <v>7479</v>
      </c>
      <c r="B6735" s="5" t="s">
        <v>1996</v>
      </c>
      <c r="C6735" s="5" t="str">
        <f>IFERROR(__xludf.DUMMYFUNCTION("GOOGLETRANSLATE(A6735,""en"",""hy"")"),"Ո՞վ է Միացյալ Թագավորության ներկայիս վարչապետը:")</f>
        <v>Ո՞վ է Միացյալ Թագավորության ներկայիս վարչապետը:</v>
      </c>
      <c r="D6735" s="6" t="str">
        <f>IFERROR(__xludf.DUMMYFUNCTION("GOOGLETRANSLATE(B6735,""en"",""hy"")"),"Բորիս Ջոնսոն.")</f>
        <v>Բորիս Ջոնսոն.</v>
      </c>
    </row>
    <row r="6736">
      <c r="A6736" s="5" t="s">
        <v>8314</v>
      </c>
      <c r="B6736" s="5" t="s">
        <v>8315</v>
      </c>
      <c r="C6736" s="5" t="str">
        <f>IFERROR(__xludf.DUMMYFUNCTION("GOOGLETRANSLATE(A6736,""en"",""hy"")"),"Ո՞ր տարում ավարտվեց Սառը պատերազմը:")</f>
        <v>Ո՞ր տարում ավարտվեց Սառը պատերազմը:</v>
      </c>
      <c r="D6736" s="6" t="str">
        <f>IFERROR(__xludf.DUMMYFUNCTION("GOOGLETRANSLATE(B6736,""en"",""hy"")"),"Սառը պատերազմն ավարտվեց 1991թ.")</f>
        <v>Սառը պատերազմն ավարտվեց 1991թ.</v>
      </c>
    </row>
    <row r="6737">
      <c r="A6737" s="5" t="s">
        <v>7618</v>
      </c>
      <c r="B6737" s="5" t="s">
        <v>8266</v>
      </c>
      <c r="C6737" s="5" t="str">
        <f>IFERROR(__xludf.DUMMYFUNCTION("GOOGLETRANSLATE(A6737,""en"",""hy"")"),"Ո՞րն է աշխարհի ամենամեծ ջրվեժը:")</f>
        <v>Ո՞րն է աշխարհի ամենամեծ ջրվեժը:</v>
      </c>
      <c r="D6737" s="6" t="str">
        <f>IFERROR(__xludf.DUMMYFUNCTION("GOOGLETRANSLATE(B6737,""en"",""hy"")"),"Աշխարհի ամենամեծ ջրվեժը Վենեսուելայում գտնվող Անխել ջրվեժն է:")</f>
        <v>Աշխարհի ամենամեծ ջրվեժը Վենեսուելայում գտնվող Անխել ջրվեժն է:</v>
      </c>
    </row>
    <row r="6738">
      <c r="A6738" s="5" t="s">
        <v>7620</v>
      </c>
      <c r="B6738" s="5" t="s">
        <v>7832</v>
      </c>
      <c r="C6738" s="5" t="str">
        <f>IFERROR(__xludf.DUMMYFUNCTION("GOOGLETRANSLATE(A6738,""en"",""hy"")"),"Ո՞վ է նկարել Վեներայի ծնունդը:")</f>
        <v>Ո՞վ է նկարել Վեներայի ծնունդը:</v>
      </c>
      <c r="D6738" s="6" t="str">
        <f>IFERROR(__xludf.DUMMYFUNCTION("GOOGLETRANSLATE(B6738,""en"",""hy"")"),"Սանդրո Բոտիչելի")</f>
        <v>Սանդրո Բոտիչելի</v>
      </c>
    </row>
    <row r="6739">
      <c r="A6739" s="5" t="s">
        <v>8198</v>
      </c>
      <c r="B6739" s="5" t="s">
        <v>8199</v>
      </c>
      <c r="C6739" s="5" t="str">
        <f>IFERROR(__xludf.DUMMYFUNCTION("GOOGLETRANSLATE(A6739,""en"",""hy"")"),"Ո՞րն է Չինաստանի ազգային կենդանին:")</f>
        <v>Ո՞րն է Չինաստանի ազգային կենդանին:</v>
      </c>
      <c r="D6739" s="6" t="str">
        <f>IFERROR(__xludf.DUMMYFUNCTION("GOOGLETRANSLATE(B6739,""en"",""hy"")"),"Չինաստանի ազգային կենդանին հսկա պանդան է։")</f>
        <v>Չինաստանի ազգային կենդանին հսկա պանդան է։</v>
      </c>
    </row>
    <row r="6740">
      <c r="A6740" s="5" t="s">
        <v>9201</v>
      </c>
      <c r="B6740" s="5" t="s">
        <v>8052</v>
      </c>
      <c r="C6740" s="5" t="str">
        <f>IFERROR(__xludf.DUMMYFUNCTION("GOOGLETRANSLATE(A6740,""en"",""hy"")"),"Ո՞վ է Microsoft ծրագրային ապահովման ընկերության ստեղծողը:")</f>
        <v>Ո՞վ է Microsoft ծրագրային ապահովման ընկերության ստեղծողը:</v>
      </c>
      <c r="D6740" s="6" t="str">
        <f>IFERROR(__xludf.DUMMYFUNCTION("GOOGLETRANSLATE(B6740,""en"",""hy"")"),"Բիլ Գեյթս.")</f>
        <v>Բիլ Գեյթս.</v>
      </c>
    </row>
    <row r="6741">
      <c r="A6741" s="5" t="s">
        <v>7626</v>
      </c>
      <c r="B6741" s="5" t="s">
        <v>6980</v>
      </c>
      <c r="C6741" s="5" t="str">
        <f>IFERROR(__xludf.DUMMYFUNCTION("GOOGLETRANSLATE(A6741,""en"",""hy"")"),"Ո՞րն է Գերմանիայի մայրաքաղաքը:")</f>
        <v>Ո՞րն է Գերմանիայի մայրաքաղաքը:</v>
      </c>
      <c r="D6741" s="6" t="str">
        <f>IFERROR(__xludf.DUMMYFUNCTION("GOOGLETRANSLATE(B6741,""en"",""hy"")"),"Բեռլին")</f>
        <v>Բեռլին</v>
      </c>
    </row>
    <row r="6742">
      <c r="A6742" s="5" t="s">
        <v>8828</v>
      </c>
      <c r="B6742" s="5" t="s">
        <v>8829</v>
      </c>
      <c r="C6742" s="5" t="str">
        <f>IFERROR(__xludf.DUMMYFUNCTION("GOOGLETRANSLATE(A6742,""en"",""hy"")"),"Ո՞րն է ջրածնի քիմիական նշանը պարբերական աղյուսակում:")</f>
        <v>Ո՞րն է ջրածնի քիմիական նշանը պարբերական աղյուսակում:</v>
      </c>
      <c r="D6742" s="6" t="str">
        <f>IFERROR(__xludf.DUMMYFUNCTION("GOOGLETRANSLATE(B6742,""en"",""hy"")"),"Պարբերական աղյուսակում ջրածնի քիմիական նշանն է H.")</f>
        <v>Պարբերական աղյուսակում ջրածնի քիմիական նշանն է H.</v>
      </c>
    </row>
    <row r="6743">
      <c r="A6743" s="5" t="s">
        <v>7726</v>
      </c>
      <c r="B6743" s="5" t="s">
        <v>8107</v>
      </c>
      <c r="C6743" s="5" t="str">
        <f>IFERROR(__xludf.DUMMYFUNCTION("GOOGLETRANSLATE(A6743,""en"",""hy"")"),"Ո՞վ է գրել «Մակբեթ» պիեսը։")</f>
        <v>Ո՞վ է գրել «Մակբեթ» պիեսը։</v>
      </c>
      <c r="D6743" s="6" t="str">
        <f>IFERROR(__xludf.DUMMYFUNCTION("GOOGLETRANSLATE(B6743,""en"",""hy"")"),"Ուիլյամ Շեքսպիր")</f>
        <v>Ուիլյամ Շեքսպիր</v>
      </c>
    </row>
    <row r="6744">
      <c r="A6744" s="5" t="s">
        <v>8508</v>
      </c>
      <c r="B6744" s="7">
        <v>1789.0</v>
      </c>
      <c r="C6744" s="5" t="str">
        <f>IFERROR(__xludf.DUMMYFUNCTION("GOOGLETRANSLATE(A6744,""en"",""hy"")"),"Ո՞ր թվականին սկսվեց Ֆրանսիական հեղափոխությունը:")</f>
        <v>Ո՞ր թվականին սկսվեց Ֆրանսիական հեղափոխությունը:</v>
      </c>
      <c r="D6744" s="6" t="str">
        <f>IFERROR(__xludf.DUMMYFUNCTION("GOOGLETRANSLATE(B6744,""en"",""hy"")"),"1789 թ")</f>
        <v>1789 թ</v>
      </c>
    </row>
    <row r="6745">
      <c r="A6745" s="5" t="s">
        <v>9202</v>
      </c>
      <c r="B6745" s="5" t="s">
        <v>1299</v>
      </c>
      <c r="C6745" s="5" t="str">
        <f>IFERROR(__xludf.DUMMYFUNCTION("GOOGLETRANSLATE(A6745,""en"",""hy"")"),"Ո՞րն է բնակչության թվով ամենամեծ մայրցամաքը:")</f>
        <v>Ո՞րն է բնակչության թվով ամենամեծ մայրցամաքը:</v>
      </c>
      <c r="D6745" s="6" t="str">
        <f>IFERROR(__xludf.DUMMYFUNCTION("GOOGLETRANSLATE(B6745,""en"",""hy"")"),"Ասիա.")</f>
        <v>Ասիա.</v>
      </c>
    </row>
    <row r="6746">
      <c r="A6746" s="5" t="s">
        <v>7584</v>
      </c>
      <c r="B6746" s="5" t="s">
        <v>7585</v>
      </c>
      <c r="C6746" s="5" t="str">
        <f>IFERROR(__xludf.DUMMYFUNCTION("GOOGLETRANSLATE(A6746,""en"",""hy"")"),"Ո՞վ է նկարել Ճիչը:")</f>
        <v>Ո՞վ է նկարել Ճիչը:</v>
      </c>
      <c r="D6746" s="6" t="str">
        <f>IFERROR(__xludf.DUMMYFUNCTION("GOOGLETRANSLATE(B6746,""en"",""hy"")"),"Էդվարդ Մունկ.")</f>
        <v>Էդվարդ Մունկ.</v>
      </c>
    </row>
    <row r="6747">
      <c r="A6747" s="5" t="s">
        <v>8290</v>
      </c>
      <c r="B6747" s="5" t="s">
        <v>9203</v>
      </c>
      <c r="C6747" s="5" t="str">
        <f>IFERROR(__xludf.DUMMYFUNCTION("GOOGLETRANSLATE(A6747,""en"",""hy"")"),"Ո՞րն է Հարավային Աֆրիկայի ազգային կենդանին:")</f>
        <v>Ո՞րն է Հարավային Աֆրիկայի ազգային կենդանին:</v>
      </c>
      <c r="D6747" s="6" t="str">
        <f>IFERROR(__xludf.DUMMYFUNCTION("GOOGLETRANSLATE(B6747,""en"",""hy"")"),"Հարավային Աֆրիկայի ազգային կենդանին Սփրինգբոկն է։")</f>
        <v>Հարավային Աֆրիկայի ազգային կենդանին Սփրինգբոկն է։</v>
      </c>
    </row>
    <row r="6748">
      <c r="A6748" s="5" t="s">
        <v>8698</v>
      </c>
      <c r="B6748" s="5" t="s">
        <v>7956</v>
      </c>
      <c r="C6748" s="5" t="str">
        <f>IFERROR(__xludf.DUMMYFUNCTION("GOOGLETRANSLATE(A6748,""en"",""hy"")"),"Ո՞վ է հայտնաբերել գրավիտացիայի տեսությունը:")</f>
        <v>Ո՞վ է հայտնաբերել գրավիտացիայի տեսությունը:</v>
      </c>
      <c r="D6748" s="6" t="str">
        <f>IFERROR(__xludf.DUMMYFUNCTION("GOOGLETRANSLATE(B6748,""en"",""hy"")"),"Իսահակ Նյուտոն.")</f>
        <v>Իսահակ Նյուտոն.</v>
      </c>
    </row>
    <row r="6749">
      <c r="A6749" s="5" t="s">
        <v>9204</v>
      </c>
      <c r="B6749" s="5" t="s">
        <v>8249</v>
      </c>
      <c r="C6749" s="5" t="str">
        <f>IFERROR(__xludf.DUMMYFUNCTION("GOOGLETRANSLATE(A6749,""en"",""hy"")"),"Ո՞ր երկիրն է հայտնի Գիզայի բուրգերով:")</f>
        <v>Ո՞ր երկիրն է հայտնի Գիզայի բուրգերով:</v>
      </c>
      <c r="D6749" s="6" t="str">
        <f>IFERROR(__xludf.DUMMYFUNCTION("GOOGLETRANSLATE(B6749,""en"",""hy"")"),"Եգիպտոս")</f>
        <v>Եգիպտոս</v>
      </c>
    </row>
    <row r="6750">
      <c r="A6750" s="5" t="s">
        <v>7566</v>
      </c>
      <c r="B6750" s="5" t="s">
        <v>7567</v>
      </c>
      <c r="C6750" s="5" t="str">
        <f>IFERROR(__xludf.DUMMYFUNCTION("GOOGLETRANSLATE(A6750,""en"",""hy"")"),"Ո՞վ է Կանադայի ներկայիս վարչապետը:")</f>
        <v>Ո՞վ է Կանադայի ներկայիս վարչապետը:</v>
      </c>
      <c r="D6750" s="6" t="str">
        <f>IFERROR(__xludf.DUMMYFUNCTION("GOOGLETRANSLATE(B6750,""en"",""hy"")"),"Ջասթին Թրյուդո")</f>
        <v>Ջասթին Թրյուդո</v>
      </c>
    </row>
    <row r="6751">
      <c r="A6751" s="5" t="s">
        <v>9205</v>
      </c>
      <c r="B6751" s="5" t="s">
        <v>9206</v>
      </c>
      <c r="C6751" s="5" t="str">
        <f>IFERROR(__xludf.DUMMYFUNCTION("GOOGLETRANSLATE(A6751,""en"",""hy"")"),"Ո՞ր թվականին է հայտնագործվել առաջին համակարգիչը:")</f>
        <v>Ո՞ր թվականին է հայտնագործվել առաջին համակարգիչը:</v>
      </c>
      <c r="D6751" s="6" t="str">
        <f>IFERROR(__xludf.DUMMYFUNCTION("GOOGLETRANSLATE(B6751,""en"",""hy"")"),"Առաջին համակարգիչը հայտնագործվել է 1943 թվականին։")</f>
        <v>Առաջին համակարգիչը հայտնագործվել է 1943 թվականին։</v>
      </c>
    </row>
    <row r="6752">
      <c r="A6752" s="5" t="s">
        <v>8934</v>
      </c>
      <c r="B6752" s="5" t="s">
        <v>8935</v>
      </c>
      <c r="C6752" s="5" t="str">
        <f>IFERROR(__xludf.DUMMYFUNCTION("GOOGLETRANSLATE(A6752,""en"",""hy"")"),"Ո՞րն է Հարավային Կորեայի մայրաքաղաքը:")</f>
        <v>Ո՞րն է Հարավային Կորեայի մայրաքաղաքը:</v>
      </c>
      <c r="D6752" s="6" t="str">
        <f>IFERROR(__xludf.DUMMYFUNCTION("GOOGLETRANSLATE(B6752,""en"",""hy"")"),"Սեուլ.")</f>
        <v>Սեուլ.</v>
      </c>
    </row>
    <row r="6753">
      <c r="A6753" s="5" t="s">
        <v>9207</v>
      </c>
      <c r="B6753" s="5" t="s">
        <v>9208</v>
      </c>
      <c r="C6753" s="5" t="str">
        <f>IFERROR(__xludf.DUMMYFUNCTION("GOOGLETRANSLATE(A6753,""en"",""hy"")"),"Ո՞րն է նատրիումի քիմիական նշանը պարբերական աղյուսակում:")</f>
        <v>Ո՞րն է նատրիումի քիմիական նշանը պարբերական աղյուսակում:</v>
      </c>
      <c r="D6753" s="6" t="str">
        <f>IFERROR(__xludf.DUMMYFUNCTION("GOOGLETRANSLATE(B6753,""en"",""hy"")"),"Պարբերական աղյուսակում նատրիումի քիմիական նշանը Na է:")</f>
        <v>Պարբերական աղյուսակում նատրիումի քիմիական նշանը Na է:</v>
      </c>
    </row>
    <row r="6754">
      <c r="A6754" s="5" t="s">
        <v>7443</v>
      </c>
      <c r="B6754" s="5" t="s">
        <v>7444</v>
      </c>
      <c r="C6754" s="5" t="str">
        <f>IFERROR(__xludf.DUMMYFUNCTION("GOOGLETRANSLATE(A6754,""en"",""hy"")"),"Ո՞վ է գրել «1984» վեպը։")</f>
        <v>Ո՞վ է գրել «1984» վեպը։</v>
      </c>
      <c r="D6754" s="6" t="str">
        <f>IFERROR(__xludf.DUMMYFUNCTION("GOOGLETRANSLATE(B6754,""en"",""hy"")"),"Ջորջ Օրուել.")</f>
        <v>Ջորջ Օրուել.</v>
      </c>
    </row>
    <row r="6755">
      <c r="A6755" s="5" t="s">
        <v>8270</v>
      </c>
      <c r="B6755" s="5" t="s">
        <v>8271</v>
      </c>
      <c r="C6755" s="5" t="str">
        <f>IFERROR(__xludf.DUMMYFUNCTION("GOOGLETRANSLATE(A6755,""en"",""hy"")"),"Ո՞րն է Գերմանիայի պաշտոնական լեզուն:")</f>
        <v>Ո՞րն է Գերմանիայի պաշտոնական լեզուն:</v>
      </c>
      <c r="D6755" s="6" t="str">
        <f>IFERROR(__xludf.DUMMYFUNCTION("GOOGLETRANSLATE(B6755,""en"",""hy"")"),"Գերմանիայի պաշտոնական լեզուն գերմաներենն է։")</f>
        <v>Գերմանիայի պաշտոնական լեզուն գերմաներենն է։</v>
      </c>
    </row>
    <row r="6756">
      <c r="A6756" s="5" t="s">
        <v>8084</v>
      </c>
      <c r="B6756" s="5" t="s">
        <v>7783</v>
      </c>
      <c r="C6756" s="5" t="str">
        <f>IFERROR(__xludf.DUMMYFUNCTION("GOOGLETRANSLATE(A6756,""en"",""hy"")"),"Ո՞րն է Աֆրիկայի ամենամեծ անապատը:")</f>
        <v>Ո՞րն է Աֆրիկայի ամենամեծ անապատը:</v>
      </c>
      <c r="D6756" s="6" t="str">
        <f>IFERROR(__xludf.DUMMYFUNCTION("GOOGLETRANSLATE(B6756,""en"",""hy"")"),"Սահարա անապատ.")</f>
        <v>Սահարա անապատ.</v>
      </c>
    </row>
    <row r="6757">
      <c r="A6757" s="5" t="s">
        <v>7447</v>
      </c>
      <c r="B6757" s="5" t="s">
        <v>7448</v>
      </c>
      <c r="C6757" s="5" t="str">
        <f>IFERROR(__xludf.DUMMYFUNCTION("GOOGLETRANSLATE(A6757,""en"",""hy"")"),"Ո՞վ է նկարել Մոնա Լիզան:")</f>
        <v>Ո՞վ է նկարել Մոնա Լիզան:</v>
      </c>
      <c r="D6757" s="6" t="str">
        <f>IFERROR(__xludf.DUMMYFUNCTION("GOOGLETRANSLATE(B6757,""en"",""hy"")"),"Լեոնարդո դա Վինչի.")</f>
        <v>Լեոնարդո դա Վինչի.</v>
      </c>
    </row>
    <row r="6758">
      <c r="A6758" s="5" t="s">
        <v>8372</v>
      </c>
      <c r="B6758" s="5" t="s">
        <v>9209</v>
      </c>
      <c r="C6758" s="5" t="str">
        <f>IFERROR(__xludf.DUMMYFUNCTION("GOOGLETRANSLATE(A6758,""en"",""hy"")"),"Ո՞րն է Ճապոնիայի ազգային կենդանին:")</f>
        <v>Ո՞րն է Ճապոնիայի ազգային կենդանին:</v>
      </c>
      <c r="D6758" s="6" t="str">
        <f>IFERROR(__xludf.DUMMYFUNCTION("GOOGLETRANSLATE(B6758,""en"",""hy"")"),"Ճապոնիայի ազգային կենդանին տանուկին է (ռակուն շուն):")</f>
        <v>Ճապոնիայի ազգային կենդանին տանուկին է (ռակուն շուն):</v>
      </c>
    </row>
    <row r="6759">
      <c r="A6759" s="5" t="s">
        <v>9210</v>
      </c>
      <c r="B6759" s="5" t="s">
        <v>9211</v>
      </c>
      <c r="C6759" s="5" t="str">
        <f>IFERROR(__xludf.DUMMYFUNCTION("GOOGLETRANSLATE(A6759,""en"",""hy"")"),"Ո՞վ է հայտնաբերել շարժման օրենքները:")</f>
        <v>Ո՞վ է հայտնաբերել շարժման օրենքները:</v>
      </c>
      <c r="D6759" s="6" t="str">
        <f>IFERROR(__xludf.DUMMYFUNCTION("GOOGLETRANSLATE(B6759,""en"",""hy"")"),"Իսահակ Նյուտոնը հայտնաբերեց շարժման օրենքները:")</f>
        <v>Իսահակ Նյուտոնը հայտնաբերեց շարժման օրենքները:</v>
      </c>
    </row>
    <row r="6760">
      <c r="A6760" s="5" t="s">
        <v>9212</v>
      </c>
      <c r="B6760" s="5" t="s">
        <v>6334</v>
      </c>
      <c r="C6760" s="5" t="str">
        <f>IFERROR(__xludf.DUMMYFUNCTION("GOOGLETRANSLATE(A6760,""en"",""hy"")"),"Ո՞ր երկիրն է հայտնի Կոլիզեյով:")</f>
        <v>Ո՞ր երկիրն է հայտնի Կոլիզեյով:</v>
      </c>
      <c r="D6760" s="6" t="str">
        <f>IFERROR(__xludf.DUMMYFUNCTION("GOOGLETRANSLATE(B6760,""en"",""hy"")"),"Իտալիա.")</f>
        <v>Իտալիա.</v>
      </c>
    </row>
    <row r="6761">
      <c r="A6761" s="5" t="s">
        <v>7608</v>
      </c>
      <c r="B6761" s="5" t="s">
        <v>8413</v>
      </c>
      <c r="C6761" s="5" t="str">
        <f>IFERROR(__xludf.DUMMYFUNCTION("GOOGLETRANSLATE(A6761,""en"",""hy"")"),"Ո՞րն է Հնդկաստանի մայրաքաղաքը:")</f>
        <v>Ո՞րն է Հնդկաստանի մայրաքաղաքը:</v>
      </c>
      <c r="D6761" s="6" t="str">
        <f>IFERROR(__xludf.DUMMYFUNCTION("GOOGLETRANSLATE(B6761,""en"",""hy"")"),"Հնդկաստանի մայրաքաղաքը Նյու Դելին է։")</f>
        <v>Հնդկաստանի մայրաքաղաքը Նյու Դելին է։</v>
      </c>
    </row>
    <row r="6762">
      <c r="A6762" s="5" t="s">
        <v>8796</v>
      </c>
      <c r="B6762" s="5" t="s">
        <v>7558</v>
      </c>
      <c r="C6762" s="5" t="str">
        <f>IFERROR(__xludf.DUMMYFUNCTION("GOOGLETRANSLATE(A6762,""en"",""hy"")"),"Ո՞րն է երկաթի քիմիական նշանը պարբերական աղյուսակում:")</f>
        <v>Ո՞րն է երկաթի քիմիական նշանը պարբերական աղյուսակում:</v>
      </c>
      <c r="D6762" s="6" t="str">
        <f>IFERROR(__xludf.DUMMYFUNCTION("GOOGLETRANSLATE(B6762,""en"",""hy"")"),"Ֆե")</f>
        <v>Ֆե</v>
      </c>
    </row>
    <row r="6763">
      <c r="A6763" s="5" t="s">
        <v>7726</v>
      </c>
      <c r="B6763" s="5" t="s">
        <v>1016</v>
      </c>
      <c r="C6763" s="5" t="str">
        <f>IFERROR(__xludf.DUMMYFUNCTION("GOOGLETRANSLATE(A6763,""en"",""hy"")"),"Ո՞վ է գրել «Մակբեթ» պիեսը։")</f>
        <v>Ո՞վ է գրել «Մակբեթ» պիեսը։</v>
      </c>
      <c r="D6763" s="6" t="str">
        <f>IFERROR(__xludf.DUMMYFUNCTION("GOOGLETRANSLATE(B6763,""en"",""hy"")"),"Ուիլյամ Շեքսպիր.")</f>
        <v>Ուիլյամ Շեքսպիր.</v>
      </c>
    </row>
    <row r="6764">
      <c r="A6764" s="5" t="s">
        <v>8860</v>
      </c>
      <c r="B6764" s="5" t="s">
        <v>8861</v>
      </c>
      <c r="C6764" s="5" t="str">
        <f>IFERROR(__xludf.DUMMYFUNCTION("GOOGLETRANSLATE(A6764,""en"",""hy"")"),"Ո՞ր թվականին ավարտվեց Ամերիկայի քաղաքացիական պատերազմը:")</f>
        <v>Ո՞ր թվականին ավարտվեց Ամերիկայի քաղաքացիական պատերազմը:</v>
      </c>
      <c r="D6764" s="6" t="str">
        <f>IFERROR(__xludf.DUMMYFUNCTION("GOOGLETRANSLATE(B6764,""en"",""hy"")"),"Ամերիկյան քաղաքացիական պատերազմն ավարտվեց 1865 թվականին։")</f>
        <v>Ամերիկյան քաղաքացիական պատերազմն ավարտվեց 1865 թվականին։</v>
      </c>
    </row>
    <row r="6765">
      <c r="A6765" s="5" t="s">
        <v>8532</v>
      </c>
      <c r="B6765" s="5" t="s">
        <v>7712</v>
      </c>
      <c r="C6765" s="5" t="str">
        <f>IFERROR(__xludf.DUMMYFUNCTION("GOOGLETRANSLATE(A6765,""en"",""hy"")"),"Ո՞րն է ԱՄՆ-ի ամենամեծ քաղաքն ըստ բնակչության:")</f>
        <v>Ո՞րն է ԱՄՆ-ի ամենամեծ քաղաքն ըստ բնակչության:</v>
      </c>
      <c r="D6765" s="6" t="str">
        <f>IFERROR(__xludf.DUMMYFUNCTION("GOOGLETRANSLATE(B6765,""en"",""hy"")"),"Նյու Յորք քաղաք.")</f>
        <v>Նյու Յորք քաղաք.</v>
      </c>
    </row>
    <row r="6766">
      <c r="A6766" s="5" t="s">
        <v>9072</v>
      </c>
      <c r="B6766" s="5" t="s">
        <v>7745</v>
      </c>
      <c r="C6766" s="5" t="str">
        <f>IFERROR(__xludf.DUMMYFUNCTION("GOOGLETRANSLATE(A6766,""en"",""hy"")"),"Ո՞վ է նկարել «Հիշողության համառությունը»:")</f>
        <v>Ո՞վ է նկարել «Հիշողության համառությունը»:</v>
      </c>
      <c r="D6766" s="6" t="str">
        <f>IFERROR(__xludf.DUMMYFUNCTION("GOOGLETRANSLATE(B6766,""en"",""hy"")"),"Սալվադոր Դալի.")</f>
        <v>Սալվադոր Դալի.</v>
      </c>
    </row>
    <row r="6767">
      <c r="A6767" s="5" t="s">
        <v>8213</v>
      </c>
      <c r="B6767" s="5" t="s">
        <v>9213</v>
      </c>
      <c r="C6767" s="5" t="str">
        <f>IFERROR(__xludf.DUMMYFUNCTION("GOOGLETRANSLATE(A6767,""en"",""hy"")"),"Ո՞րն է Ռուսաստանի ազգային կենդանին:")</f>
        <v>Ո՞րն է Ռուսաստանի ազգային կենդանին:</v>
      </c>
      <c r="D6767" s="6" t="str">
        <f>IFERROR(__xludf.DUMMYFUNCTION("GOOGLETRANSLATE(B6767,""en"",""hy"")"),"Ռուսաստանի ազգային կենդանին ռուսական արջն է։")</f>
        <v>Ռուսաստանի ազգային կենդանին ռուսական արջն է։</v>
      </c>
    </row>
    <row r="6768">
      <c r="A6768" s="5" t="s">
        <v>8223</v>
      </c>
      <c r="B6768" s="5" t="s">
        <v>9214</v>
      </c>
      <c r="C6768" s="5" t="str">
        <f>IFERROR(__xludf.DUMMYFUNCTION("GOOGLETRANSLATE(A6768,""en"",""hy"")"),"Ո՞վ է հայտնաբերել էլեկտրաէներգիան:")</f>
        <v>Ո՞վ է հայտնաբերել էլեկտրաէներգիան:</v>
      </c>
      <c r="D6768" s="6" t="str">
        <f>IFERROR(__xludf.DUMMYFUNCTION("GOOGLETRANSLATE(B6768,""en"",""hy"")"),"Բենջամին Ֆրանկլին.")</f>
        <v>Բենջամին Ֆրանկլին.</v>
      </c>
    </row>
    <row r="6769">
      <c r="A6769" s="5" t="s">
        <v>9215</v>
      </c>
      <c r="B6769" s="5" t="s">
        <v>2790</v>
      </c>
      <c r="C6769" s="5" t="str">
        <f>IFERROR(__xludf.DUMMYFUNCTION("GOOGLETRANSLATE(A6769,""en"",""hy"")"),"Ո՞ր երկիրն է հայտնի Մեծ պարիսպով:")</f>
        <v>Ո՞ր երկիրն է հայտնի Մեծ պարիսպով:</v>
      </c>
      <c r="D6769" s="6" t="str">
        <f>IFERROR(__xludf.DUMMYFUNCTION("GOOGLETRANSLATE(B6769,""en"",""hy"")"),"Չինաստան.")</f>
        <v>Չինաստան.</v>
      </c>
    </row>
    <row r="6770">
      <c r="A6770" s="5" t="s">
        <v>8142</v>
      </c>
      <c r="B6770" s="5" t="s">
        <v>9216</v>
      </c>
      <c r="C6770" s="5" t="str">
        <f>IFERROR(__xludf.DUMMYFUNCTION("GOOGLETRANSLATE(A6770,""en"",""hy"")"),"Ո՞վ է Ավստրալիայի ներկայիս վարչապետը:")</f>
        <v>Ո՞վ է Ավստրալիայի ներկայիս վարչապետը:</v>
      </c>
      <c r="D6770" s="6" t="str">
        <f>IFERROR(__xludf.DUMMYFUNCTION("GOOGLETRANSLATE(B6770,""en"",""hy"")"),"Ավստրալիայի ներկայիս վարչապետը Սքոթ Մորիսոնն է։")</f>
        <v>Ավստրալիայի ներկայիս վարչապետը Սքոթ Մորիսոնն է։</v>
      </c>
    </row>
    <row r="6771">
      <c r="A6771" s="5" t="s">
        <v>9217</v>
      </c>
      <c r="B6771" s="5" t="s">
        <v>9218</v>
      </c>
      <c r="C6771" s="5" t="str">
        <f>IFERROR(__xludf.DUMMYFUNCTION("GOOGLETRANSLATE(A6771,""en"",""hy"")"),"Ո՞ր թվականին է սև մահը տեղի ունեցել Եվրոպայում:")</f>
        <v>Ո՞ր թվականին է սև մահը տեղի ունեցել Եվրոպայում:</v>
      </c>
      <c r="D6771" s="6" t="str">
        <f>IFERROR(__xludf.DUMMYFUNCTION("GOOGLETRANSLATE(B6771,""en"",""hy"")"),"Սև մահը տեղի ունեցավ Եվրոպայում 1347 թվականին։")</f>
        <v>Սև մահը տեղի ունեցավ Եվրոպայում 1347 թվականին։</v>
      </c>
    </row>
    <row r="6772">
      <c r="A6772" s="5" t="s">
        <v>7574</v>
      </c>
      <c r="B6772" s="5" t="s">
        <v>7525</v>
      </c>
      <c r="C6772" s="5" t="str">
        <f>IFERROR(__xludf.DUMMYFUNCTION("GOOGLETRANSLATE(A6772,""en"",""hy"")"),"Ո՞րն է Չինաստանի մայրաքաղաքը:")</f>
        <v>Ո՞րն է Չինաստանի մայրաքաղաքը:</v>
      </c>
      <c r="D6772" s="6" t="str">
        <f>IFERROR(__xludf.DUMMYFUNCTION("GOOGLETRANSLATE(B6772,""en"",""hy"")"),"Պեկին.")</f>
        <v>Պեկին.</v>
      </c>
    </row>
    <row r="6773">
      <c r="A6773" s="5" t="s">
        <v>8799</v>
      </c>
      <c r="B6773" s="5" t="s">
        <v>7510</v>
      </c>
      <c r="C6773" s="5" t="str">
        <f>IFERROR(__xludf.DUMMYFUNCTION("GOOGLETRANSLATE(A6773,""en"",""hy"")"),"Ո՞րն է արծաթի քիմիական նշանը պարբերական աղյուսակում:")</f>
        <v>Ո՞րն է արծաթի քիմիական նշանը պարբերական աղյուսակում:</v>
      </c>
      <c r="D6773" s="6" t="str">
        <f>IFERROR(__xludf.DUMMYFUNCTION("GOOGLETRANSLATE(B6773,""en"",""hy"")"),"Ագ")</f>
        <v>Ագ</v>
      </c>
    </row>
    <row r="6774">
      <c r="A6774" s="5" t="s">
        <v>7737</v>
      </c>
      <c r="B6774" s="5" t="s">
        <v>7560</v>
      </c>
      <c r="C6774" s="5" t="str">
        <f>IFERROR(__xludf.DUMMYFUNCTION("GOOGLETRANSLATE(A6774,""en"",""hy"")"),"Ո՞վ է գրել «Շորայի մեջ բռնողը» վեպը:")</f>
        <v>Ո՞վ է գրել «Շորայի մեջ բռնողը» վեպը:</v>
      </c>
      <c r="D6774" s="6" t="str">
        <f>IFERROR(__xludf.DUMMYFUNCTION("GOOGLETRANSLATE(B6774,""en"",""hy"")"),"Ջ.Դ.Սելինջեր.")</f>
        <v>Ջ.Դ.Սելինջեր.</v>
      </c>
    </row>
    <row r="6775">
      <c r="A6775" s="5" t="s">
        <v>8280</v>
      </c>
      <c r="B6775" s="5" t="s">
        <v>8281</v>
      </c>
      <c r="C6775" s="5" t="str">
        <f>IFERROR(__xludf.DUMMYFUNCTION("GOOGLETRANSLATE(A6775,""en"",""hy"")"),"Ո՞րն է Ֆրանսիայի պաշտոնական լեզուն:")</f>
        <v>Ո՞րն է Ֆրանսիայի պաշտոնական լեզուն:</v>
      </c>
      <c r="D6775" s="6" t="str">
        <f>IFERROR(__xludf.DUMMYFUNCTION("GOOGLETRANSLATE(B6775,""en"",""hy"")"),"Ֆրանսիայի պաշտոնական լեզուն ֆրանսերենն է։")</f>
        <v>Ֆրանսիայի պաշտոնական լեզուն ֆրանսերենն է։</v>
      </c>
    </row>
    <row r="6776">
      <c r="A6776" s="5" t="s">
        <v>9184</v>
      </c>
      <c r="B6776" s="5" t="s">
        <v>9185</v>
      </c>
      <c r="C6776" s="5" t="str">
        <f>IFERROR(__xludf.DUMMYFUNCTION("GOOGLETRANSLATE(A6776,""en"",""hy"")"),"Ո՞րն է Հյուսիսային Ամերիկայի ամենամեծ լիճը:")</f>
        <v>Ո՞րն է Հյուսիսային Ամերիկայի ամենամեծ լիճը:</v>
      </c>
      <c r="D6776" s="6" t="str">
        <f>IFERROR(__xludf.DUMMYFUNCTION("GOOGLETRANSLATE(B6776,""en"",""hy"")"),"Հյուսիսային Ամերիկայի ամենամեծ լիճը Սուպերիոր լիճն է։")</f>
        <v>Հյուսիսային Ամերիկայի ամենամեծ լիճը Սուպերիոր լիճն է։</v>
      </c>
    </row>
    <row r="6777">
      <c r="A6777" s="5" t="s">
        <v>7647</v>
      </c>
      <c r="B6777" s="5" t="s">
        <v>7648</v>
      </c>
      <c r="C6777" s="5" t="str">
        <f>IFERROR(__xludf.DUMMYFUNCTION("GOOGLETRANSLATE(A6777,""en"",""hy"")"),"Ո՞վ է նկարել «Աստղային գիշերը»:")</f>
        <v>Ո՞վ է նկարել «Աստղային գիշերը»:</v>
      </c>
      <c r="D6777" s="6" t="str">
        <f>IFERROR(__xludf.DUMMYFUNCTION("GOOGLETRANSLATE(B6777,""en"",""hy"")"),"Վինսենթ վան Գոգ.")</f>
        <v>Վինսենթ վան Գոգ.</v>
      </c>
    </row>
    <row r="6778">
      <c r="A6778" s="5" t="s">
        <v>8233</v>
      </c>
      <c r="B6778" s="5" t="s">
        <v>9033</v>
      </c>
      <c r="C6778" s="5" t="str">
        <f>IFERROR(__xludf.DUMMYFUNCTION("GOOGLETRANSLATE(A6778,""en"",""hy"")"),"Ո՞րն է Գերմանիայի ազգային կենդանին:")</f>
        <v>Ո՞րն է Գերմանիայի ազգային կենդանին:</v>
      </c>
      <c r="D6778" s="6" t="str">
        <f>IFERROR(__xludf.DUMMYFUNCTION("GOOGLETRANSLATE(B6778,""en"",""hy"")"),"Գերմանիայի ազգային կենդանին արծիվն է։")</f>
        <v>Գերմանիայի ազգային կենդանին արծիվն է։</v>
      </c>
    </row>
    <row r="6779">
      <c r="A6779" s="5" t="s">
        <v>9210</v>
      </c>
      <c r="B6779" s="5" t="s">
        <v>8192</v>
      </c>
      <c r="C6779" s="5" t="str">
        <f>IFERROR(__xludf.DUMMYFUNCTION("GOOGLETRANSLATE(A6779,""en"",""hy"")"),"Ո՞վ է հայտնաբերել շարժման օրենքները:")</f>
        <v>Ո՞վ է հայտնաբերել շարժման օրենքները:</v>
      </c>
      <c r="D6779" s="6" t="str">
        <f>IFERROR(__xludf.DUMMYFUNCTION("GOOGLETRANSLATE(B6779,""en"",""hy"")"),"Իսահակ Նյուտոն")</f>
        <v>Իսահակ Նյուտոն</v>
      </c>
    </row>
    <row r="6780">
      <c r="A6780" s="5" t="s">
        <v>9219</v>
      </c>
      <c r="B6780" s="5" t="s">
        <v>7972</v>
      </c>
      <c r="C6780" s="5" t="str">
        <f>IFERROR(__xludf.DUMMYFUNCTION("GOOGLETRANSLATE(A6780,""en"",""hy"")"),"Ո՞ր երկիրն է հայտնի Էյֆելյան աշտարակով:")</f>
        <v>Ո՞ր երկիրն է հայտնի Էյֆելյան աշտարակով:</v>
      </c>
      <c r="D6780" s="6" t="str">
        <f>IFERROR(__xludf.DUMMYFUNCTION("GOOGLETRANSLATE(B6780,""en"",""hy"")"),"Ֆրանսիա.")</f>
        <v>Ֆրանսիա.</v>
      </c>
    </row>
    <row r="6781">
      <c r="A6781" s="5" t="s">
        <v>7627</v>
      </c>
      <c r="B6781" s="5" t="s">
        <v>8170</v>
      </c>
      <c r="C6781" s="5" t="str">
        <f>IFERROR(__xludf.DUMMYFUNCTION("GOOGLETRANSLATE(A6781,""en"",""hy"")"),"Ո՞րն է Ֆրանսիայի մայրաքաղաքը:")</f>
        <v>Ո՞րն է Ֆրանսիայի մայրաքաղաքը:</v>
      </c>
      <c r="D6781" s="6" t="str">
        <f>IFERROR(__xludf.DUMMYFUNCTION("GOOGLETRANSLATE(B6781,""en"",""hy"")"),"Փարիզ")</f>
        <v>Փարիզ</v>
      </c>
    </row>
    <row r="6782">
      <c r="A6782" s="5" t="s">
        <v>7447</v>
      </c>
      <c r="B6782" s="5" t="s">
        <v>7448</v>
      </c>
      <c r="C6782" s="5" t="str">
        <f>IFERROR(__xludf.DUMMYFUNCTION("GOOGLETRANSLATE(A6782,""en"",""hy"")"),"Ո՞վ է նկարել Մոնա Լիզան:")</f>
        <v>Ո՞վ է նկարել Մոնա Լիզան:</v>
      </c>
      <c r="D6782" s="6" t="str">
        <f>IFERROR(__xludf.DUMMYFUNCTION("GOOGLETRANSLATE(B6782,""en"",""hy"")"),"Լեոնարդո դա Վինչի.")</f>
        <v>Լեոնարդո դա Վինչի.</v>
      </c>
    </row>
    <row r="6783">
      <c r="A6783" s="5" t="s">
        <v>8247</v>
      </c>
      <c r="B6783" s="5" t="s">
        <v>7181</v>
      </c>
      <c r="C6783" s="5" t="str">
        <f>IFERROR(__xludf.DUMMYFUNCTION("GOOGLETRANSLATE(A6783,""en"",""hy"")"),"Ո՞ր երկրում է գտնվում Մեծ արգելախութը:")</f>
        <v>Ո՞ր երկրում է գտնվում Մեծ արգելախութը:</v>
      </c>
      <c r="D6783" s="6" t="str">
        <f>IFERROR(__xludf.DUMMYFUNCTION("GOOGLETRANSLATE(B6783,""en"",""hy"")"),"Ավստրալիա")</f>
        <v>Ավստրալիա</v>
      </c>
    </row>
    <row r="6784">
      <c r="A6784" s="5" t="s">
        <v>7632</v>
      </c>
      <c r="B6784" s="5" t="s">
        <v>7633</v>
      </c>
      <c r="C6784" s="5" t="str">
        <f>IFERROR(__xludf.DUMMYFUNCTION("GOOGLETRANSLATE(A6784,""en"",""hy"")"),"Ո՞րն է մեր արեգակնային համակարգի ամենամեծ մոլորակը:")</f>
        <v>Ո՞րն է մեր արեգակնային համակարգի ամենամեծ մոլորակը:</v>
      </c>
      <c r="D6784" s="6" t="str">
        <f>IFERROR(__xludf.DUMMYFUNCTION("GOOGLETRANSLATE(B6784,""en"",""hy"")"),"Յուպիտեր.")</f>
        <v>Յուպիտեր.</v>
      </c>
    </row>
    <row r="6785">
      <c r="A6785" s="5" t="s">
        <v>8876</v>
      </c>
      <c r="B6785" s="5" t="s">
        <v>7486</v>
      </c>
      <c r="C6785" s="5" t="str">
        <f>IFERROR(__xludf.DUMMYFUNCTION("GOOGLETRANSLATE(A6785,""en"",""hy"")"),"Ո՞վ է գրել Հարրի Փոթերի շարքը:")</f>
        <v>Ո՞վ է գրել Հարրի Փոթերի շարքը:</v>
      </c>
      <c r="D6785" s="6" t="str">
        <f>IFERROR(__xludf.DUMMYFUNCTION("GOOGLETRANSLATE(B6785,""en"",""hy"")"),"Ջ.Կ. Ռոուլինգ.")</f>
        <v>Ջ.Կ. Ռոուլինգ.</v>
      </c>
    </row>
    <row r="6786">
      <c r="A6786" s="5" t="s">
        <v>7467</v>
      </c>
      <c r="B6786" s="5" t="s">
        <v>7468</v>
      </c>
      <c r="C6786" s="5" t="str">
        <f>IFERROR(__xludf.DUMMYFUNCTION("GOOGLETRANSLATE(A6786,""en"",""hy"")"),"Ո՞րն է Ճապոնիայի արժույթը:")</f>
        <v>Ո՞րն է Ճապոնիայի արժույթը:</v>
      </c>
      <c r="D6786" s="6" t="str">
        <f>IFERROR(__xludf.DUMMYFUNCTION("GOOGLETRANSLATE(B6786,""en"",""hy"")"),"Ճապոնիայի արժույթը ճապոնական իենն է։")</f>
        <v>Ճապոնիայի արժույթը ճապոնական իենն է։</v>
      </c>
    </row>
    <row r="6787">
      <c r="A6787" s="5" t="s">
        <v>8108</v>
      </c>
      <c r="B6787" s="5" t="s">
        <v>7556</v>
      </c>
      <c r="C6787" s="5" t="str">
        <f>IFERROR(__xludf.DUMMYFUNCTION("GOOGLETRANSLATE(A6787,""en"",""hy"")"),"Ո՞ր հայտնի գիտնականն է մշակել հարաբերականության տեսությունը:")</f>
        <v>Ո՞ր հայտնի գիտնականն է մշակել հարաբերականության տեսությունը:</v>
      </c>
      <c r="D6787" s="6" t="str">
        <f>IFERROR(__xludf.DUMMYFUNCTION("GOOGLETRANSLATE(B6787,""en"",""hy"")"),"Albert Einstein.")</f>
        <v>Albert Einstein.</v>
      </c>
    </row>
    <row r="6788">
      <c r="A6788" s="5" t="s">
        <v>7566</v>
      </c>
      <c r="B6788" s="5" t="s">
        <v>7567</v>
      </c>
      <c r="C6788" s="5" t="str">
        <f>IFERROR(__xludf.DUMMYFUNCTION("GOOGLETRANSLATE(A6788,""en"",""hy"")"),"Ո՞վ է Կանադայի ներկայիս վարչապետը:")</f>
        <v>Ո՞վ է Կանադայի ներկայիս վարչապետը:</v>
      </c>
      <c r="D6788" s="6" t="str">
        <f>IFERROR(__xludf.DUMMYFUNCTION("GOOGLETRANSLATE(B6788,""en"",""hy"")"),"Ջասթին Թրյուդո")</f>
        <v>Ջասթին Թրյուդո</v>
      </c>
    </row>
    <row r="6789">
      <c r="A6789" s="5" t="s">
        <v>7670</v>
      </c>
      <c r="B6789" s="5" t="s">
        <v>9220</v>
      </c>
      <c r="C6789" s="5" t="str">
        <f>IFERROR(__xludf.DUMMYFUNCTION("GOOGLETRANSLATE(A6789,""en"",""hy"")"),"Ո՞րն է աշխարհի ամենաերկար գետը:")</f>
        <v>Ո՞րն է աշխարհի ամենաերկար գետը:</v>
      </c>
      <c r="D6789" s="6" t="str">
        <f>IFERROR(__xludf.DUMMYFUNCTION("GOOGLETRANSLATE(B6789,""en"",""hy"")"),"Աշխարհի ամենաերկար գետը Նեղոսն է։")</f>
        <v>Աշխարհի ամենաերկար գետը Նեղոսն է։</v>
      </c>
    </row>
    <row r="6790">
      <c r="A6790" s="5" t="s">
        <v>7789</v>
      </c>
      <c r="B6790" s="5" t="s">
        <v>7790</v>
      </c>
      <c r="C6790" s="5" t="str">
        <f>IFERROR(__xludf.DUMMYFUNCTION("GOOGLETRANSLATE(A6790,""en"",""hy"")"),"Ո՞վ է հունական ամպրոպի աստվածը:")</f>
        <v>Ո՞վ է հունական ամպրոպի աստվածը:</v>
      </c>
      <c r="D6790" s="6" t="str">
        <f>IFERROR(__xludf.DUMMYFUNCTION("GOOGLETRANSLATE(B6790,""en"",""hy"")"),"Հունական ամպրոպի աստվածը Զևսն է:")</f>
        <v>Հունական ամպրոպի աստվածը Զևսն է:</v>
      </c>
    </row>
    <row r="6791">
      <c r="A6791" s="5" t="s">
        <v>8240</v>
      </c>
      <c r="B6791" s="5" t="s">
        <v>7635</v>
      </c>
      <c r="C6791" s="5" t="str">
        <f>IFERROR(__xludf.DUMMYFUNCTION("GOOGLETRANSLATE(A6791,""en"",""hy"")"),"Ո՞վ էր առաջին մարդը, ով ոտք դրեց լուսնի վրա:")</f>
        <v>Ո՞վ էր առաջին մարդը, ով ոտք դրեց լուսնի վրա:</v>
      </c>
      <c r="D6791" s="6" t="str">
        <f>IFERROR(__xludf.DUMMYFUNCTION("GOOGLETRANSLATE(B6791,""en"",""hy"")"),"Նիլ Արմսթրոնգ.")</f>
        <v>Նիլ Արմսթրոնգ.</v>
      </c>
    </row>
    <row r="6792">
      <c r="A6792" s="5" t="s">
        <v>7791</v>
      </c>
      <c r="B6792" s="5" t="s">
        <v>8128</v>
      </c>
      <c r="C6792" s="5" t="str">
        <f>IFERROR(__xludf.DUMMYFUNCTION("GOOGLETRANSLATE(A6792,""en"",""hy"")"),"Ո՞րն է Ավստրալիայի ազգային կենդանին:")</f>
        <v>Ո՞րն է Ավստրալիայի ազգային կենդանին:</v>
      </c>
      <c r="D6792" s="6" t="str">
        <f>IFERROR(__xludf.DUMMYFUNCTION("GOOGLETRANSLATE(B6792,""en"",""hy"")"),"Կենգուրու.")</f>
        <v>Կենգուրու.</v>
      </c>
    </row>
    <row r="6793">
      <c r="A6793" s="5" t="s">
        <v>7463</v>
      </c>
      <c r="B6793" s="5" t="s">
        <v>7464</v>
      </c>
      <c r="C6793" s="5" t="str">
        <f>IFERROR(__xludf.DUMMYFUNCTION("GOOGLETRANSLATE(A6793,""en"",""hy"")"),"Ո՞րն է աշխարհի ամենաբարձր լեռը:")</f>
        <v>Ո՞րն է աշխարհի ամենաբարձր լեռը:</v>
      </c>
      <c r="D6793" s="6" t="str">
        <f>IFERROR(__xludf.DUMMYFUNCTION("GOOGLETRANSLATE(B6793,""en"",""hy"")"),"Էվերեստ լեռ.")</f>
        <v>Էվերեստ լեռ.</v>
      </c>
    </row>
    <row r="6794">
      <c r="A6794" s="5" t="s">
        <v>8519</v>
      </c>
      <c r="B6794" s="5" t="s">
        <v>1016</v>
      </c>
      <c r="C6794" s="5" t="str">
        <f>IFERROR(__xludf.DUMMYFUNCTION("GOOGLETRANSLATE(A6794,""en"",""hy"")"),"Ո՞ր հայտնի դրամատուրգն է գրել Ռոմեո և Ջուլիետ:")</f>
        <v>Ո՞ր հայտնի դրամատուրգն է գրել Ռոմեո և Ջուլիետ:</v>
      </c>
      <c r="D6794" s="6" t="str">
        <f>IFERROR(__xludf.DUMMYFUNCTION("GOOGLETRANSLATE(B6794,""en"",""hy"")"),"Ուիլյամ Շեքսպիր.")</f>
        <v>Ուիլյամ Շեքսպիր.</v>
      </c>
    </row>
    <row r="6795">
      <c r="A6795" s="5" t="s">
        <v>7513</v>
      </c>
      <c r="B6795" s="5" t="s">
        <v>8337</v>
      </c>
      <c r="C6795" s="5" t="str">
        <f>IFERROR(__xludf.DUMMYFUNCTION("GOOGLETRANSLATE(A6795,""en"",""hy"")"),"Ո՞րն է աշխարհի ամենամեծ անապատը:")</f>
        <v>Ո՞րն է աշխարհի ամենամեծ անապատը:</v>
      </c>
      <c r="D6795" s="6" t="str">
        <f>IFERROR(__xludf.DUMMYFUNCTION("GOOGLETRANSLATE(B6795,""en"",""hy"")"),"Աշխարհի ամենամեծ անապատը Անտարկտիդայի անապատն է։")</f>
        <v>Աշխարհի ամենամեծ անապատը Անտարկտիդայի անապատն է։</v>
      </c>
    </row>
    <row r="6796">
      <c r="A6796" s="5" t="s">
        <v>7647</v>
      </c>
      <c r="B6796" s="5" t="s">
        <v>7492</v>
      </c>
      <c r="C6796" s="5" t="str">
        <f>IFERROR(__xludf.DUMMYFUNCTION("GOOGLETRANSLATE(A6796,""en"",""hy"")"),"Ո՞վ է նկարել «Աստղային գիշերը»:")</f>
        <v>Ո՞վ է նկարել «Աստղային գիշերը»:</v>
      </c>
      <c r="D6796" s="6" t="str">
        <f>IFERROR(__xludf.DUMMYFUNCTION("GOOGLETRANSLATE(B6796,""en"",""hy"")"),"Վինսենթ վան Գոգ")</f>
        <v>Վինսենթ վան Գոգ</v>
      </c>
    </row>
    <row r="6797">
      <c r="A6797" s="5" t="s">
        <v>8472</v>
      </c>
      <c r="B6797" s="5" t="s">
        <v>7466</v>
      </c>
      <c r="C6797" s="5" t="str">
        <f>IFERROR(__xludf.DUMMYFUNCTION("GOOGLETRANSLATE(A6797,""en"",""hy"")"),"Ո՞վ է «Հպարտություն և նախապաշարմունք» վեպի հեղինակը.")</f>
        <v>Ո՞վ է «Հպարտություն և նախապաշարմունք» վեպի հեղինակը.</v>
      </c>
      <c r="D6797" s="6" t="str">
        <f>IFERROR(__xludf.DUMMYFUNCTION("GOOGLETRANSLATE(B6797,""en"",""hy"")"),"Ջեյն Օսթին")</f>
        <v>Ջեյն Օսթին</v>
      </c>
    </row>
    <row r="6798">
      <c r="A6798" s="5" t="s">
        <v>7845</v>
      </c>
      <c r="B6798" s="5" t="s">
        <v>3533</v>
      </c>
      <c r="C6798" s="5" t="str">
        <f>IFERROR(__xludf.DUMMYFUNCTION("GOOGLETRANSLATE(A6798,""en"",""hy"")"),"Ո՞րն է Բրազիլիայի պաշտոնական լեզուն:")</f>
        <v>Ո՞րն է Բրազիլիայի պաշտոնական լեզուն:</v>
      </c>
      <c r="D6798" s="6" t="str">
        <f>IFERROR(__xludf.DUMMYFUNCTION("GOOGLETRANSLATE(B6798,""en"",""hy"")"),"Բրազիլիայի պաշտոնական լեզուն պորտուգալերենն է։")</f>
        <v>Բրազիլիայի պաշտոնական լեզուն պորտուգալերենն է։</v>
      </c>
    </row>
    <row r="6799">
      <c r="A6799" s="5" t="s">
        <v>8297</v>
      </c>
      <c r="B6799" s="5" t="s">
        <v>7535</v>
      </c>
      <c r="C6799" s="5" t="str">
        <f>IFERROR(__xludf.DUMMYFUNCTION("GOOGLETRANSLATE(A6799,""en"",""hy"")"),"Ո՞ւմ է վերագրվում հեռախոսի հայտնագործությունը:")</f>
        <v>Ո՞ւմ է վերագրվում հեռախոսի հայտնագործությունը:</v>
      </c>
      <c r="D6799" s="6" t="str">
        <f>IFERROR(__xludf.DUMMYFUNCTION("GOOGLETRANSLATE(B6799,""en"",""hy"")"),"Ալեքսանդր Գրեհեմ Բել.")</f>
        <v>Ալեքսանդր Գրեհեմ Բել.</v>
      </c>
    </row>
    <row r="6800">
      <c r="A6800" s="5" t="s">
        <v>7461</v>
      </c>
      <c r="B6800" s="5" t="s">
        <v>7462</v>
      </c>
      <c r="C6800" s="5" t="str">
        <f>IFERROR(__xludf.DUMMYFUNCTION("GOOGLETRANSLATE(A6800,""en"",""hy"")"),"Ո՞րն է մարդու մարմնի ամենամեծ օրգանը:")</f>
        <v>Ո՞րն է մարդու մարմնի ամենամեծ օրգանը:</v>
      </c>
      <c r="D6800" s="6" t="str">
        <f>IFERROR(__xludf.DUMMYFUNCTION("GOOGLETRANSLATE(B6800,""en"",""hy"")"),"Մաշկը.")</f>
        <v>Մաշկը.</v>
      </c>
    </row>
    <row r="6801">
      <c r="A6801" s="5" t="s">
        <v>7480</v>
      </c>
      <c r="B6801" s="5" t="s">
        <v>7481</v>
      </c>
      <c r="C6801" s="5" t="str">
        <f>IFERROR(__xludf.DUMMYFUNCTION("GOOGLETRANSLATE(A6801,""en"",""hy"")"),"Ո՞րն է Միացյալ Նահանգների ազգային թռչունը:")</f>
        <v>Ո՞րն է Միացյալ Նահանգների ազգային թռչունը:</v>
      </c>
      <c r="D6801" s="6" t="str">
        <f>IFERROR(__xludf.DUMMYFUNCTION("GOOGLETRANSLATE(B6801,""en"",""hy"")"),"Միացյալ Նահանգների ազգային թռչունը ճաղատ արծիվն է։")</f>
        <v>Միացյալ Նահանգների ազգային թռչունը ճաղատ արծիվն է։</v>
      </c>
    </row>
    <row r="6802">
      <c r="A6802" s="5" t="s">
        <v>9221</v>
      </c>
      <c r="B6802" s="5" t="s">
        <v>7448</v>
      </c>
      <c r="C6802" s="5" t="str">
        <f>IFERROR(__xludf.DUMMYFUNCTION("GOOGLETRANSLATE(A6802,""en"",""hy"")"),"Ո՞ր հայտնի նկարիչն է հայտնի իր «Վերջին ընթրիք» կտավով։")</f>
        <v>Ո՞ր հայտնի նկարիչն է հայտնի իր «Վերջին ընթրիք» կտավով։</v>
      </c>
      <c r="D6802" s="6" t="str">
        <f>IFERROR(__xludf.DUMMYFUNCTION("GOOGLETRANSLATE(B6802,""en"",""hy"")"),"Լեոնարդո դա Վինչի.")</f>
        <v>Լեոնարդո դա Վինչի.</v>
      </c>
    </row>
    <row r="6803">
      <c r="A6803" s="5" t="s">
        <v>7452</v>
      </c>
      <c r="B6803" s="5" t="s">
        <v>7453</v>
      </c>
      <c r="C6803" s="5" t="str">
        <f>IFERROR(__xludf.DUMMYFUNCTION("GOOGLETRANSLATE(A6803,""en"",""hy"")"),"Ո՞րն է ոսկու քիմիական նշանը:")</f>
        <v>Ո՞րն է ոսկու քիմիական նշանը:</v>
      </c>
      <c r="D6803" s="6" t="str">
        <f>IFERROR(__xludf.DUMMYFUNCTION("GOOGLETRANSLATE(B6803,""en"",""hy"")"),"Ոսկու քիմիական նշանը Au-ն է:")</f>
        <v>Ոսկու քիմիական նշանը Au-ն է:</v>
      </c>
    </row>
    <row r="6804">
      <c r="A6804" s="5" t="s">
        <v>7655</v>
      </c>
      <c r="B6804" s="5" t="s">
        <v>7656</v>
      </c>
      <c r="C6804" s="5" t="str">
        <f>IFERROR(__xludf.DUMMYFUNCTION("GOOGLETRANSLATE(A6804,""en"",""hy"")"),"Ո՞վ է գրել «Ագռավը» բանաստեղծությունը:")</f>
        <v>Ո՞վ է գրել «Ագռավը» բանաստեղծությունը:</v>
      </c>
      <c r="D6804" s="6" t="str">
        <f>IFERROR(__xludf.DUMMYFUNCTION("GOOGLETRANSLATE(B6804,""en"",""hy"")"),"Էդգար Ալան Պո.")</f>
        <v>Էդգար Ալան Պո.</v>
      </c>
    </row>
    <row r="6805">
      <c r="A6805" s="5" t="s">
        <v>9222</v>
      </c>
      <c r="B6805" s="5" t="s">
        <v>9223</v>
      </c>
      <c r="C6805" s="5" t="str">
        <f>IFERROR(__xludf.DUMMYFUNCTION("GOOGLETRANSLATE(A6805,""en"",""hy"")"),"Ո՞րն է աշխարհի երրորդ ամենամեծ օվկիանոսը:")</f>
        <v>Ո՞րն է աշխարհի երրորդ ամենամեծ օվկիանոսը:</v>
      </c>
      <c r="D6805" s="6" t="str">
        <f>IFERROR(__xludf.DUMMYFUNCTION("GOOGLETRANSLATE(B6805,""en"",""hy"")"),"Հնդկական օվկիանոս.")</f>
        <v>Հնդկական օվկիանոս.</v>
      </c>
    </row>
    <row r="6806">
      <c r="A6806" s="5" t="s">
        <v>8938</v>
      </c>
      <c r="B6806" s="5" t="s">
        <v>9224</v>
      </c>
      <c r="C6806" s="5" t="str">
        <f>IFERROR(__xludf.DUMMYFUNCTION("GOOGLETRANSLATE(A6806,""en"",""hy"")"),"Ո՞րն է Աֆրիկայի ամենամեծ երկիրը ցամաքային տարածքով:")</f>
        <v>Ո՞րն է Աֆրիկայի ամենամեծ երկիրը ցամաքային տարածքով:</v>
      </c>
      <c r="D6806" s="6" t="str">
        <f>IFERROR(__xludf.DUMMYFUNCTION("GOOGLETRANSLATE(B6806,""en"",""hy"")"),"Աֆրիկայի ամենամեծ երկիրը ցամաքային տարածքով Ալժիրն է։")</f>
        <v>Աֆրիկայի ամենամեծ երկիրը ցամաքային տարածքով Ալժիրն է։</v>
      </c>
    </row>
    <row r="6807">
      <c r="A6807" s="5" t="s">
        <v>8325</v>
      </c>
      <c r="B6807" s="5" t="s">
        <v>8326</v>
      </c>
      <c r="C6807" s="5" t="str">
        <f>IFERROR(__xludf.DUMMYFUNCTION("GOOGLETRANSLATE(A6807,""en"",""hy"")"),"Ո՞վ է հունական սիրո և գեղեցկության աստվածուհին:")</f>
        <v>Ո՞վ է հունական սիրո և գեղեցկության աստվածուհին:</v>
      </c>
      <c r="D6807" s="6" t="str">
        <f>IFERROR(__xludf.DUMMYFUNCTION("GOOGLETRANSLATE(B6807,""en"",""hy"")"),"Աֆրոդիտե.")</f>
        <v>Աֆրոդիտե.</v>
      </c>
    </row>
    <row r="6808">
      <c r="A6808" s="5" t="s">
        <v>7779</v>
      </c>
      <c r="B6808" s="5" t="s">
        <v>7446</v>
      </c>
      <c r="C6808" s="5" t="str">
        <f>IFERROR(__xludf.DUMMYFUNCTION("GOOGLETRANSLATE(A6808,""en"",""hy"")"),"Ո՞ր մոլորակն է հայտնի որպես «Կարմիր մոլորակ»:")</f>
        <v>Ո՞ր մոլորակն է հայտնի որպես «Կարմիր մոլորակ»:</v>
      </c>
      <c r="D6808" s="6" t="str">
        <f>IFERROR(__xludf.DUMMYFUNCTION("GOOGLETRANSLATE(B6808,""en"",""hy"")"),"Մարս.")</f>
        <v>Մարս.</v>
      </c>
    </row>
    <row r="6809">
      <c r="A6809" s="5" t="s">
        <v>7473</v>
      </c>
      <c r="B6809" s="5" t="s">
        <v>7878</v>
      </c>
      <c r="C6809" s="5" t="str">
        <f>IFERROR(__xludf.DUMMYFUNCTION("GOOGLETRANSLATE(A6809,""en"",""hy"")"),"Ո՞վ է նկարել Սիքստինյան կապելլայի առաստաղը:")</f>
        <v>Ո՞վ է նկարել Սիքստինյան կապելլայի առաստաղը:</v>
      </c>
      <c r="D6809" s="6" t="str">
        <f>IFERROR(__xludf.DUMMYFUNCTION("GOOGLETRANSLATE(B6809,""en"",""hy"")"),"Միքելանջելո")</f>
        <v>Միքելանջելո</v>
      </c>
    </row>
    <row r="6810">
      <c r="A6810" s="5" t="s">
        <v>9225</v>
      </c>
      <c r="B6810" s="5" t="s">
        <v>9226</v>
      </c>
      <c r="C6810" s="5" t="str">
        <f>IFERROR(__xludf.DUMMYFUNCTION("GOOGLETRANSLATE(A6810,""en"",""hy"")"),"Մարդու մարմնի ո՞ր օրգանն է արտադրում ինսուլին:")</f>
        <v>Մարդու մարմնի ո՞ր օրգանն է արտադրում ինսուլին:</v>
      </c>
      <c r="D6810" s="6" t="str">
        <f>IFERROR(__xludf.DUMMYFUNCTION("GOOGLETRANSLATE(B6810,""en"",""hy"")"),"Ենթաստամոքսային գեղձը.")</f>
        <v>Ենթաստամոքսային գեղձը.</v>
      </c>
    </row>
    <row r="6811">
      <c r="A6811" s="5" t="s">
        <v>8161</v>
      </c>
      <c r="B6811" s="5" t="s">
        <v>8612</v>
      </c>
      <c r="C6811" s="5" t="str">
        <f>IFERROR(__xludf.DUMMYFUNCTION("GOOGLETRANSLATE(A6811,""en"",""hy"")"),"Ո՞րն է Ճապոնիայի ազգային ծաղիկը:")</f>
        <v>Ո՞րն է Ճապոնիայի ազգային ծաղիկը:</v>
      </c>
      <c r="D6811" s="6" t="str">
        <f>IFERROR(__xludf.DUMMYFUNCTION("GOOGLETRANSLATE(B6811,""en"",""hy"")"),"Բալի ծաղիկ.")</f>
        <v>Բալի ծաղիկ.</v>
      </c>
    </row>
    <row r="6812">
      <c r="A6812" s="5" t="s">
        <v>8679</v>
      </c>
      <c r="B6812" s="5" t="s">
        <v>7541</v>
      </c>
      <c r="C6812" s="5" t="str">
        <f>IFERROR(__xludf.DUMMYFUNCTION("GOOGLETRANSLATE(A6812,""en"",""hy"")"),"Ո՞վ է «Սպանել ծաղրող թռչունին» գրքի հեղինակը.")</f>
        <v>Ո՞վ է «Սպանել ծաղրող թռչունին» գրքի հեղինակը.</v>
      </c>
      <c r="D6812" s="6" t="str">
        <f>IFERROR(__xludf.DUMMYFUNCTION("GOOGLETRANSLATE(B6812,""en"",""hy"")"),"Հարփեր Լի.")</f>
        <v>Հարփեր Լի.</v>
      </c>
    </row>
    <row r="6813">
      <c r="A6813" s="5" t="s">
        <v>9227</v>
      </c>
      <c r="B6813" s="5" t="s">
        <v>7512</v>
      </c>
      <c r="C6813" s="5" t="str">
        <f>IFERROR(__xludf.DUMMYFUNCTION("GOOGLETRANSLATE(A6813,""en"",""hy"")"),"Ո՞ր երկիրն է հայտնի Գիզայի բուրգերով:")</f>
        <v>Ո՞ր երկիրն է հայտնի Գիզայի բուրգերով:</v>
      </c>
      <c r="D6813" s="6" t="str">
        <f>IFERROR(__xludf.DUMMYFUNCTION("GOOGLETRANSLATE(B6813,""en"",""hy"")"),"Եգիպտոս.")</f>
        <v>Եգիպտոս.</v>
      </c>
    </row>
    <row r="6814">
      <c r="A6814" s="5" t="s">
        <v>8532</v>
      </c>
      <c r="B6814" s="5" t="s">
        <v>7712</v>
      </c>
      <c r="C6814" s="5" t="str">
        <f>IFERROR(__xludf.DUMMYFUNCTION("GOOGLETRANSLATE(A6814,""en"",""hy"")"),"Ո՞րն է ԱՄՆ-ի ամենամեծ քաղաքն ըստ բնակչության:")</f>
        <v>Ո՞րն է ԱՄՆ-ի ամենամեծ քաղաքն ըստ բնակչության:</v>
      </c>
      <c r="D6814" s="6" t="str">
        <f>IFERROR(__xludf.DUMMYFUNCTION("GOOGLETRANSLATE(B6814,""en"",""hy"")"),"Նյու Յորք քաղաք.")</f>
        <v>Նյու Յորք քաղաք.</v>
      </c>
    </row>
    <row r="6815">
      <c r="A6815" s="5" t="s">
        <v>8159</v>
      </c>
      <c r="B6815" s="5" t="s">
        <v>8160</v>
      </c>
      <c r="C6815" s="5" t="str">
        <f>IFERROR(__xludf.DUMMYFUNCTION("GOOGLETRANSLATE(A6815,""en"",""hy"")"),"Ո՞վ է Ռուսաստանի ներկայիս նախագահը.")</f>
        <v>Ո՞վ է Ռուսաստանի ներկայիս նախագահը.</v>
      </c>
      <c r="D6815" s="6" t="str">
        <f>IFERROR(__xludf.DUMMYFUNCTION("GOOGLETRANSLATE(B6815,""en"",""hy"")"),"Վլադիմիր Պուտին.")</f>
        <v>Վլադիմիր Պուտին.</v>
      </c>
    </row>
    <row r="6816">
      <c r="A6816" s="5" t="s">
        <v>9228</v>
      </c>
      <c r="B6816" s="5" t="s">
        <v>9229</v>
      </c>
      <c r="C6816" s="5" t="str">
        <f>IFERROR(__xludf.DUMMYFUNCTION("GOOGLETRANSLATE(A6816,""en"",""hy"")"),"Ո՞րն է Երկրի օվկիանոսների ամենախոր կետը:")</f>
        <v>Ո՞րն է Երկրի օվկիանոսների ամենախոր կետը:</v>
      </c>
      <c r="D6816" s="6" t="str">
        <f>IFERROR(__xludf.DUMMYFUNCTION("GOOGLETRANSLATE(B6816,""en"",""hy"")"),"Երկրի օվկիանոսների ամենախոր կետը Մարիանյան խրամատն է:")</f>
        <v>Երկրի օվկիանոսների ամենախոր կետը Մարիանյան խրամատն է:</v>
      </c>
    </row>
    <row r="6817">
      <c r="A6817" s="5" t="s">
        <v>9230</v>
      </c>
      <c r="B6817" s="5" t="s">
        <v>8642</v>
      </c>
      <c r="C6817" s="5" t="str">
        <f>IFERROR(__xludf.DUMMYFUNCTION("GOOGLETRANSLATE(A6817,""en"",""hy"")"),"Ո՞վ է «Հիշողության համառություն» հայտնի ստեղծագործության նկարիչը:")</f>
        <v>Ո՞վ է «Հիշողության համառություն» հայտնի ստեղծագործության նկարիչը:</v>
      </c>
      <c r="D6817" s="6" t="str">
        <f>IFERROR(__xludf.DUMMYFUNCTION("GOOGLETRANSLATE(B6817,""en"",""hy"")"),"Սալվադոր Դալի")</f>
        <v>Սալվադոր Դալի</v>
      </c>
    </row>
    <row r="6818">
      <c r="A6818" s="5" t="s">
        <v>8018</v>
      </c>
      <c r="B6818" s="5" t="s">
        <v>8635</v>
      </c>
      <c r="C6818" s="5" t="str">
        <f>IFERROR(__xludf.DUMMYFUNCTION("GOOGLETRANSLATE(A6818,""en"",""hy"")"),"Ո՞ր երկրում է գտնվում Էյֆելյան աշտարակը:")</f>
        <v>Ո՞ր երկրում է գտնվում Էյֆելյան աշտարակը:</v>
      </c>
      <c r="D6818" s="6" t="str">
        <f>IFERROR(__xludf.DUMMYFUNCTION("GOOGLETRANSLATE(B6818,""en"",""hy"")"),"Ֆրանսիա")</f>
        <v>Ֆրանսիա</v>
      </c>
    </row>
    <row r="6819">
      <c r="A6819" s="5" t="s">
        <v>7665</v>
      </c>
      <c r="B6819" s="5" t="s">
        <v>7666</v>
      </c>
      <c r="C6819" s="5" t="str">
        <f>IFERROR(__xludf.DUMMYFUNCTION("GOOGLETRANSLATE(A6819,""en"",""hy"")"),"Ո՞րն է նատրիումի քիմիական նշանը:")</f>
        <v>Ո՞րն է նատրիումի քիմիական նշանը:</v>
      </c>
      <c r="D6819" s="6" t="str">
        <f>IFERROR(__xludf.DUMMYFUNCTION("GOOGLETRANSLATE(B6819,""en"",""hy"")"),"Նա")</f>
        <v>Նա</v>
      </c>
    </row>
    <row r="6820">
      <c r="A6820" s="5" t="s">
        <v>7528</v>
      </c>
      <c r="B6820" s="5" t="s">
        <v>9231</v>
      </c>
      <c r="C6820" s="5" t="str">
        <f>IFERROR(__xludf.DUMMYFUNCTION("GOOGLETRANSLATE(A6820,""en"",""hy"")"),"Ո՞վ է Գերմանիայի ներկայիս կանցլերը:")</f>
        <v>Ո՞վ է Գերմանիայի ներկայիս կանցլերը:</v>
      </c>
      <c r="D6820" s="6" t="str">
        <f>IFERROR(__xludf.DUMMYFUNCTION("GOOGLETRANSLATE(B6820,""en"",""hy"")"),"Գերմանիայի ներկայիս կանցլերն Անգելա Մերկելն է։")</f>
        <v>Գերմանիայի ներկայիս կանցլերն Անգելա Մերկելն է։</v>
      </c>
    </row>
    <row r="6821">
      <c r="A6821" s="5" t="s">
        <v>9232</v>
      </c>
      <c r="B6821" s="5" t="s">
        <v>9233</v>
      </c>
      <c r="C6821" s="5" t="str">
        <f>IFERROR(__xludf.DUMMYFUNCTION("GOOGLETRANSLATE(A6821,""en"",""hy"")"),"Ո՞րն է աշխարհի ամենամահաբեր օձը.")</f>
        <v>Ո՞րն է աշխարհի ամենամահաբեր օձը.</v>
      </c>
      <c r="D6821" s="6" t="str">
        <f>IFERROR(__xludf.DUMMYFUNCTION("GOOGLETRANSLATE(B6821,""en"",""hy"")"),"Ներքին Թայպան.")</f>
        <v>Ներքին Թայպան.</v>
      </c>
    </row>
    <row r="6822">
      <c r="A6822" s="5" t="s">
        <v>9234</v>
      </c>
      <c r="B6822" s="5" t="s">
        <v>9235</v>
      </c>
      <c r="C6822" s="5" t="str">
        <f>IFERROR(__xludf.DUMMYFUNCTION("GOOGLETRANSLATE(A6822,""en"",""hy"")"),"Ո՞վ է հայտնի ճարտարապետը Սիդնեյի օպերային թատրոնի նախագծման հիմքում:")</f>
        <v>Ո՞վ է հայտնի ճարտարապետը Սիդնեյի օպերային թատրոնի նախագծման հիմքում:</v>
      </c>
      <c r="D6822" s="6" t="str">
        <f>IFERROR(__xludf.DUMMYFUNCTION("GOOGLETRANSLATE(B6822,""en"",""hy"")"),"Յորն Ուտզոն")</f>
        <v>Յորն Ուտզոն</v>
      </c>
    </row>
    <row r="6823">
      <c r="A6823" s="5" t="s">
        <v>7850</v>
      </c>
      <c r="B6823" s="5" t="s">
        <v>7991</v>
      </c>
      <c r="C6823" s="5" t="str">
        <f>IFERROR(__xludf.DUMMYFUNCTION("GOOGLETRANSLATE(A6823,""en"",""hy"")"),"Ո՞րն է մեր արեգակնային համակարգի ամենափոքր մոլորակը:")</f>
        <v>Ո՞րն է մեր արեգակնային համակարգի ամենափոքր մոլորակը:</v>
      </c>
      <c r="D6823" s="6" t="str">
        <f>IFERROR(__xludf.DUMMYFUNCTION("GOOGLETRANSLATE(B6823,""en"",""hy"")"),"Մերկուրի")</f>
        <v>Մերկուրի</v>
      </c>
    </row>
    <row r="6824">
      <c r="A6824" s="5" t="s">
        <v>9236</v>
      </c>
      <c r="B6824" s="5" t="s">
        <v>7956</v>
      </c>
      <c r="C6824" s="5" t="str">
        <f>IFERROR(__xludf.DUMMYFUNCTION("GOOGLETRANSLATE(A6824,""en"",""hy"")"),"Ո՞վ է համարվում «ֆիզիկայի հայրը»:")</f>
        <v>Ո՞վ է համարվում «ֆիզիկայի հայրը»:</v>
      </c>
      <c r="D6824" s="6" t="str">
        <f>IFERROR(__xludf.DUMMYFUNCTION("GOOGLETRANSLATE(B6824,""en"",""hy"")"),"Իսահակ Նյուտոն.")</f>
        <v>Իսահակ Նյուտոն.</v>
      </c>
    </row>
    <row r="6825">
      <c r="A6825" s="5" t="s">
        <v>8025</v>
      </c>
      <c r="B6825" s="5" t="s">
        <v>8026</v>
      </c>
      <c r="C6825" s="5" t="str">
        <f>IFERROR(__xludf.DUMMYFUNCTION("GOOGLETRANSLATE(A6825,""en"",""hy"")"),"Ո՞րն է Չինաստանի պաշտոնական լեզուն:")</f>
        <v>Ո՞րն է Չինաստանի պաշտոնական լեզուն:</v>
      </c>
      <c r="D6825" s="6" t="str">
        <f>IFERROR(__xludf.DUMMYFUNCTION("GOOGLETRANSLATE(B6825,""en"",""hy"")"),"Չինաստանի պաշտոնական լեզուն մանդարին չինարենն է։")</f>
        <v>Չինաստանի պաշտոնական լեզուն մանդարին չինարենն է։</v>
      </c>
    </row>
    <row r="6826">
      <c r="A6826" s="5" t="s">
        <v>7793</v>
      </c>
      <c r="B6826" s="5" t="s">
        <v>998</v>
      </c>
      <c r="C6826" s="5" t="str">
        <f>IFERROR(__xludf.DUMMYFUNCTION("GOOGLETRANSLATE(A6826,""en"",""hy"")"),"Ո՞ր երկիրն է հայտնի իր կակաչներով և հողմաղացներով:")</f>
        <v>Ո՞ր երկիրն է հայտնի իր կակաչներով և հողմաղացներով:</v>
      </c>
      <c r="D6826" s="6" t="str">
        <f>IFERROR(__xludf.DUMMYFUNCTION("GOOGLETRANSLATE(B6826,""en"",""hy"")"),"Նիդերլանդներ.")</f>
        <v>Նիդերլանդներ.</v>
      </c>
    </row>
    <row r="6827">
      <c r="A6827" s="5" t="s">
        <v>9237</v>
      </c>
      <c r="B6827" s="5" t="s">
        <v>8355</v>
      </c>
      <c r="C6827" s="5" t="str">
        <f>IFERROR(__xludf.DUMMYFUNCTION("GOOGLETRANSLATE(A6827,""en"",""hy"")"),"Ո՞վ է «1984» դասական վեպի հեղինակը։")</f>
        <v>Ո՞վ է «1984» դասական վեպի հեղինակը։</v>
      </c>
      <c r="D6827" s="6" t="str">
        <f>IFERROR(__xludf.DUMMYFUNCTION("GOOGLETRANSLATE(B6827,""en"",""hy"")"),"Ջորջ Օրուել")</f>
        <v>Ջորջ Օրուել</v>
      </c>
    </row>
    <row r="6828">
      <c r="A6828" s="5" t="s">
        <v>9238</v>
      </c>
      <c r="B6828" s="5" t="s">
        <v>7646</v>
      </c>
      <c r="C6828" s="5" t="str">
        <f>IFERROR(__xludf.DUMMYFUNCTION("GOOGLETRANSLATE(A6828,""en"",""hy"")"),"Ո՞րն է աշխարհի ամենամեծ օվկիանոսն ըստ տարածքի:")</f>
        <v>Ո՞րն է աշխարհի ամենամեծ օվկիանոսն ըստ տարածքի:</v>
      </c>
      <c r="D6828" s="6" t="str">
        <f>IFERROR(__xludf.DUMMYFUNCTION("GOOGLETRANSLATE(B6828,""en"",""hy"")"),"Խաղաղ օվկիանոս.")</f>
        <v>Խաղաղ օվկիանոս.</v>
      </c>
    </row>
    <row r="6829">
      <c r="A6829" s="5" t="s">
        <v>8843</v>
      </c>
      <c r="B6829" s="5" t="s">
        <v>9176</v>
      </c>
      <c r="C6829" s="5" t="str">
        <f>IFERROR(__xludf.DUMMYFUNCTION("GOOGLETRANSLATE(A6829,""en"",""hy"")"),"Ո՞վ է Հնդկաստանի ներկայիս վարչապետը:")</f>
        <v>Ո՞վ է Հնդկաստանի ներկայիս վարչապետը:</v>
      </c>
      <c r="D6829" s="6" t="str">
        <f>IFERROR(__xludf.DUMMYFUNCTION("GOOGLETRANSLATE(B6829,""en"",""hy"")"),"Նարենդրա Մոդի.")</f>
        <v>Նարենդրա Մոդի.</v>
      </c>
    </row>
    <row r="6830">
      <c r="A6830" s="5" t="s">
        <v>9239</v>
      </c>
      <c r="B6830" s="5" t="s">
        <v>9240</v>
      </c>
      <c r="C6830" s="5" t="str">
        <f>IFERROR(__xludf.DUMMYFUNCTION("GOOGLETRANSLATE(A6830,""en"",""hy"")"),"Որքա՞ն է Երկրի մոտավոր շրջագիծը կիլոմետրերով:")</f>
        <v>Որքա՞ն է Երկրի մոտավոր շրջագիծը կիլոմետրերով:</v>
      </c>
      <c r="D6830" s="6" t="str">
        <f>IFERROR(__xludf.DUMMYFUNCTION("GOOGLETRANSLATE(B6830,""en"",""hy"")"),"Երկրի մոտավոր շրջագիծը 40075 կիլոմետր է։")</f>
        <v>Երկրի մոտավոր շրջագիծը 40075 կիլոմետր է։</v>
      </c>
    </row>
    <row r="6831">
      <c r="A6831" s="5" t="s">
        <v>9241</v>
      </c>
      <c r="B6831" s="5" t="s">
        <v>7796</v>
      </c>
      <c r="C6831" s="5" t="str">
        <f>IFERROR(__xludf.DUMMYFUNCTION("GOOGLETRANSLATE(A6831,""en"",""hy"")"),"Ո՞րն է Եգիպտոսի մայրաքաղաքը:")</f>
        <v>Ո՞րն է Եգիպտոսի մայրաքաղաքը:</v>
      </c>
      <c r="D6831" s="6" t="str">
        <f>IFERROR(__xludf.DUMMYFUNCTION("GOOGLETRANSLATE(B6831,""en"",""hy"")"),"Կահիրե.")</f>
        <v>Կահիրե.</v>
      </c>
    </row>
    <row r="6832">
      <c r="A6832" s="5" t="s">
        <v>9242</v>
      </c>
      <c r="B6832" s="5" t="s">
        <v>9243</v>
      </c>
      <c r="C6832" s="5" t="str">
        <f>IFERROR(__xludf.DUMMYFUNCTION("GOOGLETRANSLATE(A6832,""en"",""hy"")"),"Ո՞վ է այն դերասանուհին, ով խաղացել է Հերմիոնա Գրեյնջերը Հարի Փոթերի մասին ֆիլմերում:")</f>
        <v>Ո՞վ է այն դերասանուհին, ով խաղացել է Հերմիոնա Գրեյնջերը Հարի Փոթերի մասին ֆիլմերում:</v>
      </c>
      <c r="D6832" s="6" t="str">
        <f>IFERROR(__xludf.DUMMYFUNCTION("GOOGLETRANSLATE(B6832,""en"",""hy"")"),"Էմմա Ուոթսոն.")</f>
        <v>Էմմա Ուոթսոն.</v>
      </c>
    </row>
    <row r="6833">
      <c r="A6833" s="5" t="s">
        <v>8243</v>
      </c>
      <c r="B6833" s="5" t="s">
        <v>7607</v>
      </c>
      <c r="C6833" s="5" t="str">
        <f>IFERROR(__xludf.DUMMYFUNCTION("GOOGLETRANSLATE(A6833,""en"",""hy"")"),"Ո՞ր հայտնի գիտնականն է մշակել էվոլյուցիայի տեսությունը:")</f>
        <v>Ո՞ր հայտնի գիտնականն է մշակել էվոլյուցիայի տեսությունը:</v>
      </c>
      <c r="D6833" s="6" t="str">
        <f>IFERROR(__xludf.DUMMYFUNCTION("GOOGLETRANSLATE(B6833,""en"",""hy"")"),"Չարլզ Դարվին.")</f>
        <v>Չարլզ Դարվին.</v>
      </c>
    </row>
    <row r="6834">
      <c r="A6834" s="5" t="s">
        <v>8198</v>
      </c>
      <c r="B6834" s="5" t="s">
        <v>8199</v>
      </c>
      <c r="C6834" s="5" t="str">
        <f>IFERROR(__xludf.DUMMYFUNCTION("GOOGLETRANSLATE(A6834,""en"",""hy"")"),"Ո՞րն է Չինաստանի ազգային կենդանին:")</f>
        <v>Ո՞րն է Չինաստանի ազգային կենդանին:</v>
      </c>
      <c r="D6834" s="6" t="str">
        <f>IFERROR(__xludf.DUMMYFUNCTION("GOOGLETRANSLATE(B6834,""en"",""hy"")"),"Չինաստանի ազգային կենդանին հսկա պանդան է։")</f>
        <v>Չինաստանի ազգային կենդանին հսկա պանդան է։</v>
      </c>
    </row>
    <row r="6835">
      <c r="A6835" s="5" t="s">
        <v>7557</v>
      </c>
      <c r="B6835" s="5" t="s">
        <v>7857</v>
      </c>
      <c r="C6835" s="5" t="str">
        <f>IFERROR(__xludf.DUMMYFUNCTION("GOOGLETRANSLATE(A6835,""en"",""hy"")"),"Ո՞րն է երկաթի քիմիական նշանը:")</f>
        <v>Ո՞րն է երկաթի քիմիական նշանը:</v>
      </c>
      <c r="D6835" s="6" t="str">
        <f>IFERROR(__xludf.DUMMYFUNCTION("GOOGLETRANSLATE(B6835,""en"",""hy"")"),"Երկաթի քիմիական նշանը Fe է:")</f>
        <v>Երկաթի քիմիական նշանը Fe է:</v>
      </c>
    </row>
    <row r="6836">
      <c r="A6836" s="5" t="s">
        <v>9244</v>
      </c>
      <c r="B6836" s="5" t="s">
        <v>7560</v>
      </c>
      <c r="C6836" s="5" t="str">
        <f>IFERROR(__xludf.DUMMYFUNCTION("GOOGLETRANSLATE(A6836,""en"",""hy"")"),"Ո՞վ է «Աշորայի մեջ բռնողը» վեպի հեղինակը.")</f>
        <v>Ո՞վ է «Աշորայի մեջ բռնողը» վեպի հեղինակը.</v>
      </c>
      <c r="D6836" s="6" t="str">
        <f>IFERROR(__xludf.DUMMYFUNCTION("GOOGLETRANSLATE(B6836,""en"",""hy"")"),"Ջ.Դ.Սելինջեր.")</f>
        <v>Ջ.Դ.Սելինջեր.</v>
      </c>
    </row>
    <row r="6837">
      <c r="A6837" s="5" t="s">
        <v>7691</v>
      </c>
      <c r="B6837" s="5" t="s">
        <v>7692</v>
      </c>
      <c r="C6837" s="5" t="str">
        <f>IFERROR(__xludf.DUMMYFUNCTION("GOOGLETRANSLATE(A6837,""en"",""hy"")"),"Ո՞րն է Աֆրիկայի ամենամեծ լիճը:")</f>
        <v>Ո՞րն է Աֆրիկայի ամենամեծ լիճը:</v>
      </c>
      <c r="D6837" s="6" t="str">
        <f>IFERROR(__xludf.DUMMYFUNCTION("GOOGLETRANSLATE(B6837,""en"",""hy"")"),"Վիկտորիա լիճ.")</f>
        <v>Վիկտորիա լիճ.</v>
      </c>
    </row>
    <row r="6838">
      <c r="A6838" s="5" t="s">
        <v>8310</v>
      </c>
      <c r="B6838" s="5" t="s">
        <v>7585</v>
      </c>
      <c r="C6838" s="5" t="str">
        <f>IFERROR(__xludf.DUMMYFUNCTION("GOOGLETRANSLATE(A6838,""en"",""hy"")"),"Ո՞վ է նկարել հայտնի «Ճիչ»-ը:")</f>
        <v>Ո՞վ է նկարել հայտնի «Ճիչ»-ը:</v>
      </c>
      <c r="D6838" s="6" t="str">
        <f>IFERROR(__xludf.DUMMYFUNCTION("GOOGLETRANSLATE(B6838,""en"",""hy"")"),"Էդվարդ Մունկ.")</f>
        <v>Էդվարդ Մունկ.</v>
      </c>
    </row>
    <row r="6839">
      <c r="A6839" s="5" t="s">
        <v>9245</v>
      </c>
      <c r="B6839" s="5" t="s">
        <v>8635</v>
      </c>
      <c r="C6839" s="5" t="str">
        <f>IFERROR(__xludf.DUMMYFUNCTION("GOOGLETRANSLATE(A6839,""en"",""hy"")"),"Ո՞ր երկիրն է հայտնի Tour de France հեծանվավազքի ամենամյա հյուրընկալությամբ:")</f>
        <v>Ո՞ր երկիրն է հայտնի Tour de France հեծանվավազքի ամենամյա հյուրընկալությամբ:</v>
      </c>
      <c r="D6839" s="6" t="str">
        <f>IFERROR(__xludf.DUMMYFUNCTION("GOOGLETRANSLATE(B6839,""en"",""hy"")"),"Ֆրանսիա")</f>
        <v>Ֆրանսիա</v>
      </c>
    </row>
    <row r="6840">
      <c r="A6840" s="5" t="s">
        <v>7526</v>
      </c>
      <c r="B6840" s="5" t="s">
        <v>7527</v>
      </c>
      <c r="C6840" s="5" t="str">
        <f>IFERROR(__xludf.DUMMYFUNCTION("GOOGLETRANSLATE(A6840,""en"",""hy"")"),"Ո՞րն է աշխարհի ամենամեծ կղզին:")</f>
        <v>Ո՞րն է աշխարհի ամենամեծ կղզին:</v>
      </c>
      <c r="D6840" s="6" t="str">
        <f>IFERROR(__xludf.DUMMYFUNCTION("GOOGLETRANSLATE(B6840,""en"",""hy"")"),"Գրենլանդիա.")</f>
        <v>Գրենլանդիա.</v>
      </c>
    </row>
    <row r="6841">
      <c r="A6841" s="5" t="s">
        <v>7674</v>
      </c>
      <c r="B6841" s="5" t="s">
        <v>7675</v>
      </c>
      <c r="C6841" s="5" t="str">
        <f>IFERROR(__xludf.DUMMYFUNCTION("GOOGLETRANSLATE(A6841,""en"",""hy"")"),"Ո՞վ է հունական ծովի աստվածը:")</f>
        <v>Ո՞վ է հունական ծովի աստվածը:</v>
      </c>
      <c r="D6841" s="6" t="str">
        <f>IFERROR(__xludf.DUMMYFUNCTION("GOOGLETRANSLATE(B6841,""en"",""hy"")"),"Պոսեյդոն.")</f>
        <v>Պոսեյդոն.</v>
      </c>
    </row>
    <row r="6842">
      <c r="A6842" s="5" t="s">
        <v>7602</v>
      </c>
      <c r="B6842" s="5" t="s">
        <v>7603</v>
      </c>
      <c r="C6842" s="5" t="str">
        <f>IFERROR(__xludf.DUMMYFUNCTION("GOOGLETRANSLATE(A6842,""en"",""hy"")"),"Ո՞րն է Կանադայի ազգային թռչունը:")</f>
        <v>Ո՞րն է Կանադայի ազգային թռչունը:</v>
      </c>
      <c r="D6842" s="6" t="str">
        <f>IFERROR(__xludf.DUMMYFUNCTION("GOOGLETRANSLATE(B6842,""en"",""hy"")"),"Կանադայի ազգային թռչունը սովորական ձագն է:")</f>
        <v>Կանադայի ազգային թռչունը սովորական ձագն է:</v>
      </c>
    </row>
    <row r="6843">
      <c r="A6843" s="5" t="s">
        <v>8263</v>
      </c>
      <c r="B6843" s="5" t="s">
        <v>7661</v>
      </c>
      <c r="C6843" s="5" t="str">
        <f>IFERROR(__xludf.DUMMYFUNCTION("GOOGLETRANSLATE(A6843,""en"",""hy"")"),"Ո՞վ է «Մեծն Գեթսբի» գրքի հեղինակը.")</f>
        <v>Ո՞վ է «Մեծն Գեթսբի» գրքի հեղինակը.</v>
      </c>
      <c r="D6843" s="6" t="str">
        <f>IFERROR(__xludf.DUMMYFUNCTION("GOOGLETRANSLATE(B6843,""en"",""hy"")"),"F. Scott Fitzgerald.")</f>
        <v>F. Scott Fitzgerald.</v>
      </c>
    </row>
    <row r="6844">
      <c r="A6844" s="5" t="s">
        <v>8144</v>
      </c>
      <c r="B6844" s="5" t="s">
        <v>2267</v>
      </c>
      <c r="C6844" s="5" t="str">
        <f>IFERROR(__xludf.DUMMYFUNCTION("GOOGLETRANSLATE(A6844,""en"",""hy"")"),"Ո՞րն է Իսպանիայի պաշտոնական լեզուն:")</f>
        <v>Ո՞րն է Իսպանիայի պաշտոնական լեզուն:</v>
      </c>
      <c r="D6844" s="6" t="str">
        <f>IFERROR(__xludf.DUMMYFUNCTION("GOOGLETRANSLATE(B6844,""en"",""hy"")"),"իսպաներեն.")</f>
        <v>իսպաներեն.</v>
      </c>
    </row>
    <row r="6845">
      <c r="A6845" s="5" t="s">
        <v>9246</v>
      </c>
      <c r="B6845" s="5" t="s">
        <v>7673</v>
      </c>
      <c r="C6845" s="5" t="str">
        <f>IFERROR(__xludf.DUMMYFUNCTION("GOOGLETRANSLATE(A6845,""en"",""hy"")"),"Ո՞ր երկիրն է հայտնի Ամազոնի անձրևային անտառներով:")</f>
        <v>Ո՞ր երկիրն է հայտնի Ամազոնի անձրևային անտառներով:</v>
      </c>
      <c r="D6845" s="6" t="str">
        <f>IFERROR(__xludf.DUMMYFUNCTION("GOOGLETRANSLATE(B6845,""en"",""hy"")"),"Բրազիլիա.")</f>
        <v>Բրազիլիա.</v>
      </c>
    </row>
    <row r="6846">
      <c r="A6846" s="5" t="s">
        <v>9200</v>
      </c>
      <c r="B6846" s="5" t="s">
        <v>8759</v>
      </c>
      <c r="C6846" s="5" t="str">
        <f>IFERROR(__xludf.DUMMYFUNCTION("GOOGLETRANSLATE(A6846,""en"",""hy"")"),"Ո՞վ է մշակել ձգողականության տեսությունը:")</f>
        <v>Ո՞վ է մշակել ձգողականության տեսությունը:</v>
      </c>
      <c r="D6846" s="6" t="str">
        <f>IFERROR(__xludf.DUMMYFUNCTION("GOOGLETRANSLATE(B6846,""en"",""hy"")"),"Սըր Իսահակ Նյուտոն.")</f>
        <v>Սըր Իսահակ Նյուտոն.</v>
      </c>
    </row>
    <row r="6847">
      <c r="A6847" s="5" t="s">
        <v>9247</v>
      </c>
      <c r="B6847" s="5" t="s">
        <v>7464</v>
      </c>
      <c r="C6847" s="5" t="str">
        <f>IFERROR(__xludf.DUMMYFUNCTION("GOOGLETRANSLATE(A6847,""en"",""hy"")"),"Ո՞րն է աշխարհի ամենաբարձր լեռը ծովի մակարդակից:")</f>
        <v>Ո՞րն է աշխարհի ամենաբարձր լեռը ծովի մակարդակից:</v>
      </c>
      <c r="D6847" s="6" t="str">
        <f>IFERROR(__xludf.DUMMYFUNCTION("GOOGLETRANSLATE(B6847,""en"",""hy"")"),"Էվերեստ լեռ.")</f>
        <v>Էվերեստ լեռ.</v>
      </c>
    </row>
    <row r="6848">
      <c r="A6848" s="5" t="s">
        <v>8318</v>
      </c>
      <c r="B6848" s="5" t="s">
        <v>8873</v>
      </c>
      <c r="C6848" s="5" t="str">
        <f>IFERROR(__xludf.DUMMYFUNCTION("GOOGLETRANSLATE(A6848,""en"",""hy"")"),"Ո՞վ է նկարել հայտնի «Մարգարտյա ականջօղով աղջիկը» ստեղծագործությունը:")</f>
        <v>Ո՞վ է նկարել հայտնի «Մարգարտյա ականջօղով աղջիկը» ստեղծագործությունը:</v>
      </c>
      <c r="D6848" s="6" t="str">
        <f>IFERROR(__xludf.DUMMYFUNCTION("GOOGLETRANSLATE(B6848,""en"",""hy"")"),"Յոհաննես Վերմեեր")</f>
        <v>Յոհաննես Վերմեեր</v>
      </c>
    </row>
    <row r="6849">
      <c r="A6849" s="5" t="s">
        <v>8039</v>
      </c>
      <c r="B6849" s="5" t="s">
        <v>8040</v>
      </c>
      <c r="C6849" s="5" t="str">
        <f>IFERROR(__xludf.DUMMYFUNCTION("GOOGLETRANSLATE(A6849,""en"",""hy"")"),"Ո՞ր երկիրն է հայտնի Թաջ Մահալով:")</f>
        <v>Ո՞ր երկիրն է հայտնի Թաջ Մահալով:</v>
      </c>
      <c r="D6849" s="6" t="str">
        <f>IFERROR(__xludf.DUMMYFUNCTION("GOOGLETRANSLATE(B6849,""en"",""hy"")"),"Հնդկաստան")</f>
        <v>Հնդկաստան</v>
      </c>
    </row>
    <row r="6850">
      <c r="A6850" s="5" t="s">
        <v>7592</v>
      </c>
      <c r="B6850" s="5" t="s">
        <v>7593</v>
      </c>
      <c r="C6850" s="5" t="str">
        <f>IFERROR(__xludf.DUMMYFUNCTION("GOOGLETRANSLATE(A6850,""en"",""hy"")"),"Ո՞րն է թթվածնի քիմիական նշանը:")</f>
        <v>Ո՞րն է թթվածնի քիմիական նշանը:</v>
      </c>
      <c r="D6850" s="6" t="str">
        <f>IFERROR(__xludf.DUMMYFUNCTION("GOOGLETRANSLATE(B6850,""en"",""hy"")"),"Թթվածնի քիմիական նշանը O է:")</f>
        <v>Թթվածնի քիմիական նշանը O է:</v>
      </c>
    </row>
    <row r="6851">
      <c r="A6851" s="5" t="s">
        <v>9248</v>
      </c>
      <c r="B6851" s="5" t="s">
        <v>1996</v>
      </c>
      <c r="C6851" s="5" t="str">
        <f>IFERROR(__xludf.DUMMYFUNCTION("GOOGLETRANSLATE(A6851,""en"",""hy"")"),"Ո՞վ է Միացյալ Թագավորության վարչապետը:")</f>
        <v>Ո՞վ է Միացյալ Թագավորության վարչապետը:</v>
      </c>
      <c r="D6851" s="6" t="str">
        <f>IFERROR(__xludf.DUMMYFUNCTION("GOOGLETRANSLATE(B6851,""en"",""hy"")"),"Բորիս Ջոնսոն.")</f>
        <v>Բորիս Ջոնսոն.</v>
      </c>
    </row>
    <row r="6852">
      <c r="A6852" s="5" t="s">
        <v>7579</v>
      </c>
      <c r="B6852" s="5" t="s">
        <v>7580</v>
      </c>
      <c r="C6852" s="5" t="str">
        <f>IFERROR(__xludf.DUMMYFUNCTION("GOOGLETRANSLATE(A6852,""en"",""hy"")"),"Ո՞րն է Գերմանիայի արժույթը:")</f>
        <v>Ո՞րն է Գերմանիայի արժույթը:</v>
      </c>
      <c r="D6852" s="6" t="str">
        <f>IFERROR(__xludf.DUMMYFUNCTION("GOOGLETRANSLATE(B6852,""en"",""hy"")"),"Գերմանիայի արժույթը եվրոն է։")</f>
        <v>Գերմանիայի արժույթը եվրոն է։</v>
      </c>
    </row>
    <row r="6853">
      <c r="A6853" s="5" t="s">
        <v>9249</v>
      </c>
      <c r="B6853" s="5" t="s">
        <v>7633</v>
      </c>
      <c r="C6853" s="5" t="str">
        <f>IFERROR(__xludf.DUMMYFUNCTION("GOOGLETRANSLATE(A6853,""en"",""hy"")"),"Ո՞ր մոլորակն է հայտնի որպես «Արեգակնային համակարգի հսկա»:")</f>
        <v>Ո՞ր մոլորակն է հայտնի որպես «Արեգակնային համակարգի հսկա»:</v>
      </c>
      <c r="D6853" s="6" t="str">
        <f>IFERROR(__xludf.DUMMYFUNCTION("GOOGLETRANSLATE(B6853,""en"",""hy"")"),"Յուպիտեր.")</f>
        <v>Յուպիտեր.</v>
      </c>
    </row>
    <row r="6854">
      <c r="A6854" s="5" t="s">
        <v>7698</v>
      </c>
      <c r="B6854" s="5" t="s">
        <v>7630</v>
      </c>
      <c r="C6854" s="5" t="str">
        <f>IFERROR(__xludf.DUMMYFUNCTION("GOOGLETRANSLATE(A6854,""en"",""hy"")"),"Ո՞վ է գրել «Հպարտություն և նախապաշարմունք» վեպը:")</f>
        <v>Ո՞վ է գրել «Հպարտություն և նախապաշարմունք» վեպը:</v>
      </c>
      <c r="D6854" s="6" t="str">
        <f>IFERROR(__xludf.DUMMYFUNCTION("GOOGLETRANSLATE(B6854,""en"",""hy"")"),"Ջեյն Օսթին.")</f>
        <v>Ջեյն Օսթին.</v>
      </c>
    </row>
    <row r="6855">
      <c r="A6855" s="5" t="s">
        <v>8213</v>
      </c>
      <c r="B6855" s="5" t="s">
        <v>8214</v>
      </c>
      <c r="C6855" s="5" t="str">
        <f>IFERROR(__xludf.DUMMYFUNCTION("GOOGLETRANSLATE(A6855,""en"",""hy"")"),"Ո՞րն է Ռուսաստանի ազգային կենդանին:")</f>
        <v>Ո՞րն է Ռուսաստանի ազգային կենդանին:</v>
      </c>
      <c r="D6855" s="6" t="str">
        <f>IFERROR(__xludf.DUMMYFUNCTION("GOOGLETRANSLATE(B6855,""en"",""hy"")"),"Ռուսաստանի ազգային կենդանին գորշ արջն է։")</f>
        <v>Ռուսաստանի ազգային կենդանին գորշ արջն է։</v>
      </c>
    </row>
    <row r="6856">
      <c r="A6856" s="5" t="s">
        <v>7497</v>
      </c>
      <c r="B6856" s="5" t="s">
        <v>1299</v>
      </c>
      <c r="C6856" s="5" t="str">
        <f>IFERROR(__xludf.DUMMYFUNCTION("GOOGLETRANSLATE(A6856,""en"",""hy"")"),"Ո՞րն է աշխարհի ամենամեծ մայրցամաքը:")</f>
        <v>Ո՞րն է աշխարհի ամենամեծ մայրցամաքը:</v>
      </c>
      <c r="D6856" s="6" t="str">
        <f>IFERROR(__xludf.DUMMYFUNCTION("GOOGLETRANSLATE(B6856,""en"",""hy"")"),"Ասիա.")</f>
        <v>Ասիա.</v>
      </c>
    </row>
    <row r="6857">
      <c r="A6857" s="5" t="s">
        <v>9250</v>
      </c>
      <c r="B6857" s="5" t="s">
        <v>8602</v>
      </c>
      <c r="C6857" s="5" t="str">
        <f>IFERROR(__xludf.DUMMYFUNCTION("GOOGLETRANSLATE(A6857,""en"",""hy"")"),"Ո՞վ է անդրաշխարհի հունական աստվածը:")</f>
        <v>Ո՞վ է անդրաշխարհի հունական աստվածը:</v>
      </c>
      <c r="D6857" s="6" t="str">
        <f>IFERROR(__xludf.DUMMYFUNCTION("GOOGLETRANSLATE(B6857,""en"",""hy"")"),"Հադես.")</f>
        <v>Հադես.</v>
      </c>
    </row>
    <row r="6858">
      <c r="A6858" s="5" t="s">
        <v>8750</v>
      </c>
      <c r="B6858" s="5" t="s">
        <v>3894</v>
      </c>
      <c r="C6858" s="5" t="str">
        <f>IFERROR(__xludf.DUMMYFUNCTION("GOOGLETRANSLATE(A6858,""en"",""hy"")"),"Ո՞րն է Իտալիայի պաշտոնական լեզուն:")</f>
        <v>Ո՞րն է Իտալիայի պաշտոնական լեզուն:</v>
      </c>
      <c r="D6858" s="6" t="str">
        <f>IFERROR(__xludf.DUMMYFUNCTION("GOOGLETRANSLATE(B6858,""en"",""hy"")"),"Իտալական.")</f>
        <v>Իտալական.</v>
      </c>
    </row>
    <row r="6859">
      <c r="A6859" s="5" t="s">
        <v>8624</v>
      </c>
      <c r="B6859" s="5" t="s">
        <v>2790</v>
      </c>
      <c r="C6859" s="5" t="str">
        <f>IFERROR(__xludf.DUMMYFUNCTION("GOOGLETRANSLATE(A6859,""en"",""hy"")"),"Ո՞ր երկիրն է հայտնի Մեծ պարիսպով:")</f>
        <v>Ո՞ր երկիրն է հայտնի Մեծ պարիսպով:</v>
      </c>
      <c r="D6859" s="6" t="str">
        <f>IFERROR(__xludf.DUMMYFUNCTION("GOOGLETRANSLATE(B6859,""en"",""hy"")"),"Չինաստան.")</f>
        <v>Չինաստան.</v>
      </c>
    </row>
    <row r="6860">
      <c r="A6860" s="5" t="s">
        <v>9251</v>
      </c>
      <c r="B6860" s="5" t="s">
        <v>9252</v>
      </c>
      <c r="C6860" s="5" t="str">
        <f>IFERROR(__xludf.DUMMYFUNCTION("GOOGLETRANSLATE(A6860,""en"",""hy"")"),"Ո՞վ է համարվում «Ժամանակակից համակարգչային գիտության հայրը»:")</f>
        <v>Ո՞վ է համարվում «Ժամանակակից համակարգչային գիտության հայրը»:</v>
      </c>
      <c r="D6860" s="6" t="str">
        <f>IFERROR(__xludf.DUMMYFUNCTION("GOOGLETRANSLATE(B6860,""en"",""hy"")"),"Ալան Թյուրինգ")</f>
        <v>Ալան Թյուրինգ</v>
      </c>
    </row>
    <row r="6861">
      <c r="A6861" s="5" t="s">
        <v>9253</v>
      </c>
      <c r="B6861" s="5" t="s">
        <v>9254</v>
      </c>
      <c r="C6861" s="5" t="str">
        <f>IFERROR(__xludf.DUMMYFUNCTION("GOOGLETRANSLATE(A6861,""en"",""hy"")"),"Ո՞րն է աշխարհի ամենախոր լիճը ըստ ծավալի:")</f>
        <v>Ո՞րն է աշխարհի ամենախոր լիճը ըստ ծավալի:</v>
      </c>
      <c r="D6861" s="6" t="str">
        <f>IFERROR(__xludf.DUMMYFUNCTION("GOOGLETRANSLATE(B6861,""en"",""hy"")"),"Բայկալ լիճ.")</f>
        <v>Բայկալ լիճ.</v>
      </c>
    </row>
    <row r="6862">
      <c r="A6862" s="5" t="s">
        <v>8264</v>
      </c>
      <c r="B6862" s="5" t="s">
        <v>7832</v>
      </c>
      <c r="C6862" s="5" t="str">
        <f>IFERROR(__xludf.DUMMYFUNCTION("GOOGLETRANSLATE(A6862,""en"",""hy"")"),"Ո՞վ է նկարել հայտնի «Վեներայի ծնունդը» ստեղծագործությունը:")</f>
        <v>Ո՞վ է նկարել հայտնի «Վեներայի ծնունդը» ստեղծագործությունը:</v>
      </c>
      <c r="D6862" s="6" t="str">
        <f>IFERROR(__xludf.DUMMYFUNCTION("GOOGLETRANSLATE(B6862,""en"",""hy"")"),"Սանդրո Բոտիչելի")</f>
        <v>Սանդրո Բոտիչելի</v>
      </c>
    </row>
    <row r="6863">
      <c r="A6863" s="5" t="s">
        <v>9255</v>
      </c>
      <c r="B6863" s="5" t="s">
        <v>823</v>
      </c>
      <c r="C6863" s="5" t="str">
        <f>IFERROR(__xludf.DUMMYFUNCTION("GOOGLETRANSLATE(A6863,""en"",""hy"")"),"Ո՞ր երկիրն է հայտնի իր թխկի օշարակով:")</f>
        <v>Ո՞ր երկիրն է հայտնի իր թխկի օշարակով:</v>
      </c>
      <c r="D6863" s="6" t="str">
        <f>IFERROR(__xludf.DUMMYFUNCTION("GOOGLETRANSLATE(B6863,""en"",""hy"")"),"Կանադա.")</f>
        <v>Կանադա.</v>
      </c>
    </row>
    <row r="6864">
      <c r="A6864" s="5" t="s">
        <v>7509</v>
      </c>
      <c r="B6864" s="5" t="s">
        <v>7510</v>
      </c>
      <c r="C6864" s="5" t="str">
        <f>IFERROR(__xludf.DUMMYFUNCTION("GOOGLETRANSLATE(A6864,""en"",""hy"")"),"Ո՞րն է արծաթի քիմիական նշանը:")</f>
        <v>Ո՞րն է արծաթի քիմիական նշանը:</v>
      </c>
      <c r="D6864" s="6" t="str">
        <f>IFERROR(__xludf.DUMMYFUNCTION("GOOGLETRANSLATE(B6864,""en"",""hy"")"),"Ագ")</f>
        <v>Ագ</v>
      </c>
    </row>
    <row r="6865">
      <c r="A6865" s="5" t="s">
        <v>9256</v>
      </c>
      <c r="B6865" s="5" t="s">
        <v>7867</v>
      </c>
      <c r="C6865" s="5" t="str">
        <f>IFERROR(__xludf.DUMMYFUNCTION("GOOGLETRANSLATE(A6865,""en"",""hy"")"),"Ո՞վ է «Մատանիների տիրակալը» վեպի հեղինակը.")</f>
        <v>Ո՞վ է «Մատանիների տիրակալը» վեպի հեղինակը.</v>
      </c>
      <c r="D6865" s="6" t="str">
        <f>IFERROR(__xludf.DUMMYFUNCTION("GOOGLETRANSLATE(B6865,""en"",""hy"")"),"Ջ.Ռ.Ռ. Թոլքինը։")</f>
        <v>Ջ.Ռ.Ռ. Թոլքինը։</v>
      </c>
    </row>
    <row r="6866">
      <c r="A6866" s="5" t="s">
        <v>7568</v>
      </c>
      <c r="B6866" s="5" t="s">
        <v>7569</v>
      </c>
      <c r="C6866" s="5" t="str">
        <f>IFERROR(__xludf.DUMMYFUNCTION("GOOGLETRANSLATE(A6866,""en"",""hy"")"),"Ո՞րն է Ավստրալիայի ազգային թռչունը:")</f>
        <v>Ո՞րն է Ավստրալիայի ազգային թռչունը:</v>
      </c>
      <c r="D6866" s="6" t="str">
        <f>IFERROR(__xludf.DUMMYFUNCTION("GOOGLETRANSLATE(B6866,""en"",""hy"")"),"Ավստրալիայի ազգային թռչունը էմուն է:")</f>
        <v>Ավստրալիայի ազգային թռչունը էմուն է:</v>
      </c>
    </row>
    <row r="6867">
      <c r="A6867" s="5" t="s">
        <v>7504</v>
      </c>
      <c r="B6867" s="5" t="s">
        <v>7505</v>
      </c>
      <c r="C6867" s="5" t="str">
        <f>IFERROR(__xludf.DUMMYFUNCTION("GOOGLETRANSLATE(A6867,""en"",""hy"")"),"Ո՞վ է Միացյալ Նահանգների ներկայիս նախագահը:")</f>
        <v>Ո՞վ է Միացյալ Նահանգների ներկայիս նախագահը:</v>
      </c>
      <c r="D6867" s="6" t="str">
        <f>IFERROR(__xludf.DUMMYFUNCTION("GOOGLETRANSLATE(B6867,""en"",""hy"")"),"Ջո Բայդեն.")</f>
        <v>Ջո Բայդեն.</v>
      </c>
    </row>
    <row r="6868">
      <c r="A6868" s="5" t="s">
        <v>7659</v>
      </c>
      <c r="B6868" s="5" t="s">
        <v>7516</v>
      </c>
      <c r="C6868" s="5" t="str">
        <f>IFERROR(__xludf.DUMMYFUNCTION("GOOGLETRANSLATE(A6868,""en"",""hy"")"),"Ո՞րն է Բրազիլիայի մայրաքաղաքը:")</f>
        <v>Ո՞րն է Բրազիլիայի մայրաքաղաքը:</v>
      </c>
      <c r="D6868" s="6" t="str">
        <f>IFERROR(__xludf.DUMMYFUNCTION("GOOGLETRANSLATE(B6868,""en"",""hy"")"),"Բրազիլիա.")</f>
        <v>Բրազիլիա.</v>
      </c>
    </row>
    <row r="6869">
      <c r="A6869" s="5" t="s">
        <v>8260</v>
      </c>
      <c r="B6869" s="5" t="s">
        <v>7956</v>
      </c>
      <c r="C6869" s="5" t="str">
        <f>IFERROR(__xludf.DUMMYFUNCTION("GOOGLETRANSLATE(A6869,""en"",""hy"")"),"Ո՞ր հայտնի գիտնականն է մշակել ձգողության տեսությունը:")</f>
        <v>Ո՞ր հայտնի գիտնականն է մշակել ձգողության տեսությունը:</v>
      </c>
      <c r="D6869" s="6" t="str">
        <f>IFERROR(__xludf.DUMMYFUNCTION("GOOGLETRANSLATE(B6869,""en"",""hy"")"),"Իսահակ Նյուտոն.")</f>
        <v>Իսահակ Նյուտոն.</v>
      </c>
    </row>
    <row r="6870">
      <c r="A6870" s="5" t="s">
        <v>8177</v>
      </c>
      <c r="B6870" s="5" t="s">
        <v>8178</v>
      </c>
      <c r="C6870" s="5" t="str">
        <f>IFERROR(__xludf.DUMMYFUNCTION("GOOGLETRANSLATE(A6870,""en"",""hy"")"),"Ո՞րն է Հնդկաստանի ազգային ծաղիկը:")</f>
        <v>Ո՞րն է Հնդկաստանի ազգային ծաղիկը:</v>
      </c>
      <c r="D6870" s="6" t="str">
        <f>IFERROR(__xludf.DUMMYFUNCTION("GOOGLETRANSLATE(B6870,""en"",""hy"")"),"Հնդկաստանի ազգային ծաղիկը լոտոսն է:")</f>
        <v>Հնդկաստանի ազգային ծաղիկը լոտոսն է:</v>
      </c>
    </row>
    <row r="6871">
      <c r="A6871" s="5" t="s">
        <v>9257</v>
      </c>
      <c r="B6871" s="5" t="s">
        <v>7578</v>
      </c>
      <c r="C6871" s="5" t="str">
        <f>IFERROR(__xludf.DUMMYFUNCTION("GOOGLETRANSLATE(A6871,""en"",""hy"")"),"Ո՞վ է «Մոբի-Դիկ» վեպի հեղինակը։")</f>
        <v>Ո՞վ է «Մոբի-Դիկ» վեպի հեղինակը։</v>
      </c>
      <c r="D6871" s="6" t="str">
        <f>IFERROR(__xludf.DUMMYFUNCTION("GOOGLETRANSLATE(B6871,""en"",""hy"")"),"Հերման Մելվիլ.")</f>
        <v>Հերման Մելվիլ.</v>
      </c>
    </row>
    <row r="6872">
      <c r="A6872" s="5" t="s">
        <v>8049</v>
      </c>
      <c r="B6872" s="5" t="s">
        <v>8050</v>
      </c>
      <c r="C6872" s="5" t="str">
        <f>IFERROR(__xludf.DUMMYFUNCTION("GOOGLETRANSLATE(A6872,""en"",""hy"")"),"Ո՞րն է Մեքսիկայի պաշտոնական լեզուն:")</f>
        <v>Ո՞րն է Մեքսիկայի պաշտոնական լեզուն:</v>
      </c>
      <c r="D6872" s="6" t="str">
        <f>IFERROR(__xludf.DUMMYFUNCTION("GOOGLETRANSLATE(B6872,""en"",""hy"")"),"Մեքսիկայի պաշտոնական լեզուն իսպաներենն է։")</f>
        <v>Մեքսիկայի պաշտոնական լեզուն իսպաներենն է։</v>
      </c>
    </row>
    <row r="6873">
      <c r="A6873" s="5" t="s">
        <v>9258</v>
      </c>
      <c r="B6873" s="5" t="s">
        <v>9259</v>
      </c>
      <c r="C6873" s="5" t="str">
        <f>IFERROR(__xludf.DUMMYFUNCTION("GOOGLETRANSLATE(A6873,""en"",""hy"")"),"Ո՞վ է հայտնի որպես «Արևմտյան փիլիսոփայության հայր»:")</f>
        <v>Ո՞վ է հայտնի որպես «Արևմտյան փիլիսոփայության հայր»:</v>
      </c>
      <c r="D6873" s="6" t="str">
        <f>IFERROR(__xludf.DUMMYFUNCTION("GOOGLETRANSLATE(B6873,""en"",""hy"")"),"Սոկրատես.")</f>
        <v>Սոկրատես.</v>
      </c>
    </row>
    <row r="6874">
      <c r="A6874" s="5" t="s">
        <v>9260</v>
      </c>
      <c r="B6874" s="5" t="s">
        <v>9261</v>
      </c>
      <c r="C6874" s="5" t="str">
        <f>IFERROR(__xludf.DUMMYFUNCTION("GOOGLETRANSLATE(A6874,""en"",""hy"")"),"Ո՞րն է աշխարհի ամենամեծ գետը ըստ ծավալի:")</f>
        <v>Ո՞րն է աշխարհի ամենամեծ գետը ըստ ծավալի:</v>
      </c>
      <c r="D6874" s="6" t="str">
        <f>IFERROR(__xludf.DUMMYFUNCTION("GOOGLETRANSLATE(B6874,""en"",""hy"")"),"Աշխարհի ամենամեծ գետը ըստ ծավալի Ամազոն գետն է։")</f>
        <v>Աշխարհի ամենամեծ գետը ըստ ծավալի Ամազոն գետն է։</v>
      </c>
    </row>
    <row r="6875">
      <c r="A6875" s="5" t="s">
        <v>7744</v>
      </c>
      <c r="B6875" s="5" t="s">
        <v>8043</v>
      </c>
      <c r="C6875" s="5" t="str">
        <f>IFERROR(__xludf.DUMMYFUNCTION("GOOGLETRANSLATE(A6875,""en"",""hy"")"),"Ո՞վ է նկարել հայտնի «Հիշողության համառությունը» ստեղծագործությունը:")</f>
        <v>Ո՞վ է նկարել հայտնի «Հիշողության համառությունը» ստեղծագործությունը:</v>
      </c>
      <c r="D6875" s="6" t="str">
        <f>IFERROR(__xludf.DUMMYFUNCTION("GOOGLETRANSLATE(B6875,""en"",""hy"")"),"Սալվադոր Դալի.")</f>
        <v>Սալվադոր Դալի.</v>
      </c>
    </row>
    <row r="6876">
      <c r="A6876" s="5" t="s">
        <v>8639</v>
      </c>
      <c r="B6876" s="5" t="s">
        <v>6334</v>
      </c>
      <c r="C6876" s="5" t="str">
        <f>IFERROR(__xludf.DUMMYFUNCTION("GOOGLETRANSLATE(A6876,""en"",""hy"")"),"Ո՞ր երկիրն է հայտնի Կոլիզեյով:")</f>
        <v>Ո՞ր երկիրն է հայտնի Կոլիզեյով:</v>
      </c>
      <c r="D6876" s="6" t="str">
        <f>IFERROR(__xludf.DUMMYFUNCTION("GOOGLETRANSLATE(B6876,""en"",""hy"")"),"Իտալիա.")</f>
        <v>Իտալիա.</v>
      </c>
    </row>
    <row r="6877">
      <c r="A6877" s="5" t="s">
        <v>7699</v>
      </c>
      <c r="B6877" s="5" t="s">
        <v>7700</v>
      </c>
      <c r="C6877" s="5" t="str">
        <f>IFERROR(__xludf.DUMMYFUNCTION("GOOGLETRANSLATE(A6877,""en"",""hy"")"),"Ո՞րն է ածխածնի քիմիական նշանը:")</f>
        <v>Ո՞րն է ածխածնի քիմիական նշանը:</v>
      </c>
      <c r="D6877" s="6" t="str">
        <f>IFERROR(__xludf.DUMMYFUNCTION("GOOGLETRANSLATE(B6877,""en"",""hy"")"),"Ածխածնի քիմիական նշանը C է:")</f>
        <v>Ածխածնի քիմիական նշանը C է:</v>
      </c>
    </row>
    <row r="6878">
      <c r="A6878" s="5" t="s">
        <v>8166</v>
      </c>
      <c r="B6878" s="5" t="s">
        <v>8167</v>
      </c>
      <c r="C6878" s="5" t="str">
        <f>IFERROR(__xludf.DUMMYFUNCTION("GOOGLETRANSLATE(A6878,""en"",""hy"")"),"Ո՞վ է Ճապոնիայի ներկայիս վարչապետը:")</f>
        <v>Ո՞վ է Ճապոնիայի ներկայիս վարչապետը:</v>
      </c>
      <c r="D6878" s="6" t="str">
        <f>IFERROR(__xludf.DUMMYFUNCTION("GOOGLETRANSLATE(B6878,""en"",""hy"")"),"Ճապոնիայի ներկայիս վարչապետը Յոսիհիդե Սուգան է։")</f>
        <v>Ճապոնիայի ներկայիս վարչապետը Յոսիհիդե Սուգան է։</v>
      </c>
    </row>
    <row r="6879">
      <c r="A6879" s="5" t="s">
        <v>9262</v>
      </c>
      <c r="B6879" s="5" t="s">
        <v>7598</v>
      </c>
      <c r="C6879" s="5" t="str">
        <f>IFERROR(__xludf.DUMMYFUNCTION("GOOGLETRANSLATE(A6879,""en"",""hy"")"),"Ո՞րն է Ավստրալիայի ամենամեծ քաղաքն ըստ բնակչության:")</f>
        <v>Ո՞րն է Ավստրալիայի ամենամեծ քաղաքն ըստ բնակչության:</v>
      </c>
      <c r="D6879" s="6" t="str">
        <f>IFERROR(__xludf.DUMMYFUNCTION("GOOGLETRANSLATE(B6879,""en"",""hy"")"),"Սիդնեյ.")</f>
        <v>Սիդնեյ.</v>
      </c>
    </row>
    <row r="6880">
      <c r="A6880" s="5" t="s">
        <v>9263</v>
      </c>
      <c r="B6880" s="5" t="s">
        <v>8405</v>
      </c>
      <c r="C6880" s="5" t="str">
        <f>IFERROR(__xludf.DUMMYFUNCTION("GOOGLETRANSLATE(A6880,""en"",""hy"")"),"Ո՞վ է հունական երկնքի աստվածը:")</f>
        <v>Ո՞վ է հունական երկնքի աստվածը:</v>
      </c>
      <c r="D6880" s="6" t="str">
        <f>IFERROR(__xludf.DUMMYFUNCTION("GOOGLETRANSLATE(B6880,""en"",""hy"")"),"Զևս.")</f>
        <v>Զևս.</v>
      </c>
    </row>
    <row r="6881">
      <c r="A6881" s="5" t="s">
        <v>7450</v>
      </c>
      <c r="B6881" s="5" t="s">
        <v>7451</v>
      </c>
      <c r="C6881" s="5" t="str">
        <f>IFERROR(__xludf.DUMMYFUNCTION("GOOGLETRANSLATE(A6881,""en"",""hy"")"),"Ո՞րն է Ավստրալիայի մայրաքաղաքը:")</f>
        <v>Ո՞րն է Ավստրալիայի մայրաքաղաքը:</v>
      </c>
      <c r="D6881" s="6" t="str">
        <f>IFERROR(__xludf.DUMMYFUNCTION("GOOGLETRANSLATE(B6881,""en"",""hy"")"),"Կանբերա.")</f>
        <v>Կանբերա.</v>
      </c>
    </row>
    <row r="6882">
      <c r="A6882" s="5" t="s">
        <v>8246</v>
      </c>
      <c r="B6882" s="5" t="s">
        <v>7648</v>
      </c>
      <c r="C6882" s="5" t="str">
        <f>IFERROR(__xludf.DUMMYFUNCTION("GOOGLETRANSLATE(A6882,""en"",""hy"")"),"Ո՞վ է նկարել հայտնի «Աստղային գիշերը» արվեստի գործը:")</f>
        <v>Ո՞վ է նկարել հայտնի «Աստղային գիշերը» արվեստի գործը:</v>
      </c>
      <c r="D6882" s="6" t="str">
        <f>IFERROR(__xludf.DUMMYFUNCTION("GOOGLETRANSLATE(B6882,""en"",""hy"")"),"Վինսենթ վան Գոգ.")</f>
        <v>Վինսենթ վան Գոգ.</v>
      </c>
    </row>
    <row r="6883">
      <c r="A6883" s="5" t="s">
        <v>7632</v>
      </c>
      <c r="B6883" s="5" t="s">
        <v>7912</v>
      </c>
      <c r="C6883" s="5" t="str">
        <f>IFERROR(__xludf.DUMMYFUNCTION("GOOGLETRANSLATE(A6883,""en"",""hy"")"),"Ո՞րն է մեր արեգակնային համակարգի ամենամեծ մոլորակը:")</f>
        <v>Ո՞րն է մեր արեգակնային համակարգի ամենամեծ մոլորակը:</v>
      </c>
      <c r="D6883" s="6" t="str">
        <f>IFERROR(__xludf.DUMMYFUNCTION("GOOGLETRANSLATE(B6883,""en"",""hy"")"),"Յուպիտեր")</f>
        <v>Յուպիտեր</v>
      </c>
    </row>
    <row r="6884">
      <c r="A6884" s="5" t="s">
        <v>7698</v>
      </c>
      <c r="B6884" s="5" t="s">
        <v>7466</v>
      </c>
      <c r="C6884" s="5" t="str">
        <f>IFERROR(__xludf.DUMMYFUNCTION("GOOGLETRANSLATE(A6884,""en"",""hy"")"),"Ո՞վ է գրել «Հպարտություն և նախապաշարմունք» վեպը:")</f>
        <v>Ո՞վ է գրել «Հպարտություն և նախապաշարմունք» վեպը:</v>
      </c>
      <c r="D6884" s="6" t="str">
        <f>IFERROR(__xludf.DUMMYFUNCTION("GOOGLETRANSLATE(B6884,""en"",""hy"")"),"Ջեյն Օսթին")</f>
        <v>Ջեյն Օսթին</v>
      </c>
    </row>
    <row r="6885">
      <c r="A6885" s="5" t="s">
        <v>7480</v>
      </c>
      <c r="B6885" s="5" t="s">
        <v>7481</v>
      </c>
      <c r="C6885" s="5" t="str">
        <f>IFERROR(__xludf.DUMMYFUNCTION("GOOGLETRANSLATE(A6885,""en"",""hy"")"),"Ո՞րն է Միացյալ Նահանգների ազգային թռչունը:")</f>
        <v>Ո՞րն է Միացյալ Նահանգների ազգային թռչունը:</v>
      </c>
      <c r="D6885" s="6" t="str">
        <f>IFERROR(__xludf.DUMMYFUNCTION("GOOGLETRANSLATE(B6885,""en"",""hy"")"),"Միացյալ Նահանգների ազգային թռչունը ճաղատ արծիվն է։")</f>
        <v>Միացյալ Նահանգների ազգային թռչունը ճաղատ արծիվն է։</v>
      </c>
    </row>
    <row r="6886">
      <c r="A6886" s="5" t="s">
        <v>8247</v>
      </c>
      <c r="B6886" s="5" t="s">
        <v>3535</v>
      </c>
      <c r="C6886" s="5" t="str">
        <f>IFERROR(__xludf.DUMMYFUNCTION("GOOGLETRANSLATE(A6886,""en"",""hy"")"),"Ո՞ր երկրում է գտնվում Մեծ արգելախութը:")</f>
        <v>Ո՞ր երկրում է գտնվում Մեծ արգելախութը:</v>
      </c>
      <c r="D6886" s="6" t="str">
        <f>IFERROR(__xludf.DUMMYFUNCTION("GOOGLETRANSLATE(B6886,""en"",""hy"")"),"Ավստրալիա.")</f>
        <v>Ավստրալիա.</v>
      </c>
    </row>
    <row r="6887">
      <c r="A6887" s="5" t="s">
        <v>7534</v>
      </c>
      <c r="B6887" s="5" t="s">
        <v>7535</v>
      </c>
      <c r="C6887" s="5" t="str">
        <f>IFERROR(__xludf.DUMMYFUNCTION("GOOGLETRANSLATE(A6887,""en"",""hy"")"),"Ո՞վ է հորինել հեռախոսը:")</f>
        <v>Ո՞վ է հորինել հեռախոսը:</v>
      </c>
      <c r="D6887" s="6" t="str">
        <f>IFERROR(__xludf.DUMMYFUNCTION("GOOGLETRANSLATE(B6887,""en"",""hy"")"),"Ալեքսանդր Գրեհեմ Բել.")</f>
        <v>Ալեքսանդր Գրեհեմ Բել.</v>
      </c>
    </row>
    <row r="6888">
      <c r="A6888" s="5" t="s">
        <v>7467</v>
      </c>
      <c r="B6888" s="5" t="s">
        <v>7766</v>
      </c>
      <c r="C6888" s="5" t="str">
        <f>IFERROR(__xludf.DUMMYFUNCTION("GOOGLETRANSLATE(A6888,""en"",""hy"")"),"Ո՞րն է Ճապոնիայի արժույթը:")</f>
        <v>Ո՞րն է Ճապոնիայի արժույթը:</v>
      </c>
      <c r="D6888" s="6" t="str">
        <f>IFERROR(__xludf.DUMMYFUNCTION("GOOGLETRANSLATE(B6888,""en"",""hy"")"),"Ճապոնիայի արժույթը ճապոնական իենն է։")</f>
        <v>Ճապոնիայի արժույթը ճապոնական իենն է։</v>
      </c>
    </row>
    <row r="6889">
      <c r="A6889" s="5" t="s">
        <v>7722</v>
      </c>
      <c r="B6889" s="5" t="s">
        <v>7723</v>
      </c>
      <c r="C6889" s="5" t="str">
        <f>IFERROR(__xludf.DUMMYFUNCTION("GOOGLETRANSLATE(A6889,""en"",""hy"")"),"Ո՞րն է Աֆրիկայի ամենաբարձր լեռը:")</f>
        <v>Ո՞րն է Աֆրիկայի ամենաբարձր լեռը:</v>
      </c>
      <c r="D6889" s="6" t="str">
        <f>IFERROR(__xludf.DUMMYFUNCTION("GOOGLETRANSLATE(B6889,""en"",""hy"")"),"Կիլիմանջարո լեռ.")</f>
        <v>Կիլիմանջարո լեռ.</v>
      </c>
    </row>
    <row r="6890">
      <c r="A6890" s="5" t="s">
        <v>7854</v>
      </c>
      <c r="B6890" s="5" t="s">
        <v>7458</v>
      </c>
      <c r="C6890" s="5" t="str">
        <f>IFERROR(__xludf.DUMMYFUNCTION("GOOGLETRANSLATE(A6890,""en"",""hy"")"),"Ո՞վ էր Միացյալ Նահանգների առաջին նախագահը:")</f>
        <v>Ո՞վ էր Միացյալ Նահանգների առաջին նախագահը:</v>
      </c>
      <c r="D6890" s="6" t="str">
        <f>IFERROR(__xludf.DUMMYFUNCTION("GOOGLETRANSLATE(B6890,""en"",""hy"")"),"Ջորջ Վաշինգտոն.")</f>
        <v>Ջորջ Վաշինգտոն.</v>
      </c>
    </row>
    <row r="6891">
      <c r="A6891" s="5" t="s">
        <v>9053</v>
      </c>
      <c r="B6891" s="5" t="s">
        <v>7646</v>
      </c>
      <c r="C6891" s="5" t="str">
        <f>IFERROR(__xludf.DUMMYFUNCTION("GOOGLETRANSLATE(A6891,""en"",""hy"")"),"Ո՞րն է աշխարհի ամենախոր օվկիանոսը:")</f>
        <v>Ո՞րն է աշխարհի ամենախոր օվկիանոսը:</v>
      </c>
      <c r="D6891" s="6" t="str">
        <f>IFERROR(__xludf.DUMMYFUNCTION("GOOGLETRANSLATE(B6891,""en"",""hy"")"),"Խաղաղ օվկիանոս.")</f>
        <v>Խաղաղ օվկիանոս.</v>
      </c>
    </row>
    <row r="6892">
      <c r="A6892" s="5" t="s">
        <v>8245</v>
      </c>
      <c r="B6892" s="5" t="s">
        <v>9264</v>
      </c>
      <c r="C6892" s="5" t="str">
        <f>IFERROR(__xludf.DUMMYFUNCTION("GOOGLETRANSLATE(A6892,""en"",""hy"")"),"Ո՞ր քաղաքում է գտնվում Էյֆելյան աշտարակը:")</f>
        <v>Ո՞ր քաղաքում է գտնվում Էյֆելյան աշտարակը:</v>
      </c>
      <c r="D6892" s="6" t="str">
        <f>IFERROR(__xludf.DUMMYFUNCTION("GOOGLETRANSLATE(B6892,""en"",""hy"")"),"Փարիզ, Ֆրանսիա")</f>
        <v>Փարիզ, Ֆրանսիա</v>
      </c>
    </row>
    <row r="6893">
      <c r="A6893" s="5" t="s">
        <v>7452</v>
      </c>
      <c r="B6893" s="5" t="s">
        <v>7631</v>
      </c>
      <c r="C6893" s="5" t="str">
        <f>IFERROR(__xludf.DUMMYFUNCTION("GOOGLETRANSLATE(A6893,""en"",""hy"")"),"Ո՞րն է ոսկու քիմիական նշանը:")</f>
        <v>Ո՞րն է ոսկու քիմիական նշանը:</v>
      </c>
      <c r="D6893" s="6" t="str">
        <f>IFERROR(__xludf.DUMMYFUNCTION("GOOGLETRANSLATE(B6893,""en"",""hy"")"),"Ավ")</f>
        <v>Ավ</v>
      </c>
    </row>
    <row r="6894">
      <c r="A6894" s="5" t="s">
        <v>7640</v>
      </c>
      <c r="B6894" s="5" t="s">
        <v>1016</v>
      </c>
      <c r="C6894" s="5" t="str">
        <f>IFERROR(__xludf.DUMMYFUNCTION("GOOGLETRANSLATE(A6894,""en"",""hy"")"),"Ո՞վ է գրել «Ռոմեո և Ջուլիետ» պիեսը:")</f>
        <v>Ո՞վ է գրել «Ռոմեո և Ջուլիետ» պիեսը:</v>
      </c>
      <c r="D6894" s="6" t="str">
        <f>IFERROR(__xludf.DUMMYFUNCTION("GOOGLETRANSLATE(B6894,""en"",""hy"")"),"Ուիլյամ Շեքսպիր.")</f>
        <v>Ուիլյամ Շեքսպիր.</v>
      </c>
    </row>
    <row r="6895">
      <c r="A6895" s="5" t="s">
        <v>9265</v>
      </c>
      <c r="B6895" s="5" t="s">
        <v>9266</v>
      </c>
      <c r="C6895" s="5" t="str">
        <f>IFERROR(__xludf.DUMMYFUNCTION("GOOGLETRANSLATE(A6895,""en"",""hy"")"),"Ո՞ր կենդանին է ամենամեծ կենդանի կաթնասունը:")</f>
        <v>Ո՞ր կենդանին է ամենամեծ կենդանի կաթնասունը:</v>
      </c>
      <c r="D6895" s="6" t="str">
        <f>IFERROR(__xludf.DUMMYFUNCTION("GOOGLETRANSLATE(B6895,""en"",""hy"")"),"Կապույտ կետը ամենամեծ կենդանի կաթնասունն է:")</f>
        <v>Կապույտ կետը ամենամեծ կենդանի կաթնասունն է:</v>
      </c>
    </row>
    <row r="6896">
      <c r="A6896" s="5" t="s">
        <v>7842</v>
      </c>
      <c r="B6896" s="5" t="s">
        <v>9267</v>
      </c>
      <c r="C6896" s="5" t="str">
        <f>IFERROR(__xludf.DUMMYFUNCTION("GOOGLETRANSLATE(A6896,""en"",""hy"")"),"Ո՞րն է աշխարհի ամենաերկար գետը:")</f>
        <v>Ո՞րն է աշխարհի ամենաերկար գետը:</v>
      </c>
      <c r="D6896" s="6" t="str">
        <f>IFERROR(__xludf.DUMMYFUNCTION("GOOGLETRANSLATE(B6896,""en"",""hy"")"),"Աշխարհի ամենաերկար գետը Նեղոսն է։")</f>
        <v>Աշխարհի ամենաերկար գետը Նեղոսն է։</v>
      </c>
    </row>
    <row r="6897">
      <c r="A6897" s="5" t="s">
        <v>7515</v>
      </c>
      <c r="B6897" s="5" t="s">
        <v>7516</v>
      </c>
      <c r="C6897" s="5" t="str">
        <f>IFERROR(__xludf.DUMMYFUNCTION("GOOGLETRANSLATE(A6897,""en"",""hy"")"),"Ո՞րն է Բրազիլիայի մայրաքաղաքը:")</f>
        <v>Ո՞րն է Բրազիլիայի մայրաքաղաքը:</v>
      </c>
      <c r="D6897" s="6" t="str">
        <f>IFERROR(__xludf.DUMMYFUNCTION("GOOGLETRANSLATE(B6897,""en"",""hy"")"),"Բրազիլիա.")</f>
        <v>Բրազիլիա.</v>
      </c>
    </row>
    <row r="6898">
      <c r="A6898" s="5" t="s">
        <v>7447</v>
      </c>
      <c r="B6898" s="5" t="s">
        <v>7448</v>
      </c>
      <c r="C6898" s="5" t="str">
        <f>IFERROR(__xludf.DUMMYFUNCTION("GOOGLETRANSLATE(A6898,""en"",""hy"")"),"Ո՞վ է նկարել Մոնա Լիզան:")</f>
        <v>Ո՞վ է նկարել Մոնա Լիզան:</v>
      </c>
      <c r="D6898" s="6" t="str">
        <f>IFERROR(__xludf.DUMMYFUNCTION("GOOGLETRANSLATE(B6898,""en"",""hy"")"),"Լեոնարդո դա Վինչի.")</f>
        <v>Լեոնարդո դա Վինչի.</v>
      </c>
    </row>
    <row r="6899">
      <c r="A6899" s="5" t="s">
        <v>9268</v>
      </c>
      <c r="B6899" s="5" t="s">
        <v>9269</v>
      </c>
      <c r="C6899" s="5" t="str">
        <f>IFERROR(__xludf.DUMMYFUNCTION("GOOGLETRANSLATE(A6899,""en"",""hy"")"),"Քանի՞ աստղ կա Միացյալ Նահանգների դրոշի վրա:")</f>
        <v>Քանի՞ աստղ կա Միացյալ Նահանգների դրոշի վրա:</v>
      </c>
      <c r="D6899" s="6" t="str">
        <f>IFERROR(__xludf.DUMMYFUNCTION("GOOGLETRANSLATE(B6899,""en"",""hy"")"),"Միացյալ Նահանգների դրոշի վրա 50 աստղ կա։")</f>
        <v>Միացյալ Նահանգների դրոշի վրա 50 աստղ կա։</v>
      </c>
    </row>
    <row r="6900">
      <c r="A6900" s="5" t="s">
        <v>7497</v>
      </c>
      <c r="B6900" s="5" t="s">
        <v>8600</v>
      </c>
      <c r="C6900" s="5" t="str">
        <f>IFERROR(__xludf.DUMMYFUNCTION("GOOGLETRANSLATE(A6900,""en"",""hy"")"),"Ո՞րն է աշխարհի ամենամեծ մայրցամաքը:")</f>
        <v>Ո՞րն է աշխարհի ամենամեծ մայրցամաքը:</v>
      </c>
      <c r="D6900" s="6" t="str">
        <f>IFERROR(__xludf.DUMMYFUNCTION("GOOGLETRANSLATE(B6900,""en"",""hy"")"),"Ասիա")</f>
        <v>Ասիա</v>
      </c>
    </row>
    <row r="6901">
      <c r="A6901" s="5" t="s">
        <v>7789</v>
      </c>
      <c r="B6901" s="5" t="s">
        <v>7790</v>
      </c>
      <c r="C6901" s="5" t="str">
        <f>IFERROR(__xludf.DUMMYFUNCTION("GOOGLETRANSLATE(A6901,""en"",""hy"")"),"Ո՞վ է հունական ամպրոպի աստվածը:")</f>
        <v>Ո՞վ է հունական ամպրոպի աստվածը:</v>
      </c>
      <c r="D6901" s="6" t="str">
        <f>IFERROR(__xludf.DUMMYFUNCTION("GOOGLETRANSLATE(B6901,""en"",""hy"")"),"Հունական ամպրոպի աստվածը Զևսն է:")</f>
        <v>Հունական ամպրոպի աստվածը Զևսն է:</v>
      </c>
    </row>
    <row r="6902">
      <c r="A6902" s="5" t="s">
        <v>9270</v>
      </c>
      <c r="B6902" s="5" t="s">
        <v>9271</v>
      </c>
      <c r="C6902" s="5" t="str">
        <f>IFERROR(__xludf.DUMMYFUNCTION("GOOGLETRANSLATE(A6902,""en"",""hy"")"),"Ո՞րն է Կանադայի ազգային ծաղիկը:")</f>
        <v>Ո՞րն է Կանադայի ազգային ծաղիկը:</v>
      </c>
      <c r="D6902" s="6" t="str">
        <f>IFERROR(__xludf.DUMMYFUNCTION("GOOGLETRANSLATE(B6902,""en"",""hy"")"),"Կանադայի ազգային ծաղիկը թխկի տերեւն է։")</f>
        <v>Կանադայի ազգային ծաղիկը թխկի տերեւն է։</v>
      </c>
    </row>
    <row r="6903">
      <c r="A6903" s="5" t="s">
        <v>8998</v>
      </c>
      <c r="B6903" s="5" t="s">
        <v>7556</v>
      </c>
      <c r="C6903" s="5" t="str">
        <f>IFERROR(__xludf.DUMMYFUNCTION("GOOGLETRANSLATE(A6903,""en"",""hy"")"),"Ո՞վ է մշակել հարաբերականության տեսությունը:")</f>
        <v>Ո՞վ է մշակել հարաբերականության տեսությունը:</v>
      </c>
      <c r="D6903" s="6" t="str">
        <f>IFERROR(__xludf.DUMMYFUNCTION("GOOGLETRANSLATE(B6903,""en"",""hy"")"),"Albert Einstein.")</f>
        <v>Albert Einstein.</v>
      </c>
    </row>
    <row r="6904">
      <c r="A6904" s="5" t="s">
        <v>9272</v>
      </c>
      <c r="B6904" s="5" t="s">
        <v>2267</v>
      </c>
      <c r="C6904" s="5" t="str">
        <f>IFERROR(__xludf.DUMMYFUNCTION("GOOGLETRANSLATE(A6904,""en"",""hy"")"),"Ո՞րն է Մեքսիկայում խոսվող հիմնական լեզուն:")</f>
        <v>Ո՞րն է Մեքսիկայում խոսվող հիմնական լեզուն:</v>
      </c>
      <c r="D6904" s="6" t="str">
        <f>IFERROR(__xludf.DUMMYFUNCTION("GOOGLETRANSLATE(B6904,""en"",""hy"")"),"իսպաներեն.")</f>
        <v>իսպաներեն.</v>
      </c>
    </row>
    <row r="6905">
      <c r="A6905" s="5" t="s">
        <v>8676</v>
      </c>
      <c r="B6905" s="5" t="s">
        <v>9273</v>
      </c>
      <c r="C6905" s="5" t="str">
        <f>IFERROR(__xludf.DUMMYFUNCTION("GOOGLETRANSLATE(A6905,""en"",""hy"")"),"Ո՞րն է շոկոլադի հիմնական բաղադրիչը:")</f>
        <v>Ո՞րն է շոկոլադի հիմնական բաղադրիչը:</v>
      </c>
      <c r="D6905" s="6" t="str">
        <f>IFERROR(__xludf.DUMMYFUNCTION("GOOGLETRANSLATE(B6905,""en"",""hy"")"),"Կակաո.")</f>
        <v>Կակաո.</v>
      </c>
    </row>
    <row r="6906">
      <c r="A6906" s="5" t="s">
        <v>8732</v>
      </c>
      <c r="B6906" s="5" t="s">
        <v>8040</v>
      </c>
      <c r="C6906" s="5" t="str">
        <f>IFERROR(__xludf.DUMMYFUNCTION("GOOGLETRANSLATE(A6906,""en"",""hy"")"),"Ո՞ր երկիրն է հայտնի Թաջ Մահալով:")</f>
        <v>Ո՞ր երկիրն է հայտնի Թաջ Մահալով:</v>
      </c>
      <c r="D6906" s="6" t="str">
        <f>IFERROR(__xludf.DUMMYFUNCTION("GOOGLETRANSLATE(B6906,""en"",""hy"")"),"Հնդկաստան")</f>
        <v>Հնդկաստան</v>
      </c>
    </row>
    <row r="6907">
      <c r="A6907" s="5" t="s">
        <v>7769</v>
      </c>
      <c r="B6907" s="5" t="s">
        <v>8110</v>
      </c>
      <c r="C6907" s="5" t="str">
        <f>IFERROR(__xludf.DUMMYFUNCTION("GOOGLETRANSLATE(A6907,""en"",""hy"")"),"Ո՞վ է Հարրի Փոթերի գրքերի շարքի հեղինակը:")</f>
        <v>Ո՞վ է Հարրի Փոթերի գրքերի շարքի հեղինակը:</v>
      </c>
      <c r="D6907" s="6" t="str">
        <f>IFERROR(__xludf.DUMMYFUNCTION("GOOGLETRANSLATE(B6907,""en"",""hy"")"),"Ջ.Կ. Ռոուլինգ")</f>
        <v>Ջ.Կ. Ռոուլինգ</v>
      </c>
    </row>
    <row r="6908">
      <c r="A6908" s="5" t="s">
        <v>7574</v>
      </c>
      <c r="B6908" s="5" t="s">
        <v>7525</v>
      </c>
      <c r="C6908" s="5" t="str">
        <f>IFERROR(__xludf.DUMMYFUNCTION("GOOGLETRANSLATE(A6908,""en"",""hy"")"),"Ո՞րն է Չինաստանի մայրաքաղաքը:")</f>
        <v>Ո՞րն է Չինաստանի մայրաքաղաքը:</v>
      </c>
      <c r="D6908" s="6" t="str">
        <f>IFERROR(__xludf.DUMMYFUNCTION("GOOGLETRANSLATE(B6908,""en"",""hy"")"),"Պեկին.")</f>
        <v>Պեկին.</v>
      </c>
    </row>
    <row r="6909">
      <c r="A6909" s="5" t="s">
        <v>7779</v>
      </c>
      <c r="B6909" s="5" t="s">
        <v>8590</v>
      </c>
      <c r="C6909" s="5" t="str">
        <f>IFERROR(__xludf.DUMMYFUNCTION("GOOGLETRANSLATE(A6909,""en"",""hy"")"),"Ո՞ր մոլորակն է հայտնի որպես «Կարմիր մոլորակ»:")</f>
        <v>Ո՞ր մոլորակն է հայտնի որպես «Կարմիր մոլորակ»:</v>
      </c>
      <c r="D6909" s="6" t="str">
        <f>IFERROR(__xludf.DUMMYFUNCTION("GOOGLETRANSLATE(B6909,""en"",""hy"")"),"Մարս")</f>
        <v>Մարս</v>
      </c>
    </row>
    <row r="6910">
      <c r="A6910" s="5" t="s">
        <v>8105</v>
      </c>
      <c r="B6910" s="5" t="s">
        <v>8960</v>
      </c>
      <c r="C6910" s="5" t="str">
        <f>IFERROR(__xludf.DUMMYFUNCTION("GOOGLETRANSLATE(A6910,""en"",""hy"")"),"Ո՞վ էր առաջին մարդը, ով քայլեց լուսնի վրա:")</f>
        <v>Ո՞վ էր առաջին մարդը, ով քայլեց լուսնի վրա:</v>
      </c>
      <c r="D6910" s="6" t="str">
        <f>IFERROR(__xludf.DUMMYFUNCTION("GOOGLETRANSLATE(B6910,""en"",""hy"")"),"Նիլ Արմսթրոնգ")</f>
        <v>Նիլ Արմսթրոնգ</v>
      </c>
    </row>
    <row r="6911">
      <c r="A6911" s="5" t="s">
        <v>7513</v>
      </c>
      <c r="B6911" s="5" t="s">
        <v>7783</v>
      </c>
      <c r="C6911" s="5" t="str">
        <f>IFERROR(__xludf.DUMMYFUNCTION("GOOGLETRANSLATE(A6911,""en"",""hy"")"),"Ո՞րն է աշխարհի ամենամեծ անապատը:")</f>
        <v>Ո՞րն է աշխարհի ամենամեծ անապատը:</v>
      </c>
      <c r="D6911" s="6" t="str">
        <f>IFERROR(__xludf.DUMMYFUNCTION("GOOGLETRANSLATE(B6911,""en"",""hy"")"),"Սահարա անապատ.")</f>
        <v>Սահարա անապատ.</v>
      </c>
    </row>
    <row r="6912">
      <c r="A6912" s="5" t="s">
        <v>7473</v>
      </c>
      <c r="B6912" s="5" t="s">
        <v>7474</v>
      </c>
      <c r="C6912" s="5" t="str">
        <f>IFERROR(__xludf.DUMMYFUNCTION("GOOGLETRANSLATE(A6912,""en"",""hy"")"),"Ո՞վ է նկարել Սիքստինյան կապելլայի առաստաղը:")</f>
        <v>Ո՞վ է նկարել Սիքստինյան կապելլայի առաստաղը:</v>
      </c>
      <c r="D6912" s="6" t="str">
        <f>IFERROR(__xludf.DUMMYFUNCTION("GOOGLETRANSLATE(B6912,""en"",""hy"")"),"Միքելանջելո.")</f>
        <v>Միքելանջելո.</v>
      </c>
    </row>
    <row r="6913">
      <c r="A6913" s="5" t="s">
        <v>7791</v>
      </c>
      <c r="B6913" s="5" t="s">
        <v>7792</v>
      </c>
      <c r="C6913" s="5" t="str">
        <f>IFERROR(__xludf.DUMMYFUNCTION("GOOGLETRANSLATE(A6913,""en"",""hy"")"),"Ո՞րն է Ավստրալիայի ազգային կենդանին:")</f>
        <v>Ո՞րն է Ավստրալիայի ազգային կենդանին:</v>
      </c>
      <c r="D6913" s="6" t="str">
        <f>IFERROR(__xludf.DUMMYFUNCTION("GOOGLETRANSLATE(B6913,""en"",""hy"")"),"Ավստրալիայի ազգային կենդանին կենգուրուն է։")</f>
        <v>Ավստրալիայի ազգային կենդանին կենգուրուն է։</v>
      </c>
    </row>
    <row r="6914">
      <c r="A6914" s="5" t="s">
        <v>9274</v>
      </c>
      <c r="B6914" s="5" t="s">
        <v>9243</v>
      </c>
      <c r="C6914" s="5" t="str">
        <f>IFERROR(__xludf.DUMMYFUNCTION("GOOGLETRANSLATE(A6914,""en"",""hy"")"),"Ո՞ր դերասանուհին է խաղացել Հերմիոնա Գրեյնջերի դերը Հարի Փոթերի մասին ֆիլմերում:")</f>
        <v>Ո՞ր դերասանուհին է խաղացել Հերմիոնա Գրեյնջերի դերը Հարի Փոթերի մասին ֆիլմերում:</v>
      </c>
      <c r="D6914" s="6" t="str">
        <f>IFERROR(__xludf.DUMMYFUNCTION("GOOGLETRANSLATE(B6914,""en"",""hy"")"),"Էմմա Ուոթսոն.")</f>
        <v>Էմմա Ուոթսոն.</v>
      </c>
    </row>
    <row r="6915">
      <c r="A6915" s="5" t="s">
        <v>7908</v>
      </c>
      <c r="B6915" s="5" t="s">
        <v>7909</v>
      </c>
      <c r="C6915" s="5" t="str">
        <f>IFERROR(__xludf.DUMMYFUNCTION("GOOGLETRANSLATE(A6915,""en"",""hy"")"),"Ո՞րն է Իտալիայի արժույթը:")</f>
        <v>Ո՞րն է Իտալիայի արժույթը:</v>
      </c>
      <c r="D6915" s="6" t="str">
        <f>IFERROR(__xludf.DUMMYFUNCTION("GOOGLETRANSLATE(B6915,""en"",""hy"")"),"Իտալիայի արժույթը եվրոն է։")</f>
        <v>Իտալիայի արժույթը եվրոն է։</v>
      </c>
    </row>
    <row r="6916">
      <c r="A6916" s="5" t="s">
        <v>8594</v>
      </c>
      <c r="B6916" s="5" t="s">
        <v>7541</v>
      </c>
      <c r="C6916" s="5" t="str">
        <f>IFERROR(__xludf.DUMMYFUNCTION("GOOGLETRANSLATE(A6916,""en"",""hy"")"),"Ո՞վ է գրել հայտնի «Սպանել ծաղրող թռչունին» վեպը:")</f>
        <v>Ո՞վ է գրել հայտնի «Սպանել ծաղրող թռչունին» վեպը:</v>
      </c>
      <c r="D6916" s="6" t="str">
        <f>IFERROR(__xludf.DUMMYFUNCTION("GOOGLETRANSLATE(B6916,""en"",""hy"")"),"Հարփեր Լի.")</f>
        <v>Հարփեր Լի.</v>
      </c>
    </row>
    <row r="6917">
      <c r="A6917" s="5" t="s">
        <v>7489</v>
      </c>
      <c r="B6917" s="5" t="s">
        <v>7490</v>
      </c>
      <c r="C6917" s="5" t="str">
        <f>IFERROR(__xludf.DUMMYFUNCTION("GOOGLETRANSLATE(A6917,""en"",""hy"")"),"Ո՞րն է աշխարհի ամենաբարձր շենքը:")</f>
        <v>Ո՞րն է աշխարհի ամենաբարձր շենքը:</v>
      </c>
      <c r="D6917" s="6" t="str">
        <f>IFERROR(__xludf.DUMMYFUNCTION("GOOGLETRANSLATE(B6917,""en"",""hy"")"),"Աշխարհի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6918">
      <c r="A6918" s="5" t="s">
        <v>9043</v>
      </c>
      <c r="B6918" s="5" t="s">
        <v>9275</v>
      </c>
      <c r="C6918" s="5" t="str">
        <f>IFERROR(__xludf.DUMMYFUNCTION("GOOGLETRANSLATE(A6918,""en"",""hy"")"),"Ո՞ր երկրում է գտնվում Սերենգետի ազգային պարկը:")</f>
        <v>Ո՞ր երկրում է գտնվում Սերենգետի ազգային պարկը:</v>
      </c>
      <c r="D6918" s="6" t="str">
        <f>IFERROR(__xludf.DUMMYFUNCTION("GOOGLETRANSLATE(B6918,""en"",""hy"")"),"Տանզանիա")</f>
        <v>Տանզանիա</v>
      </c>
    </row>
    <row r="6919">
      <c r="A6919" s="5" t="s">
        <v>7852</v>
      </c>
      <c r="B6919" s="5" t="s">
        <v>9149</v>
      </c>
      <c r="C6919" s="5" t="str">
        <f>IFERROR(__xludf.DUMMYFUNCTION("GOOGLETRANSLATE(A6919,""en"",""hy"")"),"Ո՞վ է ներկայիս Անգլիայի թագուհին:")</f>
        <v>Ո՞վ է ներկայիս Անգլիայի թագուհին:</v>
      </c>
      <c r="D6919" s="6" t="str">
        <f>IFERROR(__xludf.DUMMYFUNCTION("GOOGLETRANSLATE(B6919,""en"",""hy"")"),"Անգլիայի ներկայիս թագուհին Էլիզաբեթ II թագուհին է։")</f>
        <v>Անգլիայի ներկայիս թագուհին Էլիզաբեթ II թագուհին է։</v>
      </c>
    </row>
    <row r="6920">
      <c r="A6920" s="5" t="s">
        <v>7761</v>
      </c>
      <c r="B6920" s="5" t="s">
        <v>7862</v>
      </c>
      <c r="C6920" s="5" t="str">
        <f>IFERROR(__xludf.DUMMYFUNCTION("GOOGLETRANSLATE(A6920,""en"",""hy"")"),"Ո՞րն է ջրածնի քիմիական նշանը:")</f>
        <v>Ո՞րն է ջրածնի քիմիական նշանը:</v>
      </c>
      <c r="D6920" s="6" t="str">
        <f>IFERROR(__xludf.DUMMYFUNCTION("GOOGLETRANSLATE(B6920,""en"",""hy"")"),"Ջրածնի քիմիական նշանն է H.")</f>
        <v>Ջրածնի քիմիական նշանն է H.</v>
      </c>
    </row>
    <row r="6921">
      <c r="A6921" s="5" t="s">
        <v>9276</v>
      </c>
      <c r="B6921" s="5" t="s">
        <v>9016</v>
      </c>
      <c r="C6921" s="5" t="str">
        <f>IFERROR(__xludf.DUMMYFUNCTION("GOOGLETRANSLATE(A6921,""en"",""hy"")"),"Ո՞ր քաղաքում է անցկացվում ամենամյա կառնավալ փառատոնը:")</f>
        <v>Ո՞ր քաղաքում է անցկացվում ամենամյա կառնավալ փառատոնը:</v>
      </c>
      <c r="D6921" s="6" t="str">
        <f>IFERROR(__xludf.DUMMYFUNCTION("GOOGLETRANSLATE(B6921,""en"",""hy"")"),"Ռիո դե Ժանեյրո.")</f>
        <v>Ռիո դե Ժանեյրո.</v>
      </c>
    </row>
    <row r="6922">
      <c r="A6922" s="5" t="s">
        <v>8325</v>
      </c>
      <c r="B6922" s="5" t="s">
        <v>8326</v>
      </c>
      <c r="C6922" s="5" t="str">
        <f>IFERROR(__xludf.DUMMYFUNCTION("GOOGLETRANSLATE(A6922,""en"",""hy"")"),"Ո՞վ է հունական սիրո և գեղեցկության աստվածուհին:")</f>
        <v>Ո՞վ է հունական սիրո և գեղեցկության աստվածուհին:</v>
      </c>
      <c r="D6922" s="6" t="str">
        <f>IFERROR(__xludf.DUMMYFUNCTION("GOOGLETRANSLATE(B6922,""en"",""hy"")"),"Աֆրոդիտե.")</f>
        <v>Աֆրոդիտե.</v>
      </c>
    </row>
    <row r="6923">
      <c r="A6923" s="5" t="s">
        <v>8351</v>
      </c>
      <c r="B6923" s="5" t="s">
        <v>8352</v>
      </c>
      <c r="C6923" s="5" t="str">
        <f>IFERROR(__xludf.DUMMYFUNCTION("GOOGLETRANSLATE(A6923,""en"",""hy"")"),"Ո՞րն է Հնդկաստանի ազգային պտուղը:")</f>
        <v>Ո՞րն է Հնդկաստանի ազգային պտուղը:</v>
      </c>
      <c r="D6923" s="6" t="str">
        <f>IFERROR(__xludf.DUMMYFUNCTION("GOOGLETRANSLATE(B6923,""en"",""hy"")"),"Հնդկաստանի ազգային միրգը մանգոն է։")</f>
        <v>Հնդկաստանի ազգային միրգը մանգոն է։</v>
      </c>
    </row>
    <row r="6924">
      <c r="A6924" s="5" t="s">
        <v>8123</v>
      </c>
      <c r="B6924" s="5" t="s">
        <v>7448</v>
      </c>
      <c r="C6924" s="5" t="str">
        <f>IFERROR(__xludf.DUMMYFUNCTION("GOOGLETRANSLATE(A6924,""en"",""hy"")"),"Ո՞վ է նկարել հայտնի «Վերջին ընթրիքը» ստեղծագործությունը:")</f>
        <v>Ո՞վ է նկարել հայտնի «Վերջին ընթրիքը» ստեղծագործությունը:</v>
      </c>
      <c r="D6924" s="6" t="str">
        <f>IFERROR(__xludf.DUMMYFUNCTION("GOOGLETRANSLATE(B6924,""en"",""hy"")"),"Լեոնարդո դա Վինչի.")</f>
        <v>Լեոնարդո դա Վինչի.</v>
      </c>
    </row>
    <row r="6925">
      <c r="A6925" s="5" t="s">
        <v>7526</v>
      </c>
      <c r="B6925" s="5" t="s">
        <v>7527</v>
      </c>
      <c r="C6925" s="5" t="str">
        <f>IFERROR(__xludf.DUMMYFUNCTION("GOOGLETRANSLATE(A6925,""en"",""hy"")"),"Ո՞րն է աշխարհի ամենամեծ կղզին:")</f>
        <v>Ո՞րն է աշխարհի ամենամեծ կղզին:</v>
      </c>
      <c r="D6925" s="6" t="str">
        <f>IFERROR(__xludf.DUMMYFUNCTION("GOOGLETRANSLATE(B6925,""en"",""hy"")"),"Գրենլանդիա.")</f>
        <v>Գրենլանդիա.</v>
      </c>
    </row>
    <row r="6926">
      <c r="A6926" s="5" t="s">
        <v>7469</v>
      </c>
      <c r="B6926" s="5" t="s">
        <v>7470</v>
      </c>
      <c r="C6926" s="5" t="str">
        <f>IFERROR(__xludf.DUMMYFUNCTION("GOOGLETRANSLATE(A6926,""en"",""hy"")"),"Ո՞ր տարում ավարտվեց Երկրորդ համաշխարհային պատերազմը:")</f>
        <v>Ո՞ր տարում ավարտվեց Երկրորդ համաշխարհային պատերազմը:</v>
      </c>
      <c r="D6926" s="6" t="str">
        <f>IFERROR(__xludf.DUMMYFUNCTION("GOOGLETRANSLATE(B6926,""en"",""hy"")"),"Երկրորդ համաշխարհային պատերազմն ավարտվեց 1945 թվականին։")</f>
        <v>Երկրորդ համաշխարհային պատերազմն ավարտվեց 1945 թվականին։</v>
      </c>
    </row>
    <row r="6927">
      <c r="A6927" s="5" t="s">
        <v>7566</v>
      </c>
      <c r="B6927" s="5" t="s">
        <v>7567</v>
      </c>
      <c r="C6927" s="5" t="str">
        <f>IFERROR(__xludf.DUMMYFUNCTION("GOOGLETRANSLATE(A6927,""en"",""hy"")"),"Ո՞վ է Կանադայի ներկայիս վարչապետը:")</f>
        <v>Ո՞վ է Կանադայի ներկայիս վարչապետը:</v>
      </c>
      <c r="D6927" s="6" t="str">
        <f>IFERROR(__xludf.DUMMYFUNCTION("GOOGLETRANSLATE(B6927,""en"",""hy"")"),"Ջասթին Թրյուդո")</f>
        <v>Ջասթին Թրյուդո</v>
      </c>
    </row>
    <row r="6928">
      <c r="A6928" s="5" t="s">
        <v>8609</v>
      </c>
      <c r="B6928" s="5" t="s">
        <v>9277</v>
      </c>
      <c r="C6928" s="5" t="str">
        <f>IFERROR(__xludf.DUMMYFUNCTION("GOOGLETRANSLATE(A6928,""en"",""hy"")"),"Ո՞րն է Հնդկաստանի ազգային սպորտը:")</f>
        <v>Ո՞րն է Հնդկաստանի ազգային սպորտը:</v>
      </c>
      <c r="D6928" s="6" t="str">
        <f>IFERROR(__xludf.DUMMYFUNCTION("GOOGLETRANSLATE(B6928,""en"",""hy"")"),"Հնդկաստանի ազգային սպորտը հոկեյն է։")</f>
        <v>Հնդկաստանի ազգային սպորտը հոկեյն է։</v>
      </c>
    </row>
    <row r="6929">
      <c r="A6929" s="5" t="s">
        <v>7477</v>
      </c>
      <c r="B6929" s="5" t="s">
        <v>7784</v>
      </c>
      <c r="C6929" s="5" t="str">
        <f>IFERROR(__xludf.DUMMYFUNCTION("GOOGLETRANSLATE(A6929,""en"",""hy"")"),"Ո՞ր երկիրն է հայտնի որպես «Ծագող արևի երկիր»:")</f>
        <v>Ո՞ր երկիրն է հայտնի որպես «Ծագող արևի երկիր»:</v>
      </c>
      <c r="D6929" s="6" t="str">
        <f>IFERROR(__xludf.DUMMYFUNCTION("GOOGLETRANSLATE(B6929,""en"",""hy"")"),"Ճապոնիա")</f>
        <v>Ճապոնիա</v>
      </c>
    </row>
    <row r="6930">
      <c r="A6930" s="5" t="s">
        <v>8115</v>
      </c>
      <c r="B6930" s="5" t="s">
        <v>9278</v>
      </c>
      <c r="C6930" s="5" t="str">
        <f>IFERROR(__xludf.DUMMYFUNCTION("GOOGLETRANSLATE(A6930,""en"",""hy"")"),"Ո՞վ է եղել Միացյալ Թագավորության առաջին կին վարչապետը:")</f>
        <v>Ո՞վ է եղել Միացյալ Թագավորության առաջին կին վարչապետը:</v>
      </c>
      <c r="D6930" s="6" t="str">
        <f>IFERROR(__xludf.DUMMYFUNCTION("GOOGLETRANSLATE(B6930,""en"",""hy"")"),"Մարգարեթ Թետչեր.")</f>
        <v>Մարգարեթ Թետչեր.</v>
      </c>
    </row>
    <row r="6931">
      <c r="A6931" s="5" t="s">
        <v>8709</v>
      </c>
      <c r="B6931" s="5" t="s">
        <v>8710</v>
      </c>
      <c r="C6931" s="5" t="str">
        <f>IFERROR(__xludf.DUMMYFUNCTION("GOOGLETRANSLATE(A6931,""en"",""hy"")"),"Ո՞րն է գարեջրի հիմնական բաղադրիչը:")</f>
        <v>Ո՞րն է գարեջրի հիմնական բաղադրիչը:</v>
      </c>
      <c r="D6931" s="6" t="str">
        <f>IFERROR(__xludf.DUMMYFUNCTION("GOOGLETRANSLATE(B6931,""en"",""hy"")"),"Գարեջրի հիմնական բաղադրիչը գարին է։")</f>
        <v>Գարեջրի հիմնական բաղադրիչը գարին է։</v>
      </c>
    </row>
    <row r="6932">
      <c r="A6932" s="5" t="s">
        <v>9279</v>
      </c>
      <c r="B6932" s="5" t="s">
        <v>8355</v>
      </c>
      <c r="C6932" s="5" t="str">
        <f>IFERROR(__xludf.DUMMYFUNCTION("GOOGLETRANSLATE(A6932,""en"",""hy"")"),"Ո՞վ է գրել հայտնի «1984» վեպը։")</f>
        <v>Ո՞վ է գրել հայտնի «1984» վեպը։</v>
      </c>
      <c r="D6932" s="6" t="str">
        <f>IFERROR(__xludf.DUMMYFUNCTION("GOOGLETRANSLATE(B6932,""en"",""hy"")"),"Ջորջ Օրուել")</f>
        <v>Ջորջ Օրուել</v>
      </c>
    </row>
    <row r="6933">
      <c r="A6933" s="5" t="s">
        <v>9280</v>
      </c>
      <c r="B6933" s="5" t="s">
        <v>2790</v>
      </c>
      <c r="C6933" s="5" t="str">
        <f>IFERROR(__xludf.DUMMYFUNCTION("GOOGLETRANSLATE(A6933,""en"",""hy"")"),"Ո՞ր երկիրն ունի աշխարհի ամենամեծ բնակչությունը:")</f>
        <v>Ո՞ր երկիրն ունի աշխարհի ամենամեծ բնակչությունը:</v>
      </c>
      <c r="D6933" s="6" t="str">
        <f>IFERROR(__xludf.DUMMYFUNCTION("GOOGLETRANSLATE(B6933,""en"",""hy"")"),"Չինաստան.")</f>
        <v>Չինաստան.</v>
      </c>
    </row>
    <row r="6934">
      <c r="A6934" s="5" t="s">
        <v>8180</v>
      </c>
      <c r="B6934" s="5" t="s">
        <v>7826</v>
      </c>
      <c r="C6934" s="5" t="str">
        <f>IFERROR(__xludf.DUMMYFUNCTION("GOOGLETRANSLATE(A6934,""en"",""hy"")"),"Ո՞րն է մարդու մարմնի ամենաերկար ոսկորը:")</f>
        <v>Ո՞րն է մարդու մարմնի ամենաերկար ոսկորը:</v>
      </c>
      <c r="D6934" s="6" t="str">
        <f>IFERROR(__xludf.DUMMYFUNCTION("GOOGLETRANSLATE(B6934,""en"",""hy"")"),"Ֆեմուրը.")</f>
        <v>Ֆեմուրը.</v>
      </c>
    </row>
    <row r="6935">
      <c r="A6935" s="5" t="s">
        <v>7536</v>
      </c>
      <c r="B6935" s="5" t="s">
        <v>8364</v>
      </c>
      <c r="C6935" s="5" t="str">
        <f>IFERROR(__xludf.DUMMYFUNCTION("GOOGLETRANSLATE(A6935,""en"",""hy"")"),"Ո՞րն է Ռուսաստանի մայրաքաղաքը:")</f>
        <v>Ո՞րն է Ռուսաստանի մայրաքաղաքը:</v>
      </c>
      <c r="D6935" s="6" t="str">
        <f>IFERROR(__xludf.DUMMYFUNCTION("GOOGLETRANSLATE(B6935,""en"",""hy"")"),"Ռուսաստանի մայրաքաղաքը Մոսկվան է։")</f>
        <v>Ռուսաստանի մայրաքաղաքը Մոսկվան է։</v>
      </c>
    </row>
    <row r="6936">
      <c r="A6936" s="5" t="s">
        <v>8599</v>
      </c>
      <c r="B6936" s="5" t="s">
        <v>7661</v>
      </c>
      <c r="C6936" s="5" t="str">
        <f>IFERROR(__xludf.DUMMYFUNCTION("GOOGLETRANSLATE(A6936,""en"",""hy"")"),"Ո՞վ է «Մեծն Գեթսբի» վեպի հեղինակը.")</f>
        <v>Ո՞վ է «Մեծն Գեթսբի» վեպի հեղինակը.</v>
      </c>
      <c r="D6936" s="6" t="str">
        <f>IFERROR(__xludf.DUMMYFUNCTION("GOOGLETRANSLATE(B6936,""en"",""hy"")"),"F. Scott Fitzgerald.")</f>
        <v>F. Scott Fitzgerald.</v>
      </c>
    </row>
    <row r="6937">
      <c r="A6937" s="5" t="s">
        <v>8198</v>
      </c>
      <c r="B6937" s="5" t="s">
        <v>8199</v>
      </c>
      <c r="C6937" s="5" t="str">
        <f>IFERROR(__xludf.DUMMYFUNCTION("GOOGLETRANSLATE(A6937,""en"",""hy"")"),"Ո՞րն է Չինաստանի ազգային կենդանին:")</f>
        <v>Ո՞րն է Չինաստանի ազգային կենդանին:</v>
      </c>
      <c r="D6937" s="6" t="str">
        <f>IFERROR(__xludf.DUMMYFUNCTION("GOOGLETRANSLATE(B6937,""en"",""hy"")"),"Չինաստանի ազգային կենդանին հսկա պանդան է։")</f>
        <v>Չինաստանի ազգային կենդանին հսկա պանդան է։</v>
      </c>
    </row>
    <row r="6938">
      <c r="A6938" s="5" t="s">
        <v>7805</v>
      </c>
      <c r="B6938" s="5" t="s">
        <v>7806</v>
      </c>
      <c r="C6938" s="5" t="str">
        <f>IFERROR(__xludf.DUMMYFUNCTION("GOOGLETRANSLATE(A6938,""en"",""hy"")"),"Ո՞ր մոլորակն է հայտնի որպես «Կապույտ մոլորակ»:")</f>
        <v>Ո՞ր մոլորակն է հայտնի որպես «Կապույտ մոլորակ»:</v>
      </c>
      <c r="D6938" s="6" t="str">
        <f>IFERROR(__xludf.DUMMYFUNCTION("GOOGLETRANSLATE(B6938,""en"",""hy"")"),"Երկիր.")</f>
        <v>Երկիր.</v>
      </c>
    </row>
    <row r="6939">
      <c r="A6939" s="5" t="s">
        <v>8787</v>
      </c>
      <c r="B6939" s="5" t="s">
        <v>7448</v>
      </c>
      <c r="C6939" s="5" t="str">
        <f>IFERROR(__xludf.DUMMYFUNCTION("GOOGLETRANSLATE(A6939,""en"",""hy"")"),"Ո՞վ է նկարել հայտնի «Մոնա Լիզան» արվեստի գործը:")</f>
        <v>Ո՞վ է նկարել հայտնի «Մոնա Լիզան» արվեստի գործը:</v>
      </c>
      <c r="D6939" s="6" t="str">
        <f>IFERROR(__xludf.DUMMYFUNCTION("GOOGLETRANSLATE(B6939,""en"",""hy"")"),"Լեոնարդո դա Վինչի.")</f>
        <v>Լեոնարդո դա Վինչի.</v>
      </c>
    </row>
    <row r="6940">
      <c r="A6940" s="5" t="s">
        <v>7614</v>
      </c>
      <c r="B6940" s="5" t="s">
        <v>7721</v>
      </c>
      <c r="C6940" s="5" t="str">
        <f>IFERROR(__xludf.DUMMYFUNCTION("GOOGLETRANSLATE(A6940,""en"",""hy"")"),"Ո՞րն է Ֆրանսիայի արժույթը:")</f>
        <v>Ո՞րն է Ֆրանսիայի արժույթը:</v>
      </c>
      <c r="D6940" s="6" t="str">
        <f>IFERROR(__xludf.DUMMYFUNCTION("GOOGLETRANSLATE(B6940,""en"",""hy"")"),"Ֆրանսիայի արժույթը եվրոն է։")</f>
        <v>Ֆրանսիայի արժույթը եվրոն է։</v>
      </c>
    </row>
    <row r="6941">
      <c r="A6941" s="5" t="s">
        <v>8250</v>
      </c>
      <c r="B6941" s="5" t="s">
        <v>7712</v>
      </c>
      <c r="C6941" s="5" t="str">
        <f>IFERROR(__xludf.DUMMYFUNCTION("GOOGLETRANSLATE(A6941,""en"",""hy"")"),"Ո՞ր քաղաքում է գտնվում Ազատության արձանը:")</f>
        <v>Ո՞ր քաղաքում է գտնվում Ազատության արձանը:</v>
      </c>
      <c r="D6941" s="6" t="str">
        <f>IFERROR(__xludf.DUMMYFUNCTION("GOOGLETRANSLATE(B6941,""en"",""hy"")"),"Նյու Յորք քաղաք.")</f>
        <v>Նյու Յորք քաղաք.</v>
      </c>
    </row>
    <row r="6942">
      <c r="A6942" s="5" t="s">
        <v>7572</v>
      </c>
      <c r="B6942" s="5" t="s">
        <v>7573</v>
      </c>
      <c r="C6942" s="5" t="str">
        <f>IFERROR(__xludf.DUMMYFUNCTION("GOOGLETRANSLATE(A6942,""en"",""hy"")"),"Ո՞վ է հորինել լամպը:")</f>
        <v>Ո՞վ է հորինել լամպը:</v>
      </c>
      <c r="D6942" s="6" t="str">
        <f>IFERROR(__xludf.DUMMYFUNCTION("GOOGLETRANSLATE(B6942,""en"",""hy"")"),"Թոմաս Էդիսոն.")</f>
        <v>Թոմաս Էդիսոն.</v>
      </c>
    </row>
    <row r="6943">
      <c r="A6943" s="5" t="s">
        <v>7530</v>
      </c>
      <c r="B6943" s="5" t="s">
        <v>9281</v>
      </c>
      <c r="C6943" s="5" t="str">
        <f>IFERROR(__xludf.DUMMYFUNCTION("GOOGLETRANSLATE(A6943,""en"",""hy"")"),"Ո՞րն է Հնդկաստանի ազգային թռչունը:")</f>
        <v>Ո՞րն է Հնդկաստանի ազգային թռչունը:</v>
      </c>
      <c r="D6943" s="6" t="str">
        <f>IFERROR(__xludf.DUMMYFUNCTION("GOOGLETRANSLATE(B6943,""en"",""hy"")"),"Հնդկաստանի ազգային թռչունը հնդկական սիրամարգն է։")</f>
        <v>Հնդկաստանի ազգային թռչունը հնդկական սիրամարգն է։</v>
      </c>
    </row>
    <row r="6944">
      <c r="A6944" s="5" t="s">
        <v>7592</v>
      </c>
      <c r="B6944" s="5" t="s">
        <v>7593</v>
      </c>
      <c r="C6944" s="5" t="str">
        <f>IFERROR(__xludf.DUMMYFUNCTION("GOOGLETRANSLATE(A6944,""en"",""hy"")"),"Ո՞րն է թթվածնի քիմիական նշանը:")</f>
        <v>Ո՞րն է թթվածնի քիմիական նշանը:</v>
      </c>
      <c r="D6944" s="6" t="str">
        <f>IFERROR(__xludf.DUMMYFUNCTION("GOOGLETRANSLATE(B6944,""en"",""hy"")"),"Թթվածնի քիմիական նշանը O է:")</f>
        <v>Թթվածնի քիմիական նշանը O է:</v>
      </c>
    </row>
    <row r="6945">
      <c r="A6945" s="5" t="s">
        <v>9282</v>
      </c>
      <c r="B6945" s="5" t="s">
        <v>7512</v>
      </c>
      <c r="C6945" s="5" t="str">
        <f>IFERROR(__xludf.DUMMYFUNCTION("GOOGLETRANSLATE(A6945,""en"",""hy"")"),"Ո՞ր երկիրն է հայտնի բուրգերով:")</f>
        <v>Ո՞ր երկիրն է հայտնի բուրգերով:</v>
      </c>
      <c r="D6945" s="6" t="str">
        <f>IFERROR(__xludf.DUMMYFUNCTION("GOOGLETRANSLATE(B6945,""en"",""hy"")"),"Եգիպտոս.")</f>
        <v>Եգիպտոս.</v>
      </c>
    </row>
    <row r="6946">
      <c r="A6946" s="5" t="s">
        <v>8878</v>
      </c>
      <c r="B6946" s="5" t="s">
        <v>7541</v>
      </c>
      <c r="C6946" s="5" t="str">
        <f>IFERROR(__xludf.DUMMYFUNCTION("GOOGLETRANSLATE(A6946,""en"",""hy"")"),"Ո՞վ է «Սպանել ծաղրածուին» վեպի հեղինակը.")</f>
        <v>Ո՞վ է «Սպանել ծաղրածուին» վեպի հեղինակը.</v>
      </c>
      <c r="D6946" s="6" t="str">
        <f>IFERROR(__xludf.DUMMYFUNCTION("GOOGLETRANSLATE(B6946,""en"",""hy"")"),"Հարփեր Լի.")</f>
        <v>Հարփեր Լի.</v>
      </c>
    </row>
    <row r="6947">
      <c r="A6947" s="5" t="s">
        <v>7780</v>
      </c>
      <c r="B6947" s="5" t="s">
        <v>2951</v>
      </c>
      <c r="C6947" s="5" t="str">
        <f>IFERROR(__xludf.DUMMYFUNCTION("GOOGLETRANSLATE(A6947,""en"",""hy"")"),"Ո՞րն է Կանադայի մայրաքաղաքը:")</f>
        <v>Ո՞րն է Կանադայի մայրաքաղաքը:</v>
      </c>
      <c r="D6947" s="6" t="str">
        <f>IFERROR(__xludf.DUMMYFUNCTION("GOOGLETRANSLATE(B6947,""en"",""hy"")"),"Օտտավա.")</f>
        <v>Օտտավա.</v>
      </c>
    </row>
    <row r="6948">
      <c r="A6948" s="5" t="s">
        <v>9249</v>
      </c>
      <c r="B6948" s="5" t="s">
        <v>7633</v>
      </c>
      <c r="C6948" s="5" t="str">
        <f>IFERROR(__xludf.DUMMYFUNCTION("GOOGLETRANSLATE(A6948,""en"",""hy"")"),"Ո՞ր մոլորակն է հայտնի որպես «Արեգակնային համակարգի հսկա»:")</f>
        <v>Ո՞ր մոլորակն է հայտնի որպես «Արեգակնային համակարգի հսկա»:</v>
      </c>
      <c r="D6948" s="6" t="str">
        <f>IFERROR(__xludf.DUMMYFUNCTION("GOOGLETRANSLATE(B6948,""en"",""hy"")"),"Յուպիտեր.")</f>
        <v>Յուպիտեր.</v>
      </c>
    </row>
    <row r="6949">
      <c r="A6949" s="5" t="s">
        <v>8318</v>
      </c>
      <c r="B6949" s="5" t="s">
        <v>7549</v>
      </c>
      <c r="C6949" s="5" t="str">
        <f>IFERROR(__xludf.DUMMYFUNCTION("GOOGLETRANSLATE(A6949,""en"",""hy"")"),"Ո՞վ է նկարել հայտնի «Մարգարտյա ականջօղով աղջիկը» ստեղծագործությունը:")</f>
        <v>Ո՞վ է նկարել հայտնի «Մարգարտյա ականջօղով աղջիկը» ստեղծագործությունը:</v>
      </c>
      <c r="D6949" s="6" t="str">
        <f>IFERROR(__xludf.DUMMYFUNCTION("GOOGLETRANSLATE(B6949,""en"",""hy"")"),"Յոհաննես Վերմեեր.")</f>
        <v>Յոհաննես Վերմեեր.</v>
      </c>
    </row>
    <row r="6950">
      <c r="A6950" s="5" t="s">
        <v>9283</v>
      </c>
      <c r="B6950" s="5" t="s">
        <v>9284</v>
      </c>
      <c r="C6950" s="5" t="str">
        <f>IFERROR(__xludf.DUMMYFUNCTION("GOOGLETRANSLATE(A6950,""en"",""hy"")"),"Ո՞րն է Միացյալ Նահանգների ազգային կենդանին:")</f>
        <v>Ո՞րն է Միացյալ Նահանգների ազգային կենդանին:</v>
      </c>
      <c r="D6950" s="6" t="str">
        <f>IFERROR(__xludf.DUMMYFUNCTION("GOOGLETRANSLATE(B6950,""en"",""hy"")"),"ԱՄՆ-ի ազգային կենդանին ճաղատ արծիվն է։")</f>
        <v>ԱՄՆ-ի ազգային կենդանին ճաղատ արծիվն է։</v>
      </c>
    </row>
    <row r="6951">
      <c r="A6951" s="5" t="s">
        <v>7701</v>
      </c>
      <c r="B6951" s="5" t="s">
        <v>9285</v>
      </c>
      <c r="C6951" s="5" t="str">
        <f>IFERROR(__xludf.DUMMYFUNCTION("GOOGLETRANSLATE(A6951,""en"",""hy"")"),"Ո՞վ է հորինել համակարգիչը:")</f>
        <v>Ո՞վ է հորինել համակարգիչը:</v>
      </c>
      <c r="D6951" s="6" t="str">
        <f>IFERROR(__xludf.DUMMYFUNCTION("GOOGLETRANSLATE(B6951,""en"",""hy"")"),"Չարլզ Բեբիջը համարվում է «համակարգչի հայրը» 19-րդ դարում վերլուծական շարժիչի իր գյուտի համար։")</f>
        <v>Չարլզ Բեբիջը համարվում է «համակարգչի հայրը» 19-րդ դարում վերլուծական շարժիչի իր գյուտի համար։</v>
      </c>
    </row>
    <row r="6952">
      <c r="A6952" s="5" t="s">
        <v>8075</v>
      </c>
      <c r="B6952" s="5" t="s">
        <v>9286</v>
      </c>
      <c r="C6952" s="5" t="str">
        <f>IFERROR(__xludf.DUMMYFUNCTION("GOOGLETRANSLATE(A6952,""en"",""hy"")"),"Ո՞րն է աշխարհի ամենամեծ հրաբուխը:")</f>
        <v>Ո՞րն է աշխարհի ամենամեծ հրաբուխը:</v>
      </c>
      <c r="D6952" s="6" t="str">
        <f>IFERROR(__xludf.DUMMYFUNCTION("GOOGLETRANSLATE(B6952,""en"",""hy"")"),"Աշխարհի ամենամեծ հրաբուխը Մաունա Լոան է, որը գտնվում է Հավայան կղզիներում:")</f>
        <v>Աշխարհի ամենամեծ հրաբուխը Մաունա Լոան է, որը գտնվում է Հավայան կղզիներում:</v>
      </c>
    </row>
    <row r="6953">
      <c r="A6953" s="5" t="s">
        <v>9287</v>
      </c>
      <c r="B6953" s="5" t="s">
        <v>7673</v>
      </c>
      <c r="C6953" s="5" t="str">
        <f>IFERROR(__xludf.DUMMYFUNCTION("GOOGLETRANSLATE(A6953,""en"",""hy"")"),"Ո՞ր երկրում է հայտնի սամբայի երաժշտությունն ու պարը:")</f>
        <v>Ո՞ր երկրում է հայտնի սամբայի երաժշտությունն ու պարը:</v>
      </c>
      <c r="D6953" s="6" t="str">
        <f>IFERROR(__xludf.DUMMYFUNCTION("GOOGLETRANSLATE(B6953,""en"",""hy"")"),"Բրազիլիա.")</f>
        <v>Բրազիլիա.</v>
      </c>
    </row>
    <row r="6954">
      <c r="A6954" s="5" t="s">
        <v>9244</v>
      </c>
      <c r="B6954" s="5" t="s">
        <v>7560</v>
      </c>
      <c r="C6954" s="5" t="str">
        <f>IFERROR(__xludf.DUMMYFUNCTION("GOOGLETRANSLATE(A6954,""en"",""hy"")"),"Ո՞վ է «Աշորայի մեջ բռնողը» վեպի հեղինակը.")</f>
        <v>Ո՞վ է «Աշորայի մեջ բռնողը» վեպի հեղինակը.</v>
      </c>
      <c r="D6954" s="6" t="str">
        <f>IFERROR(__xludf.DUMMYFUNCTION("GOOGLETRANSLATE(B6954,""en"",""hy"")"),"Ջ.Դ.Սելինջեր.")</f>
        <v>Ջ.Դ.Սելինջեր.</v>
      </c>
    </row>
    <row r="6955">
      <c r="A6955" s="5" t="s">
        <v>7579</v>
      </c>
      <c r="B6955" s="5" t="s">
        <v>7580</v>
      </c>
      <c r="C6955" s="5" t="str">
        <f>IFERROR(__xludf.DUMMYFUNCTION("GOOGLETRANSLATE(A6955,""en"",""hy"")"),"Ո՞րն է Գերմանիայի արժույթը:")</f>
        <v>Ո՞րն է Գերմանիայի արժույթը:</v>
      </c>
      <c r="D6955" s="6" t="str">
        <f>IFERROR(__xludf.DUMMYFUNCTION("GOOGLETRANSLATE(B6955,""en"",""hy"")"),"Գերմանիայի արժույթը եվրոն է։")</f>
        <v>Գերմանիայի արժույթը եվրոն է։</v>
      </c>
    </row>
    <row r="6956">
      <c r="A6956" s="5" t="s">
        <v>7683</v>
      </c>
      <c r="B6956" s="5" t="s">
        <v>1016</v>
      </c>
      <c r="C6956" s="5" t="str">
        <f>IFERROR(__xludf.DUMMYFUNCTION("GOOGLETRANSLATE(A6956,""en"",""hy"")"),"Ո՞վ է գրել «Համլետ» պիեսը։")</f>
        <v>Ո՞վ է գրել «Համլետ» պիեսը։</v>
      </c>
      <c r="D6956" s="6" t="str">
        <f>IFERROR(__xludf.DUMMYFUNCTION("GOOGLETRANSLATE(B6956,""en"",""hy"")"),"Ուիլյամ Շեքսպիր.")</f>
        <v>Ուիլյամ Շեքսպիր.</v>
      </c>
    </row>
    <row r="6957">
      <c r="A6957" s="5" t="s">
        <v>8101</v>
      </c>
      <c r="B6957" s="5" t="s">
        <v>7464</v>
      </c>
      <c r="C6957" s="5" t="str">
        <f>IFERROR(__xludf.DUMMYFUNCTION("GOOGLETRANSLATE(A6957,""en"",""hy"")"),"Ո՞րն է աշխարհի ամենաբարձր լեռը:")</f>
        <v>Ո՞րն է աշխարհի ամենաբարձր լեռը:</v>
      </c>
      <c r="D6957" s="6" t="str">
        <f>IFERROR(__xludf.DUMMYFUNCTION("GOOGLETRANSLATE(B6957,""en"",""hy"")"),"Էվերեստ լեռ.")</f>
        <v>Էվերեստ լեռ.</v>
      </c>
    </row>
    <row r="6958">
      <c r="A6958" s="5" t="s">
        <v>7744</v>
      </c>
      <c r="B6958" s="5" t="s">
        <v>7745</v>
      </c>
      <c r="C6958" s="5" t="str">
        <f>IFERROR(__xludf.DUMMYFUNCTION("GOOGLETRANSLATE(A6958,""en"",""hy"")"),"Ո՞վ է նկարել հայտնի «Հիշողության համառությունը» ստեղծագործությունը:")</f>
        <v>Ո՞վ է նկարել հայտնի «Հիշողության համառությունը» ստեղծագործությունը:</v>
      </c>
      <c r="D6958" s="6" t="str">
        <f>IFERROR(__xludf.DUMMYFUNCTION("GOOGLETRANSLATE(B6958,""en"",""hy"")"),"Սալվադոր Դալի.")</f>
        <v>Սալվադոր Դալի.</v>
      </c>
    </row>
    <row r="6959">
      <c r="A6959" s="5" t="s">
        <v>8161</v>
      </c>
      <c r="B6959" s="5" t="s">
        <v>8162</v>
      </c>
      <c r="C6959" s="5" t="str">
        <f>IFERROR(__xludf.DUMMYFUNCTION("GOOGLETRANSLATE(A6959,""en"",""hy"")"),"Ո՞րն է Ճապոնիայի ազգային ծաղիկը:")</f>
        <v>Ո՞րն է Ճապոնիայի ազգային ծաղիկը:</v>
      </c>
      <c r="D6959" s="6" t="str">
        <f>IFERROR(__xludf.DUMMYFUNCTION("GOOGLETRANSLATE(B6959,""en"",""hy"")"),"Ճապոնիայի ազգային ծաղիկը բալի ծաղիկն է:")</f>
        <v>Ճապոնիայի ազգային ծաղիկը բալի ծաղիկն է:</v>
      </c>
    </row>
    <row r="6960">
      <c r="A6960" s="5" t="s">
        <v>8762</v>
      </c>
      <c r="B6960" s="5" t="s">
        <v>9288</v>
      </c>
      <c r="C6960" s="5" t="str">
        <f>IFERROR(__xludf.DUMMYFUNCTION("GOOGLETRANSLATE(A6960,""en"",""hy"")"),"Ո՞ր կենդանին է հայտնի իր գույնը փոխելու ունակությամբ:")</f>
        <v>Ո՞ր կենդանին է հայտնի իր գույնը փոխելու ունակությամբ:</v>
      </c>
      <c r="D6960" s="6" t="str">
        <f>IFERROR(__xludf.DUMMYFUNCTION("GOOGLETRANSLATE(B6960,""en"",""hy"")"),"Քամելեոն.")</f>
        <v>Քամելեոն.</v>
      </c>
    </row>
    <row r="6961">
      <c r="A6961" s="5" t="s">
        <v>7589</v>
      </c>
      <c r="B6961" s="5" t="s">
        <v>7545</v>
      </c>
      <c r="C6961" s="5" t="str">
        <f>IFERROR(__xludf.DUMMYFUNCTION("GOOGLETRANSLATE(A6961,""en"",""hy"")"),"Ո՞րն է Իտալիայի մայրաքաղաքը:")</f>
        <v>Ո՞րն է Իտալիայի մայրաքաղաքը:</v>
      </c>
      <c r="D6961" s="6" t="str">
        <f>IFERROR(__xludf.DUMMYFUNCTION("GOOGLETRANSLATE(B6961,""en"",""hy"")"),"Հռոմ.")</f>
        <v>Հռոմ.</v>
      </c>
    </row>
    <row r="6962">
      <c r="A6962" s="5" t="s">
        <v>7807</v>
      </c>
      <c r="B6962" s="5" t="s">
        <v>7808</v>
      </c>
      <c r="C6962" s="5" t="str">
        <f>IFERROR(__xludf.DUMMYFUNCTION("GOOGLETRANSLATE(A6962,""en"",""hy"")"),"Ո՞վ է հորինել տպագրական մեքենան:")</f>
        <v>Ո՞վ է հորինել տպագրական մեքենան:</v>
      </c>
      <c r="D6962" s="6" t="str">
        <f>IFERROR(__xludf.DUMMYFUNCTION("GOOGLETRANSLATE(B6962,""en"",""hy"")"),"Յոհաննես Գուտենբերգ.")</f>
        <v>Յոհաննես Գուտենբերգ.</v>
      </c>
    </row>
    <row r="6963">
      <c r="A6963" s="5" t="s">
        <v>9289</v>
      </c>
      <c r="B6963" s="5" t="s">
        <v>9290</v>
      </c>
      <c r="C6963" s="5" t="str">
        <f>IFERROR(__xludf.DUMMYFUNCTION("GOOGLETRANSLATE(A6963,""en"",""hy"")"),"Ո՞րն է Միացյալ Թագավորության ազգային թռչունը:")</f>
        <v>Ո՞րն է Միացյալ Թագավորության ազգային թռչունը:</v>
      </c>
      <c r="D6963" s="6" t="str">
        <f>IFERROR(__xludf.DUMMYFUNCTION("GOOGLETRANSLATE(B6963,""en"",""hy"")"),"Միացյալ Թագավորության ազգային թռչունը ռոբինն է:")</f>
        <v>Միացյալ Թագավորության ազգային թռչունը ռոբինն է:</v>
      </c>
    </row>
    <row r="6964">
      <c r="A6964" s="5" t="s">
        <v>9291</v>
      </c>
      <c r="B6964" s="5" t="s">
        <v>9292</v>
      </c>
      <c r="C6964" s="5" t="str">
        <f>IFERROR(__xludf.DUMMYFUNCTION("GOOGLETRANSLATE(A6964,""en"",""hy"")"),"Ո՞ր երկրում է գտնվում Անգկոր Վատ տաճարային համալիրը:")</f>
        <v>Ո՞ր երկրում է գտնվում Անգկոր Վատ տաճարային համալիրը:</v>
      </c>
      <c r="D6964" s="6" t="str">
        <f>IFERROR(__xludf.DUMMYFUNCTION("GOOGLETRANSLATE(B6964,""en"",""hy"")"),"Կամբոջա.")</f>
        <v>Կամբոջա.</v>
      </c>
    </row>
    <row r="6965">
      <c r="A6965" s="5" t="s">
        <v>9257</v>
      </c>
      <c r="B6965" s="5" t="s">
        <v>7578</v>
      </c>
      <c r="C6965" s="5" t="str">
        <f>IFERROR(__xludf.DUMMYFUNCTION("GOOGLETRANSLATE(A6965,""en"",""hy"")"),"Ո՞վ է «Մոբի-Դիկ» վեպի հեղինակը։")</f>
        <v>Ո՞վ է «Մոբի-Դիկ» վեպի հեղինակը։</v>
      </c>
      <c r="D6965" s="6" t="str">
        <f>IFERROR(__xludf.DUMMYFUNCTION("GOOGLETRANSLATE(B6965,""en"",""hy"")"),"Հերման Մելվիլ.")</f>
        <v>Հերման Մելվիլ.</v>
      </c>
    </row>
    <row r="6966">
      <c r="A6966" s="5" t="s">
        <v>7699</v>
      </c>
      <c r="B6966" s="5" t="s">
        <v>7700</v>
      </c>
      <c r="C6966" s="5" t="str">
        <f>IFERROR(__xludf.DUMMYFUNCTION("GOOGLETRANSLATE(A6966,""en"",""hy"")"),"Ո՞րն է ածխածնի քիմիական նշանը:")</f>
        <v>Ո՞րն է ածխածնի քիմիական նշանը:</v>
      </c>
      <c r="D6966" s="6" t="str">
        <f>IFERROR(__xludf.DUMMYFUNCTION("GOOGLETRANSLATE(B6966,""en"",""hy"")"),"Ածխածնի քիմիական նշանը C է:")</f>
        <v>Ածխածնի քիմիական նշանը C է:</v>
      </c>
    </row>
    <row r="6967">
      <c r="A6967" s="5" t="s">
        <v>9293</v>
      </c>
      <c r="B6967" s="5" t="s">
        <v>9294</v>
      </c>
      <c r="C6967" s="5" t="str">
        <f>IFERROR(__xludf.DUMMYFUNCTION("GOOGLETRANSLATE(A6967,""en"",""hy"")"),"Ո՞ր քաղաքն է հայտնի իր ջրանցքներով և գոնդոլներով:")</f>
        <v>Ո՞ր քաղաքն է հայտնի իր ջրանցքներով և գոնդոլներով:</v>
      </c>
      <c r="D6967" s="6" t="str">
        <f>IFERROR(__xludf.DUMMYFUNCTION("GOOGLETRANSLATE(B6967,""en"",""hy"")"),"Վենետիկ")</f>
        <v>Վենետիկ</v>
      </c>
    </row>
    <row r="6968">
      <c r="A6968" s="5" t="s">
        <v>7674</v>
      </c>
      <c r="B6968" s="5" t="s">
        <v>7675</v>
      </c>
      <c r="C6968" s="5" t="str">
        <f>IFERROR(__xludf.DUMMYFUNCTION("GOOGLETRANSLATE(A6968,""en"",""hy"")"),"Ո՞վ է հունական ծովի աստվածը:")</f>
        <v>Ո՞վ է հունական ծովի աստվածը:</v>
      </c>
      <c r="D6968" s="6" t="str">
        <f>IFERROR(__xludf.DUMMYFUNCTION("GOOGLETRANSLATE(B6968,""en"",""hy"")"),"Պոսեյդոն.")</f>
        <v>Պոսեյդոն.</v>
      </c>
    </row>
    <row r="6969">
      <c r="A6969" s="5" t="s">
        <v>9295</v>
      </c>
      <c r="B6969" s="5" t="s">
        <v>9296</v>
      </c>
      <c r="C6969" s="5" t="str">
        <f>IFERROR(__xludf.DUMMYFUNCTION("GOOGLETRANSLATE(A6969,""en"",""hy"")"),"Ո՞րն է Չինաստանի ազգային միրգը:")</f>
        <v>Ո՞րն է Չինաստանի ազգային միրգը:</v>
      </c>
      <c r="D6969" s="6" t="str">
        <f>IFERROR(__xludf.DUMMYFUNCTION("GOOGLETRANSLATE(B6969,""en"",""hy"")"),"Չինաստանի ազգային միրգը կիվին է։")</f>
        <v>Չինաստանի ազգային միրգը կիվին է։</v>
      </c>
    </row>
    <row r="6970">
      <c r="A6970" s="5" t="s">
        <v>8371</v>
      </c>
      <c r="B6970" s="5" t="s">
        <v>7474</v>
      </c>
      <c r="C6970" s="5" t="str">
        <f>IFERROR(__xludf.DUMMYFUNCTION("GOOGLETRANSLATE(A6970,""en"",""hy"")"),"Ո՞վ է նկարել հայտնի «Ադամի ստեղծումը» ստեղծագործությունը:")</f>
        <v>Ո՞վ է նկարել հայտնի «Ադամի ստեղծումը» ստեղծագործությունը:</v>
      </c>
      <c r="D6970" s="6" t="str">
        <f>IFERROR(__xludf.DUMMYFUNCTION("GOOGLETRANSLATE(B6970,""en"",""hy"")"),"Միքելանջելո.")</f>
        <v>Միքելանջելո.</v>
      </c>
    </row>
    <row r="6971">
      <c r="A6971" s="5" t="s">
        <v>7691</v>
      </c>
      <c r="B6971" s="5" t="s">
        <v>7692</v>
      </c>
      <c r="C6971" s="5" t="str">
        <f>IFERROR(__xludf.DUMMYFUNCTION("GOOGLETRANSLATE(A6971,""en"",""hy"")"),"Ո՞րն է Աֆրիկայի ամենամեծ լիճը:")</f>
        <v>Ո՞րն է Աֆրիկայի ամենամեծ լիճը:</v>
      </c>
      <c r="D6971" s="6" t="str">
        <f>IFERROR(__xludf.DUMMYFUNCTION("GOOGLETRANSLATE(B6971,""en"",""hy"")"),"Վիկտորիա լիճ.")</f>
        <v>Վիկտորիա լիճ.</v>
      </c>
    </row>
    <row r="6972">
      <c r="A6972" s="5" t="s">
        <v>9297</v>
      </c>
      <c r="B6972" s="7">
        <v>1776.0</v>
      </c>
      <c r="C6972" s="5" t="str">
        <f>IFERROR(__xludf.DUMMYFUNCTION("GOOGLETRANSLATE(A6972,""en"",""hy"")"),"Ո՞ր թվականին է Միացյալ Նահանգները հռչակել անկախությունը Մեծ Բրիտանիայից.")</f>
        <v>Ո՞ր թվականին է Միացյալ Նահանգները հռչակել անկախությունը Մեծ Բրիտանիայից.</v>
      </c>
      <c r="D6972" s="6" t="str">
        <f>IFERROR(__xludf.DUMMYFUNCTION("GOOGLETRANSLATE(B6972,""en"",""hy"")"),"1776 թ")</f>
        <v>1776 թ</v>
      </c>
    </row>
    <row r="6973">
      <c r="A6973" s="5" t="s">
        <v>7504</v>
      </c>
      <c r="B6973" s="5" t="s">
        <v>7505</v>
      </c>
      <c r="C6973" s="5" t="str">
        <f>IFERROR(__xludf.DUMMYFUNCTION("GOOGLETRANSLATE(A6973,""en"",""hy"")"),"Ո՞վ է Միացյալ Նահանգների ներկայիս նախագահը:")</f>
        <v>Ո՞վ է Միացյալ Նահանգների ներկայիս նախագահը:</v>
      </c>
      <c r="D6973" s="6" t="str">
        <f>IFERROR(__xludf.DUMMYFUNCTION("GOOGLETRANSLATE(B6973,""en"",""hy"")"),"Ջո Բայդեն.")</f>
        <v>Ջո Բայդեն.</v>
      </c>
    </row>
    <row r="6974">
      <c r="A6974" s="5" t="s">
        <v>8055</v>
      </c>
      <c r="B6974" s="5" t="s">
        <v>9298</v>
      </c>
      <c r="C6974" s="5" t="str">
        <f>IFERROR(__xludf.DUMMYFUNCTION("GOOGLETRANSLATE(A6974,""en"",""hy"")"),"Ո՞րն է Ճապոնիայի ազգային սպորտը:")</f>
        <v>Ո՞րն է Ճապոնիայի ազգային սպորտը:</v>
      </c>
      <c r="D6974" s="6" t="str">
        <f>IFERROR(__xludf.DUMMYFUNCTION("GOOGLETRANSLATE(B6974,""en"",""hy"")"),"Ճապոնիայի ազգային սպորտը սումոն է։")</f>
        <v>Ճապոնիայի ազգային սպորտը սումոն է։</v>
      </c>
    </row>
    <row r="6975">
      <c r="A6975" s="5" t="s">
        <v>7772</v>
      </c>
      <c r="B6975" s="5" t="s">
        <v>3535</v>
      </c>
      <c r="C6975" s="5" t="str">
        <f>IFERROR(__xludf.DUMMYFUNCTION("GOOGLETRANSLATE(A6975,""en"",""hy"")"),"Ո՞ր երկիրն է հայտնի որպես «Land Down Under»:")</f>
        <v>Ո՞ր երկիրն է հայտնի որպես «Land Down Under»:</v>
      </c>
      <c r="D6975" s="6" t="str">
        <f>IFERROR(__xludf.DUMMYFUNCTION("GOOGLETRANSLATE(B6975,""en"",""hy"")"),"Ավստրալիա.")</f>
        <v>Ավստրալիա.</v>
      </c>
    </row>
    <row r="6976">
      <c r="A6976" s="5" t="s">
        <v>9299</v>
      </c>
      <c r="B6976" s="5" t="s">
        <v>7535</v>
      </c>
      <c r="C6976" s="5" t="str">
        <f>IFERROR(__xludf.DUMMYFUNCTION("GOOGLETRANSLATE(A6976,""en"",""hy"")"),"Ո՞վ է եղել հեռախոսի հայտնագործողը:")</f>
        <v>Ո՞վ է եղել հեռախոսի հայտնագործողը:</v>
      </c>
      <c r="D6976" s="6" t="str">
        <f>IFERROR(__xludf.DUMMYFUNCTION("GOOGLETRANSLATE(B6976,""en"",""hy"")"),"Ալեքսանդր Գրեհեմ Բել.")</f>
        <v>Ալեքսանդր Գրեհեմ Բել.</v>
      </c>
    </row>
    <row r="6977">
      <c r="A6977" s="5" t="s">
        <v>7817</v>
      </c>
      <c r="B6977" s="5" t="s">
        <v>7818</v>
      </c>
      <c r="C6977" s="5" t="str">
        <f>IFERROR(__xludf.DUMMYFUNCTION("GOOGLETRANSLATE(A6977,""en"",""hy"")"),"Ո՞րն է Կանադայի ազգային կենդանին:")</f>
        <v>Ո՞րն է Կանադայի ազգային կենդանին:</v>
      </c>
      <c r="D6977" s="6" t="str">
        <f>IFERROR(__xludf.DUMMYFUNCTION("GOOGLETRANSLATE(B6977,""en"",""hy"")"),"Կանադայի ազգային կենդանին կեղևն է:")</f>
        <v>Կանադայի ազգային կենդանին կեղևն է:</v>
      </c>
    </row>
    <row r="6978">
      <c r="A6978" s="5" t="s">
        <v>7509</v>
      </c>
      <c r="B6978" s="5" t="s">
        <v>7510</v>
      </c>
      <c r="C6978" s="5" t="str">
        <f>IFERROR(__xludf.DUMMYFUNCTION("GOOGLETRANSLATE(A6978,""en"",""hy"")"),"Ո՞րն է արծաթի քիմիական նշանը:")</f>
        <v>Ո՞րն է արծաթի քիմիական նշանը:</v>
      </c>
      <c r="D6978" s="6" t="str">
        <f>IFERROR(__xludf.DUMMYFUNCTION("GOOGLETRANSLATE(B6978,""en"",""hy"")"),"Ագ")</f>
        <v>Ագ</v>
      </c>
    </row>
    <row r="6979">
      <c r="A6979" s="5" t="s">
        <v>9300</v>
      </c>
      <c r="B6979" s="5" t="s">
        <v>7598</v>
      </c>
      <c r="C6979" s="5" t="str">
        <f>IFERROR(__xludf.DUMMYFUNCTION("GOOGLETRANSLATE(A6979,""en"",""hy"")"),"Ո՞ր քաղաքում է գտնվում Սիդնեյի օպերային թատրոնը:")</f>
        <v>Ո՞ր քաղաքում է գտնվում Սիդնեյի օպերային թատրոնը:</v>
      </c>
      <c r="D6979" s="6" t="str">
        <f>IFERROR(__xludf.DUMMYFUNCTION("GOOGLETRANSLATE(B6979,""en"",""hy"")"),"Սիդնեյ.")</f>
        <v>Սիդնեյ.</v>
      </c>
    </row>
    <row r="6980">
      <c r="A6980" s="5" t="s">
        <v>9301</v>
      </c>
      <c r="B6980" s="5" t="s">
        <v>7867</v>
      </c>
      <c r="C6980" s="5" t="str">
        <f>IFERROR(__xludf.DUMMYFUNCTION("GOOGLETRANSLATE(A6980,""en"",""hy"")"),"Ո՞վ է գրել «Մատանիների տիրակալը» վեպը։")</f>
        <v>Ո՞վ է գրել «Մատանիների տիրակալը» վեպը։</v>
      </c>
      <c r="D6980" s="6" t="str">
        <f>IFERROR(__xludf.DUMMYFUNCTION("GOOGLETRANSLATE(B6980,""en"",""hy"")"),"Ջ.Ռ.Ռ. Թոլքինը։")</f>
        <v>Ջ.Ռ.Ռ. Թոլքինը։</v>
      </c>
    </row>
    <row r="6981">
      <c r="A6981" s="5" t="s">
        <v>7450</v>
      </c>
      <c r="B6981" s="5" t="s">
        <v>7451</v>
      </c>
      <c r="C6981" s="5" t="str">
        <f>IFERROR(__xludf.DUMMYFUNCTION("GOOGLETRANSLATE(A6981,""en"",""hy"")"),"Ո՞րն է Ավստրալիայի մայրաքաղաքը:")</f>
        <v>Ո՞րն է Ավստրալիայի մայրաքաղաքը:</v>
      </c>
      <c r="D6981" s="6" t="str">
        <f>IFERROR(__xludf.DUMMYFUNCTION("GOOGLETRANSLATE(B6981,""en"",""hy"")"),"Կանբերա.")</f>
        <v>Կանբերա.</v>
      </c>
    </row>
    <row r="6982">
      <c r="A6982" s="5" t="s">
        <v>7447</v>
      </c>
      <c r="B6982" s="5" t="s">
        <v>7448</v>
      </c>
      <c r="C6982" s="5" t="str">
        <f>IFERROR(__xludf.DUMMYFUNCTION("GOOGLETRANSLATE(A6982,""en"",""hy"")"),"Ո՞վ է նկարել Մոնա Լիզան:")</f>
        <v>Ո՞վ է նկարել Մոնա Լիզան:</v>
      </c>
      <c r="D6982" s="6" t="str">
        <f>IFERROR(__xludf.DUMMYFUNCTION("GOOGLETRANSLATE(B6982,""en"",""hy"")"),"Լեոնարդո դա Վինչի.")</f>
        <v>Լեոնարդո դա Վինչի.</v>
      </c>
    </row>
    <row r="6983">
      <c r="A6983" s="5" t="s">
        <v>7632</v>
      </c>
      <c r="B6983" s="5" t="s">
        <v>7633</v>
      </c>
      <c r="C6983" s="5" t="str">
        <f>IFERROR(__xludf.DUMMYFUNCTION("GOOGLETRANSLATE(A6983,""en"",""hy"")"),"Ո՞րն է մեր արեգակնային համակարգի ամենամեծ մոլորակը:")</f>
        <v>Ո՞րն է մեր արեգակնային համակարգի ամենամեծ մոլորակը:</v>
      </c>
      <c r="D6983" s="6" t="str">
        <f>IFERROR(__xludf.DUMMYFUNCTION("GOOGLETRANSLATE(B6983,""en"",""hy"")"),"Յուպիտեր.")</f>
        <v>Յուպիտեր.</v>
      </c>
    </row>
    <row r="6984">
      <c r="A6984" s="5" t="s">
        <v>8981</v>
      </c>
      <c r="B6984" s="5" t="s">
        <v>7630</v>
      </c>
      <c r="C6984" s="5" t="str">
        <f>IFERROR(__xludf.DUMMYFUNCTION("GOOGLETRANSLATE(A6984,""en"",""hy"")"),"Ո՞վ է գրել հայտնի «Հպարտություն և նախապաշարմունք» վեպը։")</f>
        <v>Ո՞վ է գրել հայտնի «Հպարտություն և նախապաշարմունք» վեպը։</v>
      </c>
      <c r="D6984" s="6" t="str">
        <f>IFERROR(__xludf.DUMMYFUNCTION("GOOGLETRANSLATE(B6984,""en"",""hy"")"),"Ջեյն Օսթին.")</f>
        <v>Ջեյն Օսթին.</v>
      </c>
    </row>
    <row r="6985">
      <c r="A6985" s="5" t="s">
        <v>8564</v>
      </c>
      <c r="B6985" s="5" t="s">
        <v>7837</v>
      </c>
      <c r="C6985" s="5" t="str">
        <f>IFERROR(__xludf.DUMMYFUNCTION("GOOGLETRANSLATE(A6985,""en"",""hy"")"),"Ո՞ր թվականին է սկսվել Առաջին համաշխարհային պատերազմը:")</f>
        <v>Ո՞ր թվականին է սկսվել Առաջին համաշխարհային պատերազմը:</v>
      </c>
      <c r="D6985" s="6" t="str">
        <f>IFERROR(__xludf.DUMMYFUNCTION("GOOGLETRANSLATE(B6985,""en"",""hy"")"),"Առաջին համաշխարհային պատերազմը սկսվել է 1914 թ.")</f>
        <v>Առաջին համաշխարհային պատերազմը սկսվել է 1914 թ.</v>
      </c>
    </row>
    <row r="6986">
      <c r="A6986" s="5" t="s">
        <v>9302</v>
      </c>
      <c r="B6986" s="5" t="s">
        <v>2790</v>
      </c>
      <c r="C6986" s="5" t="str">
        <f>IFERROR(__xludf.DUMMYFUNCTION("GOOGLETRANSLATE(A6986,""en"",""hy"")"),"Ո՞ր երկիրն է հայտնի իր հայտնի տեսարժան վայրերով, ինչպիսիք են Մեծ պատը և տերակոտայի բանակը:")</f>
        <v>Ո՞ր երկիրն է հայտնի իր հայտնի տեսարժան վայրերով, ինչպիսիք են Մեծ պատը և տերակոտայի բանակը:</v>
      </c>
      <c r="D6986" s="6" t="str">
        <f>IFERROR(__xludf.DUMMYFUNCTION("GOOGLETRANSLATE(B6986,""en"",""hy"")"),"Չինաստան.")</f>
        <v>Չինաստան.</v>
      </c>
    </row>
    <row r="6987">
      <c r="A6987" s="5" t="s">
        <v>7452</v>
      </c>
      <c r="B6987" s="5" t="s">
        <v>7453</v>
      </c>
      <c r="C6987" s="5" t="str">
        <f>IFERROR(__xludf.DUMMYFUNCTION("GOOGLETRANSLATE(A6987,""en"",""hy"")"),"Ո՞րն է ոսկու քիմիական նշանը:")</f>
        <v>Ո՞րն է ոսկու քիմիական նշանը:</v>
      </c>
      <c r="D6987" s="6" t="str">
        <f>IFERROR(__xludf.DUMMYFUNCTION("GOOGLETRANSLATE(B6987,""en"",""hy"")"),"Ոսկու քիմիական նշանը Au-ն է:")</f>
        <v>Ոսկու քիմիական նշանը Au-ն է:</v>
      </c>
    </row>
    <row r="6988">
      <c r="A6988" s="5" t="s">
        <v>7566</v>
      </c>
      <c r="B6988" s="5" t="s">
        <v>8978</v>
      </c>
      <c r="C6988" s="5" t="str">
        <f>IFERROR(__xludf.DUMMYFUNCTION("GOOGLETRANSLATE(A6988,""en"",""hy"")"),"Ո՞վ է Կանադայի ներկայիս վարչապետը:")</f>
        <v>Ո՞վ է Կանադայի ներկայիս վարչապետը:</v>
      </c>
      <c r="D6988" s="6" t="str">
        <f>IFERROR(__xludf.DUMMYFUNCTION("GOOGLETRANSLATE(B6988,""en"",""hy"")"),"Կանադայի ներկայիս վարչապետը Ջասթին Թրյուդոն է։")</f>
        <v>Կանադայի ներկայիս վարչապետը Ջասթին Թրյուդոն է։</v>
      </c>
    </row>
    <row r="6989">
      <c r="A6989" s="5" t="s">
        <v>7842</v>
      </c>
      <c r="B6989" s="5" t="s">
        <v>9267</v>
      </c>
      <c r="C6989" s="5" t="str">
        <f>IFERROR(__xludf.DUMMYFUNCTION("GOOGLETRANSLATE(A6989,""en"",""hy"")"),"Ո՞րն է աշխարհի ամենաերկար գետը:")</f>
        <v>Ո՞րն է աշխարհի ամենաերկար գետը:</v>
      </c>
      <c r="D6989" s="6" t="str">
        <f>IFERROR(__xludf.DUMMYFUNCTION("GOOGLETRANSLATE(B6989,""en"",""hy"")"),"Աշխարհի ամենաերկար գետը Նեղոսն է։")</f>
        <v>Աշխարհի ամենաերկար գետը Նեղոսն է։</v>
      </c>
    </row>
    <row r="6990">
      <c r="A6990" s="5" t="s">
        <v>8105</v>
      </c>
      <c r="B6990" s="5" t="s">
        <v>7635</v>
      </c>
      <c r="C6990" s="5" t="str">
        <f>IFERROR(__xludf.DUMMYFUNCTION("GOOGLETRANSLATE(A6990,""en"",""hy"")"),"Ո՞վ էր առաջին մարդը, ով քայլեց լուսնի վրա:")</f>
        <v>Ո՞վ էր առաջին մարդը, ով քայլեց լուսնի վրա:</v>
      </c>
      <c r="D6990" s="6" t="str">
        <f>IFERROR(__xludf.DUMMYFUNCTION("GOOGLETRANSLATE(B6990,""en"",""hy"")"),"Նիլ Արմսթրոնգ.")</f>
        <v>Նիլ Արմսթրոնգ.</v>
      </c>
    </row>
    <row r="6991">
      <c r="A6991" s="5" t="s">
        <v>7722</v>
      </c>
      <c r="B6991" s="5" t="s">
        <v>7723</v>
      </c>
      <c r="C6991" s="5" t="str">
        <f>IFERROR(__xludf.DUMMYFUNCTION("GOOGLETRANSLATE(A6991,""en"",""hy"")"),"Ո՞րն է Աֆրիկայի ամենաբարձր լեռը:")</f>
        <v>Ո՞րն է Աֆրիկայի ամենաբարձր լեռը:</v>
      </c>
      <c r="D6991" s="6" t="str">
        <f>IFERROR(__xludf.DUMMYFUNCTION("GOOGLETRANSLATE(B6991,""en"",""hy"")"),"Կիլիմանջարո լեռ.")</f>
        <v>Կիլիմանջարո լեռ.</v>
      </c>
    </row>
    <row r="6992">
      <c r="A6992" s="5" t="s">
        <v>9303</v>
      </c>
      <c r="B6992" s="5" t="s">
        <v>7648</v>
      </c>
      <c r="C6992" s="5" t="str">
        <f>IFERROR(__xludf.DUMMYFUNCTION("GOOGLETRANSLATE(A6992,""en"",""hy"")"),"Ո՞ր հայտնի նկարիչն է կտրել իր ականջի մի մասը.")</f>
        <v>Ո՞ր հայտնի նկարիչն է կտրել իր ականջի մի մասը.</v>
      </c>
      <c r="D6992" s="6" t="str">
        <f>IFERROR(__xludf.DUMMYFUNCTION("GOOGLETRANSLATE(B6992,""en"",""hy"")"),"Վինսենթ վան Գոգ.")</f>
        <v>Վինսենթ վան Գոգ.</v>
      </c>
    </row>
    <row r="6993">
      <c r="A6993" s="5" t="s">
        <v>9304</v>
      </c>
      <c r="B6993" s="5" t="s">
        <v>2790</v>
      </c>
      <c r="C6993" s="5" t="str">
        <f>IFERROR(__xludf.DUMMYFUNCTION("GOOGLETRANSLATE(A6993,""en"",""hy"")"),"Ո՞ր երկիրն է հորինել թուղթը:")</f>
        <v>Ո՞ր երկիրն է հորինել թուղթը:</v>
      </c>
      <c r="D6993" s="6" t="str">
        <f>IFERROR(__xludf.DUMMYFUNCTION("GOOGLETRANSLATE(B6993,""en"",""hy"")"),"Չինաստան.")</f>
        <v>Չինաստան.</v>
      </c>
    </row>
    <row r="6994">
      <c r="A6994" s="5" t="s">
        <v>9305</v>
      </c>
      <c r="B6994" s="5" t="s">
        <v>7486</v>
      </c>
      <c r="C6994" s="5" t="str">
        <f>IFERROR(__xludf.DUMMYFUNCTION("GOOGLETRANSLATE(A6994,""en"",""hy"")"),"Ո՞վ է «Հարի Փոթեր» գրքաշարի հեղինակը.")</f>
        <v>Ո՞վ է «Հարի Փոթեր» գրքաշարի հեղինակը.</v>
      </c>
      <c r="D6994" s="6" t="str">
        <f>IFERROR(__xludf.DUMMYFUNCTION("GOOGLETRANSLATE(B6994,""en"",""hy"")"),"Ջ.Կ. Ռոուլինգ.")</f>
        <v>Ջ.Կ. Ռոուլինգ.</v>
      </c>
    </row>
    <row r="6995">
      <c r="A6995" s="5" t="s">
        <v>8138</v>
      </c>
      <c r="B6995" s="5" t="s">
        <v>1319</v>
      </c>
      <c r="C6995" s="5" t="str">
        <f>IFERROR(__xludf.DUMMYFUNCTION("GOOGLETRANSLATE(A6995,""en"",""hy"")"),"Ո՞րն է Բրազիլիայում խոսվող հիմնական լեզուն:")</f>
        <v>Ո՞րն է Բրազիլիայում խոսվող հիմնական լեզուն:</v>
      </c>
      <c r="D6995" s="6" t="str">
        <f>IFERROR(__xludf.DUMMYFUNCTION("GOOGLETRANSLATE(B6995,""en"",""hy"")"),"Բրազիլիայում խոսվող հիմնական լեզուն պորտուգալերենն է։")</f>
        <v>Բրազիլիայում խոսվող հիմնական լեզուն պորտուգալերենն է։</v>
      </c>
    </row>
    <row r="6996">
      <c r="A6996" s="5" t="s">
        <v>9306</v>
      </c>
      <c r="B6996" s="5" t="s">
        <v>7499</v>
      </c>
      <c r="C6996" s="5" t="str">
        <f>IFERROR(__xludf.DUMMYFUNCTION("GOOGLETRANSLATE(A6996,""en"",""hy"")"),"Ո՞ր գիտնականն է հայտնի իր հարաբերականության տեսությամբ:")</f>
        <v>Ո՞ր գիտնականն է հայտնի իր հարաբերականության տեսությամբ:</v>
      </c>
      <c r="D6996" s="6" t="str">
        <f>IFERROR(__xludf.DUMMYFUNCTION("GOOGLETRANSLATE(B6996,""en"",""hy"")"),"Albert Einstein")</f>
        <v>Albert Einstein</v>
      </c>
    </row>
    <row r="6997">
      <c r="A6997" s="5" t="s">
        <v>7467</v>
      </c>
      <c r="B6997" s="5" t="s">
        <v>7766</v>
      </c>
      <c r="C6997" s="5" t="str">
        <f>IFERROR(__xludf.DUMMYFUNCTION("GOOGLETRANSLATE(A6997,""en"",""hy"")"),"Ո՞րն է Ճապոնիայի արժույթը:")</f>
        <v>Ո՞րն է Ճապոնիայի արժույթը:</v>
      </c>
      <c r="D6997" s="6" t="str">
        <f>IFERROR(__xludf.DUMMYFUNCTION("GOOGLETRANSLATE(B6997,""en"",""hy"")"),"Ճապոնիայի արժույթը ճապոնական իենն է։")</f>
        <v>Ճապոնիայի արժույթը ճապոնական իենն է։</v>
      </c>
    </row>
    <row r="6998">
      <c r="A6998" s="5" t="s">
        <v>7601</v>
      </c>
      <c r="B6998" s="5" t="s">
        <v>3966</v>
      </c>
      <c r="C6998" s="5" t="str">
        <f>IFERROR(__xludf.DUMMYFUNCTION("GOOGLETRANSLATE(A6998,""en"",""hy"")"),"Ո՞վ է Ֆրանսիայի ներկայիս նախագահը.")</f>
        <v>Ո՞վ է Ֆրանսիայի ներկայիս նախագահը.</v>
      </c>
      <c r="D6998" s="6" t="str">
        <f>IFERROR(__xludf.DUMMYFUNCTION("GOOGLETRANSLATE(B6998,""en"",""hy"")"),"Էմանուել Մակրոն.")</f>
        <v>Էմանուել Մակրոն.</v>
      </c>
    </row>
    <row r="6999">
      <c r="A6999" s="5" t="s">
        <v>8247</v>
      </c>
      <c r="B6999" s="5" t="s">
        <v>3535</v>
      </c>
      <c r="C6999" s="5" t="str">
        <f>IFERROR(__xludf.DUMMYFUNCTION("GOOGLETRANSLATE(A6999,""en"",""hy"")"),"Ո՞ր երկրում է գտնվում Մեծ արգելախութը:")</f>
        <v>Ո՞ր երկրում է գտնվում Մեծ արգելախութը:</v>
      </c>
      <c r="D6999" s="6" t="str">
        <f>IFERROR(__xludf.DUMMYFUNCTION("GOOGLETRANSLATE(B6999,""en"",""hy"")"),"Ավստրալիա.")</f>
        <v>Ավստրալիա.</v>
      </c>
    </row>
    <row r="7000">
      <c r="A7000" s="5" t="s">
        <v>7665</v>
      </c>
      <c r="B7000" s="5" t="s">
        <v>7781</v>
      </c>
      <c r="C7000" s="5" t="str">
        <f>IFERROR(__xludf.DUMMYFUNCTION("GOOGLETRANSLATE(A7000,""en"",""hy"")"),"Ո՞րն է նատրիումի քիմիական նշանը:")</f>
        <v>Ո՞րն է նատրիումի քիմիական նշանը:</v>
      </c>
      <c r="D7000" s="6" t="str">
        <f>IFERROR(__xludf.DUMMYFUNCTION("GOOGLETRANSLATE(B7000,""en"",""hy"")"),"Նատրիումի քիմիական նշանը Na է:")</f>
        <v>Նատրիումի քիմիական նշանը Na է:</v>
      </c>
    </row>
    <row r="7001">
      <c r="A7001" s="5" t="s">
        <v>7473</v>
      </c>
      <c r="B7001" s="5" t="s">
        <v>7474</v>
      </c>
      <c r="C7001" s="5" t="str">
        <f>IFERROR(__xludf.DUMMYFUNCTION("GOOGLETRANSLATE(A7001,""en"",""hy"")"),"Ո՞վ է նկարել Սիքստինյան կապելլայի առաստաղը:")</f>
        <v>Ո՞վ է նկարել Սիքստինյան կապելլայի առաստաղը:</v>
      </c>
      <c r="D7001" s="6" t="str">
        <f>IFERROR(__xludf.DUMMYFUNCTION("GOOGLETRANSLATE(B7001,""en"",""hy"")"),"Միքելանջելո.")</f>
        <v>Միքելանջելո.</v>
      </c>
    </row>
    <row r="7002">
      <c r="A7002" s="5" t="s">
        <v>9307</v>
      </c>
      <c r="B7002" s="5" t="s">
        <v>9308</v>
      </c>
      <c r="C7002" s="5" t="str">
        <f>IFERROR(__xludf.DUMMYFUNCTION("GOOGLETRANSLATE(A7002,""en"",""hy"")"),"Ո՞ր դերասանն է խաղացել Ջեյմս Բոնդի կերպարը «Կազինո Ռոյալ» ֆիլմում։")</f>
        <v>Ո՞ր դերասանն է խաղացել Ջեյմս Բոնդի կերպարը «Կազինո Ռոյալ» ֆիլմում։</v>
      </c>
      <c r="D7002" s="6" t="str">
        <f>IFERROR(__xludf.DUMMYFUNCTION("GOOGLETRANSLATE(B7002,""en"",""hy"")"),"Դենիել Քրեյգ.")</f>
        <v>Դենիել Քրեյգ.</v>
      </c>
    </row>
    <row r="7003">
      <c r="A7003" s="5" t="s">
        <v>8501</v>
      </c>
      <c r="B7003" s="5" t="s">
        <v>8830</v>
      </c>
      <c r="C7003" s="5" t="str">
        <f>IFERROR(__xludf.DUMMYFUNCTION("GOOGLETRANSLATE(A7003,""en"",""hy"")"),"Ո՞ր քաղաքն է ընդունել 2016 թվականի ամառային օլիմպիական խաղերը:")</f>
        <v>Ո՞ր քաղաքն է ընդունել 2016 թվականի ամառային օլիմպիական խաղերը:</v>
      </c>
      <c r="D7003" s="6" t="str">
        <f>IFERROR(__xludf.DUMMYFUNCTION("GOOGLETRANSLATE(B7003,""en"",""hy"")"),"Ռիո դե Ժանեյրո")</f>
        <v>Ռիո դե Ժանեյրո</v>
      </c>
    </row>
    <row r="7004">
      <c r="A7004" s="5" t="s">
        <v>9309</v>
      </c>
      <c r="B7004" s="5" t="s">
        <v>1016</v>
      </c>
      <c r="C7004" s="5" t="str">
        <f>IFERROR(__xludf.DUMMYFUNCTION("GOOGLETRANSLATE(A7004,""en"",""hy"")"),"Ո՞վ է գրել «Ռոմեո և Ջուլիետ» և «Մակբեթ» պիեսները:")</f>
        <v>Ո՞վ է գրել «Ռոմեո և Ջուլիետ» և «Մակբեթ» պիեսները:</v>
      </c>
      <c r="D7004" s="6" t="str">
        <f>IFERROR(__xludf.DUMMYFUNCTION("GOOGLETRANSLATE(B7004,""en"",""hy"")"),"Ուիլյամ Շեքսպիր.")</f>
        <v>Ուիլյամ Շեքսպիր.</v>
      </c>
    </row>
    <row r="7005">
      <c r="A7005" s="5" t="s">
        <v>9310</v>
      </c>
      <c r="B7005" s="5" t="s">
        <v>7514</v>
      </c>
      <c r="C7005" s="5" t="str">
        <f>IFERROR(__xludf.DUMMYFUNCTION("GOOGLETRANSLATE(A7005,""en"",""hy"")"),"Ո՞ր անապատն է ամենամեծն աշխարհում:")</f>
        <v>Ո՞ր անապատն է ամենամեծն աշխարհում:</v>
      </c>
      <c r="D7005" s="6" t="str">
        <f>IFERROR(__xludf.DUMMYFUNCTION("GOOGLETRANSLATE(B7005,""en"",""hy"")"),"Աշխարհի ամենամեծ անապատը Սահարա անապատն է։")</f>
        <v>Աշխարհի ամենամեծ անապատը Սահարա անապատն է։</v>
      </c>
    </row>
    <row r="7006">
      <c r="A7006" s="5" t="s">
        <v>8127</v>
      </c>
      <c r="B7006" s="5" t="s">
        <v>6556</v>
      </c>
      <c r="C7006" s="5" t="str">
        <f>IFERROR(__xludf.DUMMYFUNCTION("GOOGLETRANSLATE(A7006,""en"",""hy"")"),"Ո՞րն է Ռուսաստանի պաշտոնական լեզուն:")</f>
        <v>Ո՞րն է Ռուսաստանի պաշտոնական լեզուն:</v>
      </c>
      <c r="D7006" s="6" t="str">
        <f>IFERROR(__xludf.DUMMYFUNCTION("GOOGLETRANSLATE(B7006,""en"",""hy"")"),"Ռուսաստանի պաշտոնական լեզուն ռուսերենն է։")</f>
        <v>Ռուսաստանի պաշտոնական լեզուն ռուսերենն է։</v>
      </c>
    </row>
    <row r="7007">
      <c r="A7007" s="5" t="s">
        <v>9311</v>
      </c>
      <c r="B7007" s="5" t="s">
        <v>7853</v>
      </c>
      <c r="C7007" s="5" t="str">
        <f>IFERROR(__xludf.DUMMYFUNCTION("GOOGLETRANSLATE(A7007,""en"",""hy"")"),"Ո՞վ է Անգլիայի թագուհին:")</f>
        <v>Ո՞վ է Անգլիայի թագուհին:</v>
      </c>
      <c r="D7007" s="6" t="str">
        <f>IFERROR(__xludf.DUMMYFUNCTION("GOOGLETRANSLATE(B7007,""en"",""hy"")"),"Եղիսաբեթ II թագուհին.")</f>
        <v>Եղիսաբեթ II թագուհին.</v>
      </c>
    </row>
    <row r="7008">
      <c r="A7008" s="5" t="s">
        <v>9142</v>
      </c>
      <c r="B7008" s="5" t="s">
        <v>7545</v>
      </c>
      <c r="C7008" s="5" t="str">
        <f>IFERROR(__xludf.DUMMYFUNCTION("GOOGLETRANSLATE(A7008,""en"",""hy"")"),"Ո՞ր քաղաքն է հայտնի որպես «Հավերժական քաղաք»:")</f>
        <v>Ո՞ր քաղաքն է հայտնի որպես «Հավերժական քաղաք»:</v>
      </c>
      <c r="D7008" s="6" t="str">
        <f>IFERROR(__xludf.DUMMYFUNCTION("GOOGLETRANSLATE(B7008,""en"",""hy"")"),"Հռոմ.")</f>
        <v>Հռոմ.</v>
      </c>
    </row>
    <row r="7009">
      <c r="A7009" s="5" t="s">
        <v>7791</v>
      </c>
      <c r="B7009" s="5" t="s">
        <v>8128</v>
      </c>
      <c r="C7009" s="5" t="str">
        <f>IFERROR(__xludf.DUMMYFUNCTION("GOOGLETRANSLATE(A7009,""en"",""hy"")"),"Ո՞րն է Ավստրալիայի ազգային կենդանին:")</f>
        <v>Ո՞րն է Ավստրալիայի ազգային կենդանին:</v>
      </c>
      <c r="D7009" s="6" t="str">
        <f>IFERROR(__xludf.DUMMYFUNCTION("GOOGLETRANSLATE(B7009,""en"",""hy"")"),"Կենգուրու.")</f>
        <v>Կենգուրու.</v>
      </c>
    </row>
    <row r="7010">
      <c r="A7010" s="5" t="s">
        <v>8051</v>
      </c>
      <c r="B7010" s="5" t="s">
        <v>8052</v>
      </c>
      <c r="C7010" s="5" t="str">
        <f>IFERROR(__xludf.DUMMYFUNCTION("GOOGLETRANSLATE(A7010,""en"",""hy"")"),"Ո՞վ է Microsoft-ի հիմնադիրը:")</f>
        <v>Ո՞վ է Microsoft-ի հիմնադիրը:</v>
      </c>
      <c r="D7010" s="6" t="str">
        <f>IFERROR(__xludf.DUMMYFUNCTION("GOOGLETRANSLATE(B7010,""en"",""hy"")"),"Բիլ Գեյթս.")</f>
        <v>Բիլ Գեյթս.</v>
      </c>
    </row>
    <row r="7011">
      <c r="A7011" s="5" t="s">
        <v>7455</v>
      </c>
      <c r="B7011" s="5" t="s">
        <v>8453</v>
      </c>
      <c r="C7011" s="5" t="str">
        <f>IFERROR(__xludf.DUMMYFUNCTION("GOOGLETRANSLATE(A7011,""en"",""hy"")"),"Ո՞րն է աշխարհի ամենամեծ օվկիանոսը:")</f>
        <v>Ո՞րն է աշխարհի ամենամեծ օվկիանոսը:</v>
      </c>
      <c r="D7011" s="6" t="str">
        <f>IFERROR(__xludf.DUMMYFUNCTION("GOOGLETRANSLATE(B7011,""en"",""hy"")"),"Աշխարհի ամենամեծ օվկիանոսը Խաղաղ օվկիանոսն է։")</f>
        <v>Աշխարհի ամենամեծ օվկիանոսը Խաղաղ օվկիանոսն է։</v>
      </c>
    </row>
    <row r="7012">
      <c r="A7012" s="5" t="s">
        <v>9312</v>
      </c>
      <c r="B7012" s="5" t="s">
        <v>7648</v>
      </c>
      <c r="C7012" s="5" t="str">
        <f>IFERROR(__xludf.DUMMYFUNCTION("GOOGLETRANSLATE(A7012,""en"",""hy"")"),"Ո՞ր հայտնի նկարիչն է նկարել «Աստղային գիշերը»:")</f>
        <v>Ո՞ր հայտնի նկարիչն է նկարել «Աստղային գիշերը»:</v>
      </c>
      <c r="D7012" s="6" t="str">
        <f>IFERROR(__xludf.DUMMYFUNCTION("GOOGLETRANSLATE(B7012,""en"",""hy"")"),"Վինսենթ վան Գոգ.")</f>
        <v>Վինսենթ վան Գոգ.</v>
      </c>
    </row>
    <row r="7013">
      <c r="A7013" s="5" t="s">
        <v>7644</v>
      </c>
      <c r="B7013" s="5" t="s">
        <v>7541</v>
      </c>
      <c r="C7013" s="5" t="str">
        <f>IFERROR(__xludf.DUMMYFUNCTION("GOOGLETRANSLATE(A7013,""en"",""hy"")"),"Ո՞վ է «Սպանել ծաղրող թռչունին» գրքի հեղինակը.")</f>
        <v>Ո՞վ է «Սպանել ծաղրող թռչունին» գրքի հեղինակը.</v>
      </c>
      <c r="D7013" s="6" t="str">
        <f>IFERROR(__xludf.DUMMYFUNCTION("GOOGLETRANSLATE(B7013,""en"",""hy"")"),"Հարփեր Լի.")</f>
        <v>Հարփեր Լի.</v>
      </c>
    </row>
    <row r="7014">
      <c r="A7014" s="5" t="s">
        <v>7579</v>
      </c>
      <c r="B7014" s="5" t="s">
        <v>8035</v>
      </c>
      <c r="C7014" s="5" t="str">
        <f>IFERROR(__xludf.DUMMYFUNCTION("GOOGLETRANSLATE(A7014,""en"",""hy"")"),"Ո՞րն է Գերմանիայի արժույթը:")</f>
        <v>Ո՞րն է Գերմանիայի արժույթը:</v>
      </c>
      <c r="D7014" s="6" t="str">
        <f>IFERROR(__xludf.DUMMYFUNCTION("GOOGLETRANSLATE(B7014,""en"",""hy"")"),"եվրո.")</f>
        <v>եվրո.</v>
      </c>
    </row>
    <row r="7015">
      <c r="A7015" s="5" t="s">
        <v>9313</v>
      </c>
      <c r="B7015" s="5" t="s">
        <v>7607</v>
      </c>
      <c r="C7015" s="5" t="str">
        <f>IFERROR(__xludf.DUMMYFUNCTION("GOOGLETRANSLATE(A7015,""en"",""hy"")"),"Ո՞ր գիտնականն է մշակել էվոլյուցիայի տեսությունը:")</f>
        <v>Ո՞ր գիտնականն է մշակել էվոլյուցիայի տեսությունը:</v>
      </c>
      <c r="D7015" s="6" t="str">
        <f>IFERROR(__xludf.DUMMYFUNCTION("GOOGLETRANSLATE(B7015,""en"",""hy"")"),"Չարլզ Դարվին.")</f>
        <v>Չարլզ Դարվին.</v>
      </c>
    </row>
    <row r="7016">
      <c r="A7016" s="5" t="s">
        <v>9314</v>
      </c>
      <c r="B7016" s="5" t="s">
        <v>9315</v>
      </c>
      <c r="C7016" s="5" t="str">
        <f>IFERROR(__xludf.DUMMYFUNCTION("GOOGLETRANSLATE(A7016,""en"",""hy"")"),"Ո՞րն է հիմնական կրոնը Հնդկաստանում:")</f>
        <v>Ո՞րն է հիմնական կրոնը Հնդկաստանում:</v>
      </c>
      <c r="D7016" s="6" t="str">
        <f>IFERROR(__xludf.DUMMYFUNCTION("GOOGLETRANSLATE(B7016,""en"",""hy"")"),"Հինդուիզմ.")</f>
        <v>Հինդուիզմ.</v>
      </c>
    </row>
    <row r="7017">
      <c r="A7017" s="5" t="s">
        <v>9316</v>
      </c>
      <c r="B7017" s="5" t="s">
        <v>9243</v>
      </c>
      <c r="C7017" s="5" t="str">
        <f>IFERROR(__xludf.DUMMYFUNCTION("GOOGLETRANSLATE(A7017,""en"",""hy"")"),"Ո՞վ է դերասանուհին հայտնի «Հարի Փոթեր» ֆիլմերում Հերմիոնա Գրեյնջերի դերով։")</f>
        <v>Ո՞վ է դերասանուհին հայտնի «Հարի Փոթեր» ֆիլմերում Հերմիոնա Գրեյնջերի դերով։</v>
      </c>
      <c r="D7017" s="6" t="str">
        <f>IFERROR(__xludf.DUMMYFUNCTION("GOOGLETRANSLATE(B7017,""en"",""hy"")"),"Էմմա Ուոթսոն.")</f>
        <v>Էմմա Ուոթսոն.</v>
      </c>
    </row>
    <row r="7018">
      <c r="A7018" s="5" t="s">
        <v>8161</v>
      </c>
      <c r="B7018" s="5" t="s">
        <v>8162</v>
      </c>
      <c r="C7018" s="5" t="str">
        <f>IFERROR(__xludf.DUMMYFUNCTION("GOOGLETRANSLATE(A7018,""en"",""hy"")"),"Ո՞րն է Ճապոնիայի ազգային ծաղիկը:")</f>
        <v>Ո՞րն է Ճապոնիայի ազգային ծաղիկը:</v>
      </c>
      <c r="D7018" s="6" t="str">
        <f>IFERROR(__xludf.DUMMYFUNCTION("GOOGLETRANSLATE(B7018,""en"",""hy"")"),"Ճապոնիայի ազգային ծաղիկը բալի ծաղիկն է:")</f>
        <v>Ճապոնիայի ազգային ծաղիկը բալի ծաղիկն է:</v>
      </c>
    </row>
    <row r="7019">
      <c r="A7019" s="5" t="s">
        <v>7504</v>
      </c>
      <c r="B7019" s="5" t="s">
        <v>7505</v>
      </c>
      <c r="C7019" s="5" t="str">
        <f>IFERROR(__xludf.DUMMYFUNCTION("GOOGLETRANSLATE(A7019,""en"",""hy"")"),"Ո՞վ է Միացյալ Նահանգների ներկայիս նախագահը:")</f>
        <v>Ո՞վ է Միացյալ Նահանգների ներկայիս նախագահը:</v>
      </c>
      <c r="D7019" s="6" t="str">
        <f>IFERROR(__xludf.DUMMYFUNCTION("GOOGLETRANSLATE(B7019,""en"",""hy"")"),"Ջո Բայդեն.")</f>
        <v>Ջո Բայդեն.</v>
      </c>
    </row>
    <row r="7020">
      <c r="A7020" s="5" t="s">
        <v>7872</v>
      </c>
      <c r="B7020" s="5" t="s">
        <v>1307</v>
      </c>
      <c r="C7020" s="5" t="str">
        <f>IFERROR(__xludf.DUMMYFUNCTION("GOOGLETRANSLATE(A7020,""en"",""hy"")"),"Ո՞րն է Իսպանիայի մայրաքաղաքը:")</f>
        <v>Ո՞րն է Իսպանիայի մայրաքաղաքը:</v>
      </c>
      <c r="D7020" s="6" t="str">
        <f>IFERROR(__xludf.DUMMYFUNCTION("GOOGLETRANSLATE(B7020,""en"",""hy"")"),"Մադրիդ.")</f>
        <v>Մադրիդ.</v>
      </c>
    </row>
    <row r="7021">
      <c r="A7021" s="5" t="s">
        <v>7744</v>
      </c>
      <c r="B7021" s="5" t="s">
        <v>7745</v>
      </c>
      <c r="C7021" s="5" t="str">
        <f>IFERROR(__xludf.DUMMYFUNCTION("GOOGLETRANSLATE(A7021,""en"",""hy"")"),"Ո՞վ է նկարել հայտնի «Հիշողության համառությունը» ստեղծագործությունը:")</f>
        <v>Ո՞վ է նկարել հայտնի «Հիշողության համառությունը» ստեղծագործությունը:</v>
      </c>
      <c r="D7021" s="6" t="str">
        <f>IFERROR(__xludf.DUMMYFUNCTION("GOOGLETRANSLATE(B7021,""en"",""hy"")"),"Սալվադոր Դալի.")</f>
        <v>Սալվադոր Դալի.</v>
      </c>
    </row>
    <row r="7022">
      <c r="A7022" s="5" t="s">
        <v>7920</v>
      </c>
      <c r="B7022" s="5" t="s">
        <v>7921</v>
      </c>
      <c r="C7022" s="5" t="str">
        <f>IFERROR(__xludf.DUMMYFUNCTION("GOOGLETRANSLATE(A7022,""en"",""hy"")"),"Ո՞ր երկրում է գտնվում Թաջ Մահալը:")</f>
        <v>Ո՞ր երկրում է գտնվում Թաջ Մահալը:</v>
      </c>
      <c r="D7022" s="6" t="str">
        <f>IFERROR(__xludf.DUMMYFUNCTION("GOOGLETRANSLATE(B7022,""en"",""hy"")"),"Հնդկաստան.")</f>
        <v>Հնդկաստան.</v>
      </c>
    </row>
    <row r="7023">
      <c r="A7023" s="5" t="s">
        <v>8025</v>
      </c>
      <c r="B7023" s="5" t="s">
        <v>8595</v>
      </c>
      <c r="C7023" s="5" t="str">
        <f>IFERROR(__xludf.DUMMYFUNCTION("GOOGLETRANSLATE(A7023,""en"",""hy"")"),"Ո՞րն է Չինաստանի պաշտոնական լեզուն:")</f>
        <v>Ո՞րն է Չինաստանի պաշտոնական լեզուն:</v>
      </c>
      <c r="D7023" s="6" t="str">
        <f>IFERROR(__xludf.DUMMYFUNCTION("GOOGLETRANSLATE(B7023,""en"",""hy"")"),"Չինաստանի պաշտոնական լեզուն մանդարինն է։")</f>
        <v>Չինաստանի պաշտոնական լեզուն մանդարինն է։</v>
      </c>
    </row>
    <row r="7024">
      <c r="A7024" s="5" t="s">
        <v>8992</v>
      </c>
      <c r="B7024" s="5" t="s">
        <v>8993</v>
      </c>
      <c r="C7024" s="5" t="str">
        <f>IFERROR(__xludf.DUMMYFUNCTION("GOOGLETRANSLATE(A7024,""en"",""hy"")"),"Ո՞վ է նկարահանել «Տիտանիկ» ֆիլմը։")</f>
        <v>Ո՞վ է նկարահանել «Տիտանիկ» ֆիլմը։</v>
      </c>
      <c r="D7024" s="6" t="str">
        <f>IFERROR(__xludf.DUMMYFUNCTION("GOOGLETRANSLATE(B7024,""en"",""hy"")"),"Ջեյմս Քեմերոն.")</f>
        <v>Ջեյմս Քեմերոն.</v>
      </c>
    </row>
    <row r="7025">
      <c r="A7025" s="5" t="s">
        <v>7497</v>
      </c>
      <c r="B7025" s="5" t="s">
        <v>1299</v>
      </c>
      <c r="C7025" s="5" t="str">
        <f>IFERROR(__xludf.DUMMYFUNCTION("GOOGLETRANSLATE(A7025,""en"",""hy"")"),"Ո՞րն է աշխարհի ամենամեծ մայրցամաքը:")</f>
        <v>Ո՞րն է աշխարհի ամենամեծ մայրցամաքը:</v>
      </c>
      <c r="D7025" s="6" t="str">
        <f>IFERROR(__xludf.DUMMYFUNCTION("GOOGLETRANSLATE(B7025,""en"",""hy"")"),"Ասիա.")</f>
        <v>Ասիա.</v>
      </c>
    </row>
    <row r="7026">
      <c r="A7026" s="5" t="s">
        <v>8514</v>
      </c>
      <c r="B7026" s="5" t="s">
        <v>8170</v>
      </c>
      <c r="C7026" s="5" t="str">
        <f>IFERROR(__xludf.DUMMYFUNCTION("GOOGLETRANSLATE(A7026,""en"",""hy"")"),"Ո՞ր քաղաքն է հայտնի որպես «սիրո քաղաք»:")</f>
        <v>Ո՞ր քաղաքն է հայտնի որպես «սիրո քաղաք»:</v>
      </c>
      <c r="D7026" s="6" t="str">
        <f>IFERROR(__xludf.DUMMYFUNCTION("GOOGLETRANSLATE(B7026,""en"",""hy"")"),"Փարիզ")</f>
        <v>Փարիզ</v>
      </c>
    </row>
    <row r="7027">
      <c r="A7027" s="5" t="s">
        <v>7817</v>
      </c>
      <c r="B7027" s="5" t="s">
        <v>7818</v>
      </c>
      <c r="C7027" s="5" t="str">
        <f>IFERROR(__xludf.DUMMYFUNCTION("GOOGLETRANSLATE(A7027,""en"",""hy"")"),"Ո՞րն է Կանադայի ազգային կենդանին:")</f>
        <v>Ո՞րն է Կանադայի ազգային կենդանին:</v>
      </c>
      <c r="D7027" s="6" t="str">
        <f>IFERROR(__xludf.DUMMYFUNCTION("GOOGLETRANSLATE(B7027,""en"",""hy"")"),"Կանադայի ազգային կենդանին կեղևն է:")</f>
        <v>Կանադայի ազգային կենդանին կեղևն է:</v>
      </c>
    </row>
    <row r="7028">
      <c r="A7028" s="5" t="s">
        <v>9317</v>
      </c>
      <c r="B7028" s="5" t="s">
        <v>7867</v>
      </c>
      <c r="C7028" s="5" t="str">
        <f>IFERROR(__xludf.DUMMYFUNCTION("GOOGLETRANSLATE(A7028,""en"",""hy"")"),"Ո՞վ է «Մատանիների տիրակալը» գրքաշարի հեղինակը.")</f>
        <v>Ո՞վ է «Մատանիների տիրակալը» գրքաշարի հեղինակը.</v>
      </c>
      <c r="D7028" s="6" t="str">
        <f>IFERROR(__xludf.DUMMYFUNCTION("GOOGLETRANSLATE(B7028,""en"",""hy"")"),"Ջ.Ռ.Ռ. Թոլքինը։")</f>
        <v>Ջ.Ռ.Ռ. Թոլքինը։</v>
      </c>
    </row>
    <row r="7029">
      <c r="A7029" s="5" t="s">
        <v>9318</v>
      </c>
      <c r="B7029" s="5" t="s">
        <v>2649</v>
      </c>
      <c r="C7029" s="5" t="str">
        <f>IFERROR(__xludf.DUMMYFUNCTION("GOOGLETRANSLATE(A7029,""en"",""hy"")"),"Ո՞րն է Եգիպտոսի արժույթը:")</f>
        <v>Ո՞րն է Եգիպտոսի արժույթը:</v>
      </c>
      <c r="D7029" s="6" t="str">
        <f>IFERROR(__xludf.DUMMYFUNCTION("GOOGLETRANSLATE(B7029,""en"",""hy"")"),"Եգիպտոսի արժույթը եգիպտական ​​ֆունտն է։")</f>
        <v>Եգիպտոսի արժույթը եգիպտական ​​ֆունտն է։</v>
      </c>
    </row>
    <row r="7030">
      <c r="A7030" s="5" t="s">
        <v>7479</v>
      </c>
      <c r="B7030" s="5" t="s">
        <v>8887</v>
      </c>
      <c r="C7030" s="5" t="str">
        <f>IFERROR(__xludf.DUMMYFUNCTION("GOOGLETRANSLATE(A7030,""en"",""hy"")"),"Ո՞վ է Միացյալ Թագավորության ներկայիս վարչապետը:")</f>
        <v>Ո՞վ է Միացյալ Թագավորության ներկայիս վարչապետը:</v>
      </c>
      <c r="D7030" s="6" t="str">
        <f>IFERROR(__xludf.DUMMYFUNCTION("GOOGLETRANSLATE(B7030,""en"",""hy"")"),"Բորիս Ջոնսոն")</f>
        <v>Բորիս Ջոնսոն</v>
      </c>
    </row>
    <row r="7031">
      <c r="A7031" s="5" t="s">
        <v>9319</v>
      </c>
      <c r="B7031" s="5" t="s">
        <v>3894</v>
      </c>
      <c r="C7031" s="5" t="str">
        <f>IFERROR(__xludf.DUMMYFUNCTION("GOOGLETRANSLATE(A7031,""en"",""hy"")"),"Ո՞րն է Իտալիայում խոսվող հիմնական լեզուն:")</f>
        <v>Ո՞րն է Իտալիայում խոսվող հիմնական լեզուն:</v>
      </c>
      <c r="D7031" s="6" t="str">
        <f>IFERROR(__xludf.DUMMYFUNCTION("GOOGLETRANSLATE(B7031,""en"",""hy"")"),"Իտալական.")</f>
        <v>Իտալական.</v>
      </c>
    </row>
    <row r="7032">
      <c r="A7032" s="5" t="s">
        <v>9320</v>
      </c>
      <c r="B7032" s="5" t="s">
        <v>9321</v>
      </c>
      <c r="C7032" s="5" t="str">
        <f>IFERROR(__xludf.DUMMYFUNCTION("GOOGLETRANSLATE(A7032,""en"",""hy"")"),"Ո՞վ է «Աստղային պատերազմներ» ֆիլմաշարի ռեժիսորը.")</f>
        <v>Ո՞վ է «Աստղային պատերազմներ» ֆիլմաշարի ռեժիսորը.</v>
      </c>
      <c r="D7032" s="6" t="str">
        <f>IFERROR(__xludf.DUMMYFUNCTION("GOOGLETRANSLATE(B7032,""en"",""hy"")"),"Ջորջ Լուկաս.")</f>
        <v>Ջորջ Լուկաս.</v>
      </c>
    </row>
    <row r="7033">
      <c r="A7033" s="5" t="s">
        <v>8200</v>
      </c>
      <c r="B7033" s="5" t="s">
        <v>8201</v>
      </c>
      <c r="C7033" s="5" t="str">
        <f>IFERROR(__xludf.DUMMYFUNCTION("GOOGLETRANSLATE(A7033,""en"",""hy"")"),"Ո՞ր երկրում են անցկացվել առաջին օլիմպիական խաղերը:")</f>
        <v>Ո՞ր երկրում են անցկացվել առաջին օլիմպիական խաղերը:</v>
      </c>
      <c r="D7033" s="6" t="str">
        <f>IFERROR(__xludf.DUMMYFUNCTION("GOOGLETRANSLATE(B7033,""en"",""hy"")"),"Հունաստան.")</f>
        <v>Հունաստան.</v>
      </c>
    </row>
    <row r="7034">
      <c r="A7034" s="5" t="s">
        <v>7557</v>
      </c>
      <c r="B7034" s="5" t="s">
        <v>7857</v>
      </c>
      <c r="C7034" s="5" t="str">
        <f>IFERROR(__xludf.DUMMYFUNCTION("GOOGLETRANSLATE(A7034,""en"",""hy"")"),"Ո՞րն է երկաթի քիմիական նշանը:")</f>
        <v>Ո՞րն է երկաթի քիմիական նշանը:</v>
      </c>
      <c r="D7034" s="6" t="str">
        <f>IFERROR(__xludf.DUMMYFUNCTION("GOOGLETRANSLATE(B7034,""en"",""hy"")"),"Երկաթի քիմիական նշանը Fe է:")</f>
        <v>Երկաթի քիմիական նշանը Fe է:</v>
      </c>
    </row>
    <row r="7035">
      <c r="A7035" s="5" t="s">
        <v>7660</v>
      </c>
      <c r="B7035" s="5" t="s">
        <v>9322</v>
      </c>
      <c r="C7035" s="5" t="str">
        <f>IFERROR(__xludf.DUMMYFUNCTION("GOOGLETRANSLATE(A7035,""en"",""hy"")"),"Ո՞վ է «Մեծն Գեթսբիի» հեղինակը.")</f>
        <v>Ո՞վ է «Մեծն Գեթսբիի» հեղինակը.</v>
      </c>
      <c r="D7035" s="6" t="str">
        <f>IFERROR(__xludf.DUMMYFUNCTION("GOOGLETRANSLATE(B7035,""en"",""hy"")"),"«Մեծն Գեթսբի»-ի հեղինակը Ֆ.Սքոթ Ֆիցջերալդն է։")</f>
        <v>«Մեծն Գեթսբի»-ի հեղինակը Ֆ.Սքոթ Ֆիցջերալդն է։</v>
      </c>
    </row>
    <row r="7036">
      <c r="A7036" s="5" t="s">
        <v>7608</v>
      </c>
      <c r="B7036" s="5" t="s">
        <v>7609</v>
      </c>
      <c r="C7036" s="5" t="str">
        <f>IFERROR(__xludf.DUMMYFUNCTION("GOOGLETRANSLATE(A7036,""en"",""hy"")"),"Ո՞րն է Հնդկաստանի մայրաքաղաքը:")</f>
        <v>Ո՞րն է Հնդկաստանի մայրաքաղաքը:</v>
      </c>
      <c r="D7036" s="6" t="str">
        <f>IFERROR(__xludf.DUMMYFUNCTION("GOOGLETRANSLATE(B7036,""en"",""hy"")"),"Նյու Դելի.")</f>
        <v>Նյու Դելի.</v>
      </c>
    </row>
    <row r="7037">
      <c r="A7037" s="5" t="s">
        <v>8123</v>
      </c>
      <c r="B7037" s="5" t="s">
        <v>7448</v>
      </c>
      <c r="C7037" s="5" t="str">
        <f>IFERROR(__xludf.DUMMYFUNCTION("GOOGLETRANSLATE(A7037,""en"",""hy"")"),"Ո՞վ է նկարել հայտնի «Վերջին ընթրիքը» ստեղծագործությունը:")</f>
        <v>Ո՞վ է նկարել հայտնի «Վերջին ընթրիքը» ստեղծագործությունը:</v>
      </c>
      <c r="D7037" s="6" t="str">
        <f>IFERROR(__xludf.DUMMYFUNCTION("GOOGLETRANSLATE(B7037,""en"",""hy"")"),"Լեոնարդո դա Վինչի.")</f>
        <v>Լեոնարդո դա Վինչի.</v>
      </c>
    </row>
    <row r="7038">
      <c r="A7038" s="5" t="s">
        <v>9291</v>
      </c>
      <c r="B7038" s="5" t="s">
        <v>9323</v>
      </c>
      <c r="C7038" s="5" t="str">
        <f>IFERROR(__xludf.DUMMYFUNCTION("GOOGLETRANSLATE(A7038,""en"",""hy"")"),"Ո՞ր երկրում է գտնվում Անգկոր Վատ տաճարային համալիրը:")</f>
        <v>Ո՞ր երկրում է գտնվում Անգկոր Վատ տաճարային համալիրը:</v>
      </c>
      <c r="D7038" s="6" t="str">
        <f>IFERROR(__xludf.DUMMYFUNCTION("GOOGLETRANSLATE(B7038,""en"",""hy"")"),"Կամբոջա")</f>
        <v>Կամբոջա</v>
      </c>
    </row>
    <row r="7039">
      <c r="A7039" s="5" t="s">
        <v>7845</v>
      </c>
      <c r="B7039" s="5" t="s">
        <v>3533</v>
      </c>
      <c r="C7039" s="5" t="str">
        <f>IFERROR(__xludf.DUMMYFUNCTION("GOOGLETRANSLATE(A7039,""en"",""hy"")"),"Ո՞րն է Բրազիլիայի պաշտոնական լեզուն:")</f>
        <v>Ո՞րն է Բրազիլիայի պաշտոնական լեզուն:</v>
      </c>
      <c r="D7039" s="6" t="str">
        <f>IFERROR(__xludf.DUMMYFUNCTION("GOOGLETRANSLATE(B7039,""en"",""hy"")"),"Բրազիլիայի պաշտոնական լեզուն պորտուգալերենն է։")</f>
        <v>Բրազիլիայի պաշտոնական լեզուն պորտուգալերենն է։</v>
      </c>
    </row>
    <row r="7040">
      <c r="A7040" s="5" t="s">
        <v>9324</v>
      </c>
      <c r="B7040" s="5" t="s">
        <v>9325</v>
      </c>
      <c r="C7040" s="5" t="str">
        <f>IFERROR(__xludf.DUMMYFUNCTION("GOOGLETRANSLATE(A7040,""en"",""hy"")"),"Ո՞վ է դերասանուհին հայտնի «Քաղցած խաղեր» ֆիլմերում Քեթնիս Էվերդինի դերով։")</f>
        <v>Ո՞վ է դերասանուհին հայտնի «Քաղցած խաղեր» ֆիլմերում Քեթնիս Էվերդինի դերով։</v>
      </c>
      <c r="D7040" s="6" t="str">
        <f>IFERROR(__xludf.DUMMYFUNCTION("GOOGLETRANSLATE(B7040,""en"",""hy"")"),"Ջենիֆեր Լոուրենս.")</f>
        <v>Ջենիֆեր Լոուրենս.</v>
      </c>
    </row>
    <row r="7041">
      <c r="A7041" s="5" t="s">
        <v>8330</v>
      </c>
      <c r="B7041" s="5" t="s">
        <v>8331</v>
      </c>
      <c r="C7041" s="5" t="str">
        <f>IFERROR(__xludf.DUMMYFUNCTION("GOOGLETRANSLATE(A7041,""en"",""hy"")"),"Ո՞րն է Միացյալ Նահանգների ազգային ծաղիկը:")</f>
        <v>Ո՞րն է Միացյալ Նահանգների ազգային ծաղիկը:</v>
      </c>
      <c r="D7041" s="6" t="str">
        <f>IFERROR(__xludf.DUMMYFUNCTION("GOOGLETRANSLATE(B7041,""en"",""hy"")"),"Միացյալ Նահանգների ազգային ծաղիկը վարդն է։")</f>
        <v>Միացյալ Նահանգների ազգային ծաղիկը վարդն է։</v>
      </c>
    </row>
    <row r="7042">
      <c r="A7042" s="5" t="s">
        <v>7528</v>
      </c>
      <c r="B7042" s="5" t="s">
        <v>9231</v>
      </c>
      <c r="C7042" s="5" t="str">
        <f>IFERROR(__xludf.DUMMYFUNCTION("GOOGLETRANSLATE(A7042,""en"",""hy"")"),"Ո՞վ է Գերմանիայի ներկայիս կանցլերը:")</f>
        <v>Ո՞վ է Գերմանիայի ներկայիս կանցլերը:</v>
      </c>
      <c r="D7042" s="6" t="str">
        <f>IFERROR(__xludf.DUMMYFUNCTION("GOOGLETRANSLATE(B7042,""en"",""hy"")"),"Գերմանիայի ներկայիս կանցլերն Անգելա Մերկելն է։")</f>
        <v>Գերմանիայի ներկայիս կանցլերն Անգելա Մերկելն է։</v>
      </c>
    </row>
    <row r="7043">
      <c r="A7043" s="5" t="s">
        <v>7574</v>
      </c>
      <c r="B7043" s="5" t="s">
        <v>7525</v>
      </c>
      <c r="C7043" s="5" t="str">
        <f>IFERROR(__xludf.DUMMYFUNCTION("GOOGLETRANSLATE(A7043,""en"",""hy"")"),"Ո՞րն է Չինաստանի մայրաքաղաքը:")</f>
        <v>Ո՞րն է Չինաստանի մայրաքաղաքը:</v>
      </c>
      <c r="D7043" s="6" t="str">
        <f>IFERROR(__xludf.DUMMYFUNCTION("GOOGLETRANSLATE(B7043,""en"",""hy"")"),"Պեկին.")</f>
        <v>Պեկին.</v>
      </c>
    </row>
    <row r="7044">
      <c r="A7044" s="5" t="s">
        <v>9279</v>
      </c>
      <c r="B7044" s="5" t="s">
        <v>8355</v>
      </c>
      <c r="C7044" s="5" t="str">
        <f>IFERROR(__xludf.DUMMYFUNCTION("GOOGLETRANSLATE(A7044,""en"",""hy"")"),"Ո՞վ է գրել հայտնի «1984» վեպը։")</f>
        <v>Ո՞վ է գրել հայտնի «1984» վեպը։</v>
      </c>
      <c r="D7044" s="6" t="str">
        <f>IFERROR(__xludf.DUMMYFUNCTION("GOOGLETRANSLATE(B7044,""en"",""hy"")"),"Ջորջ Օրուել")</f>
        <v>Ջորջ Օրուել</v>
      </c>
    </row>
    <row r="7045">
      <c r="A7045" s="5" t="s">
        <v>7809</v>
      </c>
      <c r="B7045" s="5" t="s">
        <v>9326</v>
      </c>
      <c r="C7045" s="5" t="str">
        <f>IFERROR(__xludf.DUMMYFUNCTION("GOOGLETRANSLATE(A7045,""en"",""hy"")"),"Ո՞րն է հելիումի քիմիական նշանը:")</f>
        <v>Ո՞րն է հելիումի քիմիական նշանը:</v>
      </c>
      <c r="D7045" s="6" t="str">
        <f>IFERROR(__xludf.DUMMYFUNCTION("GOOGLETRANSLATE(B7045,""en"",""hy"")"),"Հելիումի քիմիական նշանն է «Նա»:")</f>
        <v>Հելիումի քիմիական նշանն է «Նա»:</v>
      </c>
    </row>
    <row r="7046">
      <c r="A7046" s="5" t="s">
        <v>7793</v>
      </c>
      <c r="B7046" s="5" t="s">
        <v>998</v>
      </c>
      <c r="C7046" s="5" t="str">
        <f>IFERROR(__xludf.DUMMYFUNCTION("GOOGLETRANSLATE(A7046,""en"",""hy"")"),"Ո՞ր երկիրն է հայտնի իր կակաչներով և հողմաղացներով:")</f>
        <v>Ո՞ր երկիրն է հայտնի իր կակաչներով և հողմաղացներով:</v>
      </c>
      <c r="D7046" s="6" t="str">
        <f>IFERROR(__xludf.DUMMYFUNCTION("GOOGLETRANSLATE(B7046,""en"",""hy"")"),"Նիդերլանդներ.")</f>
        <v>Նիդերլանդներ.</v>
      </c>
    </row>
    <row r="7047">
      <c r="A7047" s="5" t="s">
        <v>8142</v>
      </c>
      <c r="B7047" s="5" t="s">
        <v>8143</v>
      </c>
      <c r="C7047" s="5" t="str">
        <f>IFERROR(__xludf.DUMMYFUNCTION("GOOGLETRANSLATE(A7047,""en"",""hy"")"),"Ո՞վ է Ավստրալիայի ներկայիս վարչապետը:")</f>
        <v>Ո՞վ է Ավստրալիայի ներկայիս վարչապետը:</v>
      </c>
      <c r="D7047" s="6" t="str">
        <f>IFERROR(__xludf.DUMMYFUNCTION("GOOGLETRANSLATE(B7047,""en"",""hy"")"),"Սքոթ Մորիսոն.")</f>
        <v>Սքոթ Մորիսոն.</v>
      </c>
    </row>
    <row r="7048">
      <c r="A7048" s="5" t="s">
        <v>7489</v>
      </c>
      <c r="B7048" s="5" t="s">
        <v>7490</v>
      </c>
      <c r="C7048" s="5" t="str">
        <f>IFERROR(__xludf.DUMMYFUNCTION("GOOGLETRANSLATE(A7048,""en"",""hy"")"),"Ո՞րն է աշխարհի ամենաբարձր շենքը:")</f>
        <v>Ո՞րն է աշխարհի ամենաբարձր շենքը:</v>
      </c>
      <c r="D7048" s="6" t="str">
        <f>IFERROR(__xludf.DUMMYFUNCTION("GOOGLETRANSLATE(B7048,""en"",""hy"")"),"Աշխարհի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7049">
      <c r="A7049" s="5" t="s">
        <v>9327</v>
      </c>
      <c r="B7049" s="5" t="s">
        <v>7956</v>
      </c>
      <c r="C7049" s="5" t="str">
        <f>IFERROR(__xludf.DUMMYFUNCTION("GOOGLETRANSLATE(A7049,""en"",""hy"")"),"Ո՞ր գիտնականն է հայտնաբերել ձգողության օրենքը:")</f>
        <v>Ո՞ր գիտնականն է հայտնաբերել ձգողության օրենքը:</v>
      </c>
      <c r="D7049" s="6" t="str">
        <f>IFERROR(__xludf.DUMMYFUNCTION("GOOGLETRANSLATE(B7049,""en"",""hy"")"),"Իսահակ Նյուտոն.")</f>
        <v>Իսահակ Նյուտոն.</v>
      </c>
    </row>
    <row r="7050">
      <c r="A7050" s="5" t="s">
        <v>8280</v>
      </c>
      <c r="B7050" s="5" t="s">
        <v>8281</v>
      </c>
      <c r="C7050" s="5" t="str">
        <f>IFERROR(__xludf.DUMMYFUNCTION("GOOGLETRANSLATE(A7050,""en"",""hy"")"),"Ո՞րն է Ֆրանսիայի պաշտոնական լեզուն:")</f>
        <v>Ո՞րն է Ֆրանսիայի պաշտոնական լեզուն:</v>
      </c>
      <c r="D7050" s="6" t="str">
        <f>IFERROR(__xludf.DUMMYFUNCTION("GOOGLETRANSLATE(B7050,""en"",""hy"")"),"Ֆրանսիայի պաշտոնական լեզուն ֆրանսերենն է։")</f>
        <v>Ֆրանսիայի պաշտոնական լեզուն ֆրանսերենն է։</v>
      </c>
    </row>
    <row r="7051">
      <c r="A7051" s="5" t="s">
        <v>9328</v>
      </c>
      <c r="B7051" s="5" t="s">
        <v>8916</v>
      </c>
      <c r="C7051" s="5" t="str">
        <f>IFERROR(__xludf.DUMMYFUNCTION("GOOGLETRANSLATE(A7051,""en"",""hy"")"),"Ո՞վ է դերասանը, որը հայտնի է Մարվելի կինոտիեզերքում Թոնի Սթարքի/Երկաթե մարդու դերով:")</f>
        <v>Ո՞վ է դերասանը, որը հայտնի է Մարվելի կինոտիեզերքում Թոնի Սթարքի/Երկաթե մարդու դերով:</v>
      </c>
      <c r="D7051" s="6" t="str">
        <f>IFERROR(__xludf.DUMMYFUNCTION("GOOGLETRANSLATE(B7051,""en"",""hy"")"),"Ռոբերտ Դաունի կրտսերը")</f>
        <v>Ռոբերտ Դաունի կրտսերը</v>
      </c>
    </row>
    <row r="7052">
      <c r="A7052" s="5" t="s">
        <v>8808</v>
      </c>
      <c r="B7052" s="5" t="s">
        <v>8201</v>
      </c>
      <c r="C7052" s="5" t="str">
        <f>IFERROR(__xludf.DUMMYFUNCTION("GOOGLETRANSLATE(A7052,""en"",""hy"")"),"Ո՞ր երկրում է գտնվում Ակրոպոլիսը:")</f>
        <v>Ո՞ր երկրում է գտնվում Ակրոպոլիսը:</v>
      </c>
      <c r="D7052" s="6" t="str">
        <f>IFERROR(__xludf.DUMMYFUNCTION("GOOGLETRANSLATE(B7052,""en"",""hy"")"),"Հունաստան.")</f>
        <v>Հունաստան.</v>
      </c>
    </row>
    <row r="7053">
      <c r="A7053" s="5" t="s">
        <v>8151</v>
      </c>
      <c r="B7053" s="5" t="s">
        <v>8251</v>
      </c>
      <c r="C7053" s="5" t="str">
        <f>IFERROR(__xludf.DUMMYFUNCTION("GOOGLETRANSLATE(A7053,""en"",""hy"")"),"Ո՞րն է Հնդկաստանի ազգային կենդանին:")</f>
        <v>Ո՞րն է Հնդկաստանի ազգային կենդանին:</v>
      </c>
      <c r="D7053" s="6" t="str">
        <f>IFERROR(__xludf.DUMMYFUNCTION("GOOGLETRANSLATE(B7053,""en"",""hy"")"),"Հնդկաստանի ազգային կենդանին բենգալյան վագրն է։")</f>
        <v>Հնդկաստանի ազգային կենդանին բենգալյան վագրն է։</v>
      </c>
    </row>
    <row r="7054">
      <c r="A7054" s="5" t="s">
        <v>9329</v>
      </c>
      <c r="B7054" s="5" t="s">
        <v>9330</v>
      </c>
      <c r="C7054" s="5" t="str">
        <f>IFERROR(__xludf.DUMMYFUNCTION("GOOGLETRANSLATE(A7054,""en"",""hy"")"),"Ո՞վ է Apple Inc-ի հիմնադիրը:")</f>
        <v>Ո՞վ է Apple Inc-ի հիմնադիրը:</v>
      </c>
      <c r="D7054" s="6" t="str">
        <f>IFERROR(__xludf.DUMMYFUNCTION("GOOGLETRANSLATE(B7054,""en"",""hy"")"),"Apple Inc-ի հիմնադիրը Սթիվ Ջոբսն է։")</f>
        <v>Apple Inc-ի հիմնադիրը Սթիվ Ջոբսն է։</v>
      </c>
    </row>
    <row r="7055">
      <c r="A7055" s="5" t="s">
        <v>7632</v>
      </c>
      <c r="B7055" s="5" t="s">
        <v>7633</v>
      </c>
      <c r="C7055" s="5" t="str">
        <f>IFERROR(__xludf.DUMMYFUNCTION("GOOGLETRANSLATE(A7055,""en"",""hy"")"),"Ո՞րն է մեր արեգակնային համակարգի ամենամեծ մոլորակը:")</f>
        <v>Ո՞րն է մեր արեգակնային համակարգի ամենամեծ մոլորակը:</v>
      </c>
      <c r="D7055" s="6" t="str">
        <f>IFERROR(__xludf.DUMMYFUNCTION("GOOGLETRANSLATE(B7055,""en"",""hy"")"),"Յուպիտեր.")</f>
        <v>Յուպիտեր.</v>
      </c>
    </row>
    <row r="7056">
      <c r="A7056" s="5" t="s">
        <v>9331</v>
      </c>
      <c r="B7056" s="5" t="s">
        <v>7905</v>
      </c>
      <c r="C7056" s="5" t="str">
        <f>IFERROR(__xludf.DUMMYFUNCTION("GOOGLETRANSLATE(A7056,""en"",""hy"")"),"Ո՞ր հայտնի նկարիչն է նկարել «Գիշերային պահակը»:")</f>
        <v>Ո՞ր հայտնի նկարիչն է նկարել «Գիշերային պահակը»:</v>
      </c>
      <c r="D7056" s="6" t="str">
        <f>IFERROR(__xludf.DUMMYFUNCTION("GOOGLETRANSLATE(B7056,""en"",""hy"")"),"Ռեմբրանդտը։")</f>
        <v>Ռեմբրանդտը։</v>
      </c>
    </row>
    <row r="7057">
      <c r="A7057" s="5" t="s">
        <v>9332</v>
      </c>
      <c r="B7057" s="5" t="s">
        <v>7731</v>
      </c>
      <c r="C7057" s="5" t="str">
        <f>IFERROR(__xludf.DUMMYFUNCTION("GOOGLETRANSLATE(A7057,""en"",""hy"")"),"Ո՞վ է «Նարնիայի քրոնիկները» գրքաշարի հեղինակը.")</f>
        <v>Ո՞վ է «Նարնիայի քրոնիկները» գրքաշարի հեղինակը.</v>
      </c>
      <c r="D7057" s="6" t="str">
        <f>IFERROR(__xludf.DUMMYFUNCTION("GOOGLETRANSLATE(B7057,""en"",""hy"")"),"C.S. Լյուիս")</f>
        <v>C.S. Լյուիս</v>
      </c>
    </row>
    <row r="7058">
      <c r="A7058" s="5" t="s">
        <v>7561</v>
      </c>
      <c r="B7058" s="5" t="s">
        <v>7669</v>
      </c>
      <c r="C7058" s="5" t="str">
        <f>IFERROR(__xludf.DUMMYFUNCTION("GOOGLETRANSLATE(A7058,""en"",""hy"")"),"Ո՞րն է Մեքսիկայի արժույթը:")</f>
        <v>Ո՞րն է Մեքսիկայի արժույթը:</v>
      </c>
      <c r="D7058" s="6" t="str">
        <f>IFERROR(__xludf.DUMMYFUNCTION("GOOGLETRANSLATE(B7058,""en"",""hy"")"),"Մեքսիկայի արժույթը մեքսիկական պեսոն է։")</f>
        <v>Մեքսիկայի արժույթը մեքսիկական պեսոն է։</v>
      </c>
    </row>
    <row r="7059">
      <c r="A7059" s="5" t="s">
        <v>9333</v>
      </c>
      <c r="B7059" s="5" t="s">
        <v>9334</v>
      </c>
      <c r="C7059" s="5" t="str">
        <f>IFERROR(__xludf.DUMMYFUNCTION("GOOGLETRANSLATE(A7059,""en"",""hy"")"),"Ո՞ր երկրում է գտնվում Սահարա անապատը:")</f>
        <v>Ո՞ր երկրում է գտնվում Սահարա անապատը:</v>
      </c>
      <c r="D7059" s="6" t="str">
        <f>IFERROR(__xludf.DUMMYFUNCTION("GOOGLETRANSLATE(B7059,""en"",""hy"")"),"Սահարա անապատը գտնվում է Աֆրիկայում։")</f>
        <v>Սահարա անապատը գտնվում է Աֆրիկայում։</v>
      </c>
    </row>
    <row r="7060">
      <c r="A7060" s="5" t="s">
        <v>8144</v>
      </c>
      <c r="B7060" s="5" t="s">
        <v>2267</v>
      </c>
      <c r="C7060" s="5" t="str">
        <f>IFERROR(__xludf.DUMMYFUNCTION("GOOGLETRANSLATE(A7060,""en"",""hy"")"),"Ո՞րն է Իսպանիայի պաշտոնական լեզուն:")</f>
        <v>Ո՞րն է Իսպանիայի պաշտոնական լեզուն:</v>
      </c>
      <c r="D7060" s="6" t="str">
        <f>IFERROR(__xludf.DUMMYFUNCTION("GOOGLETRANSLATE(B7060,""en"",""hy"")"),"իսպաներեն.")</f>
        <v>իսպաներեն.</v>
      </c>
    </row>
    <row r="7061">
      <c r="A7061" s="5" t="s">
        <v>9335</v>
      </c>
      <c r="B7061" s="5" t="s">
        <v>9336</v>
      </c>
      <c r="C7061" s="5" t="str">
        <f>IFERROR(__xludf.DUMMYFUNCTION("GOOGLETRANSLATE(A7061,""en"",""hy"")"),"Ո՞վ է նկարահանել «The Shawshank Redemption» ֆիլմը:")</f>
        <v>Ո՞վ է նկարահանել «The Shawshank Redemption» ֆիլմը:</v>
      </c>
      <c r="D7061" s="6" t="str">
        <f>IFERROR(__xludf.DUMMYFUNCTION("GOOGLETRANSLATE(B7061,""en"",""hy"")"),"Ֆրենկ Դարաբոնտ.")</f>
        <v>Ֆրենկ Դարաբոնտ.</v>
      </c>
    </row>
    <row r="7062">
      <c r="A7062" s="5" t="s">
        <v>7449</v>
      </c>
      <c r="B7062" s="5" t="s">
        <v>7343</v>
      </c>
      <c r="C7062" s="5" t="str">
        <f>IFERROR(__xludf.DUMMYFUNCTION("GOOGLETRANSLATE(A7062,""en"",""hy"")"),"Ո՞րն է աշխարհի ամենամեծ երկիրը ցամաքային տարածքով:")</f>
        <v>Ո՞րն է աշխարհի ամենամեծ երկիրը ցամաքային տարածքով:</v>
      </c>
      <c r="D7062" s="6" t="str">
        <f>IFERROR(__xludf.DUMMYFUNCTION("GOOGLETRANSLATE(B7062,""en"",""hy"")"),"Ռուսաստան.")</f>
        <v>Ռուսաստան.</v>
      </c>
    </row>
    <row r="7063">
      <c r="A7063" s="5" t="s">
        <v>9337</v>
      </c>
      <c r="B7063" s="5" t="s">
        <v>7501</v>
      </c>
      <c r="C7063" s="5" t="str">
        <f>IFERROR(__xludf.DUMMYFUNCTION("GOOGLETRANSLATE(A7063,""en"",""hy"")"),"Ո՞ր քաղաքն է հայտնի որպես «Լույսերի քաղաք»:")</f>
        <v>Ո՞ր քաղաքն է հայտնի որպես «Լույսերի քաղաք»:</v>
      </c>
      <c r="D7063" s="6" t="str">
        <f>IFERROR(__xludf.DUMMYFUNCTION("GOOGLETRANSLATE(B7063,""en"",""hy"")"),"Փարիզ.")</f>
        <v>Փարիզ.</v>
      </c>
    </row>
    <row r="7064">
      <c r="A7064" s="5" t="s">
        <v>8290</v>
      </c>
      <c r="B7064" s="5" t="s">
        <v>9203</v>
      </c>
      <c r="C7064" s="5" t="str">
        <f>IFERROR(__xludf.DUMMYFUNCTION("GOOGLETRANSLATE(A7064,""en"",""hy"")"),"Ո՞րն է Հարավային Աֆրիկայի ազգային կենդանին:")</f>
        <v>Ո՞րն է Հարավային Աֆրիկայի ազգային կենդանին:</v>
      </c>
      <c r="D7064" s="6" t="str">
        <f>IFERROR(__xludf.DUMMYFUNCTION("GOOGLETRANSLATE(B7064,""en"",""hy"")"),"Հարավային Աֆրիկայի ազգային կենդանին Սփրինգբոկն է։")</f>
        <v>Հարավային Աֆրիկայի ազգային կենդանին Սփրինգբոկն է։</v>
      </c>
    </row>
    <row r="7065">
      <c r="A7065" s="5" t="s">
        <v>7679</v>
      </c>
      <c r="B7065" s="5" t="s">
        <v>8273</v>
      </c>
      <c r="C7065" s="5" t="str">
        <f>IFERROR(__xludf.DUMMYFUNCTION("GOOGLETRANSLATE(A7065,""en"",""hy"")"),"Ո՞վ է «The Catcher in the Rye»-ի հեղինակը.")</f>
        <v>Ո՞վ է «The Catcher in the Rye»-ի հեղինակը.</v>
      </c>
      <c r="D7065" s="6" t="str">
        <f>IFERROR(__xludf.DUMMYFUNCTION("GOOGLETRANSLATE(B7065,""en"",""hy"")"),"Ջ.Դ.Սելինջեր")</f>
        <v>Ջ.Դ.Սելինջեր</v>
      </c>
    </row>
    <row r="7066">
      <c r="A7066" s="5" t="s">
        <v>7780</v>
      </c>
      <c r="B7066" s="5" t="s">
        <v>2951</v>
      </c>
      <c r="C7066" s="5" t="str">
        <f>IFERROR(__xludf.DUMMYFUNCTION("GOOGLETRANSLATE(A7066,""en"",""hy"")"),"Ո՞րն է Կանադայի մայրաքաղաքը:")</f>
        <v>Ո՞րն է Կանադայի մայրաքաղաքը:</v>
      </c>
      <c r="D7066" s="6" t="str">
        <f>IFERROR(__xludf.DUMMYFUNCTION("GOOGLETRANSLATE(B7066,""en"",""hy"")"),"Օտտավա.")</f>
        <v>Օտտավա.</v>
      </c>
    </row>
    <row r="7067">
      <c r="A7067" s="5" t="s">
        <v>8318</v>
      </c>
      <c r="B7067" s="5" t="s">
        <v>7549</v>
      </c>
      <c r="C7067" s="5" t="str">
        <f>IFERROR(__xludf.DUMMYFUNCTION("GOOGLETRANSLATE(A7067,""en"",""hy"")"),"Ո՞վ է նկարել հայտնի «Մարգարտյա ականջօղով աղջիկը» ստեղծագործությունը:")</f>
        <v>Ո՞վ է նկարել հայտնի «Մարգարտյա ականջօղով աղջիկը» ստեղծագործությունը:</v>
      </c>
      <c r="D7067" s="6" t="str">
        <f>IFERROR(__xludf.DUMMYFUNCTION("GOOGLETRANSLATE(B7067,""en"",""hy"")"),"Յոհաննես Վերմեեր.")</f>
        <v>Յոհաննես Վերմեեր.</v>
      </c>
    </row>
    <row r="7068">
      <c r="A7068" s="5" t="s">
        <v>7993</v>
      </c>
      <c r="B7068" s="5" t="s">
        <v>7994</v>
      </c>
      <c r="C7068" s="5" t="str">
        <f>IFERROR(__xludf.DUMMYFUNCTION("GOOGLETRANSLATE(A7068,""en"",""hy"")"),"Ո՞ր երկրում է գտնվում Ազատության արձանը:")</f>
        <v>Ո՞ր երկրում է գտնվում Ազատության արձանը:</v>
      </c>
      <c r="D7068" s="6" t="str">
        <f>IFERROR(__xludf.DUMMYFUNCTION("GOOGLETRANSLATE(B7068,""en"",""hy"")"),"Ազատության արձանը գտնվում է ԱՄՆ-ում։")</f>
        <v>Ազատության արձանը գտնվում է ԱՄՆ-ում։</v>
      </c>
    </row>
    <row r="7069">
      <c r="A7069" s="5" t="s">
        <v>8262</v>
      </c>
      <c r="B7069" s="5" t="s">
        <v>8837</v>
      </c>
      <c r="C7069" s="5" t="str">
        <f>IFERROR(__xludf.DUMMYFUNCTION("GOOGLETRANSLATE(A7069,""en"",""hy"")"),"Ո՞րն է Ճապոնիայի պաշտոնական լեզուն:")</f>
        <v>Ո՞րն է Ճապոնիայի պաշտոնական լեզուն:</v>
      </c>
      <c r="D7069" s="6" t="str">
        <f>IFERROR(__xludf.DUMMYFUNCTION("GOOGLETRANSLATE(B7069,""en"",""hy"")"),"Ճապոնիայի պաշտոնական լեզուն ճապոներենն է։")</f>
        <v>Ճապոնիայի պաշտոնական լեզուն ճապոներենն է։</v>
      </c>
    </row>
    <row r="7070">
      <c r="A7070" s="5" t="s">
        <v>9338</v>
      </c>
      <c r="B7070" s="5" t="s">
        <v>2360</v>
      </c>
      <c r="C7070" s="5" t="str">
        <f>IFERROR(__xludf.DUMMYFUNCTION("GOOGLETRANSLATE(A7070,""en"",""hy"")"),"Ո՞վ է դերասանուհին հայտնի «Աստղային պատերազմներ» ֆիլմերում արքայադուստր Լեյայի դերով։")</f>
        <v>Ո՞վ է դերասանուհին հայտնի «Աստղային պատերազմներ» ֆիլմերում արքայադուստր Լեյայի դերով։</v>
      </c>
      <c r="D7070" s="6" t="str">
        <f>IFERROR(__xludf.DUMMYFUNCTION("GOOGLETRANSLATE(B7070,""en"",""hy"")"),"Քերի Ֆիշեր.")</f>
        <v>Քերի Ֆիշեր.</v>
      </c>
    </row>
    <row r="7071">
      <c r="A7071" s="5" t="s">
        <v>8136</v>
      </c>
      <c r="B7071" s="5" t="s">
        <v>9061</v>
      </c>
      <c r="C7071" s="5" t="str">
        <f>IFERROR(__xludf.DUMMYFUNCTION("GOOGLETRANSLATE(A7071,""en"",""hy"")"),"Ո՞րն է Ֆրանսիայի ազգային ծաղիկը:")</f>
        <v>Ո՞րն է Ֆրանսիայի ազգային ծաղիկը:</v>
      </c>
      <c r="D7071" s="6" t="str">
        <f>IFERROR(__xludf.DUMMYFUNCTION("GOOGLETRANSLATE(B7071,""en"",""hy"")"),"Ֆրանսիայի ազգային ծաղիկը Շուշանն է։")</f>
        <v>Ֆրանսիայի ազգային ծաղիկը Շուշանն է։</v>
      </c>
    </row>
    <row r="7072">
      <c r="A7072" s="5" t="s">
        <v>8159</v>
      </c>
      <c r="B7072" s="5" t="s">
        <v>8160</v>
      </c>
      <c r="C7072" s="5" t="str">
        <f>IFERROR(__xludf.DUMMYFUNCTION("GOOGLETRANSLATE(A7072,""en"",""hy"")"),"Ո՞վ է Ռուսաստանի ներկայիս նախագահը.")</f>
        <v>Ո՞վ է Ռուսաստանի ներկայիս նախագահը.</v>
      </c>
      <c r="D7072" s="6" t="str">
        <f>IFERROR(__xludf.DUMMYFUNCTION("GOOGLETRANSLATE(B7072,""en"",""hy"")"),"Վլադիմիր Պուտին.")</f>
        <v>Վլադիմիր Պուտին.</v>
      </c>
    </row>
    <row r="7073">
      <c r="A7073" s="5" t="s">
        <v>7589</v>
      </c>
      <c r="B7073" s="5" t="s">
        <v>7545</v>
      </c>
      <c r="C7073" s="5" t="str">
        <f>IFERROR(__xludf.DUMMYFUNCTION("GOOGLETRANSLATE(A7073,""en"",""hy"")"),"Ո՞րն է Իտալիայի մայրաքաղաքը:")</f>
        <v>Ո՞րն է Իտալիայի մայրաքաղաքը:</v>
      </c>
      <c r="D7073" s="6" t="str">
        <f>IFERROR(__xludf.DUMMYFUNCTION("GOOGLETRANSLATE(B7073,""en"",""hy"")"),"Հռոմ.")</f>
        <v>Հռոմ.</v>
      </c>
    </row>
    <row r="7074">
      <c r="A7074" s="5" t="s">
        <v>7683</v>
      </c>
      <c r="B7074" s="5" t="s">
        <v>8107</v>
      </c>
      <c r="C7074" s="5" t="str">
        <f>IFERROR(__xludf.DUMMYFUNCTION("GOOGLETRANSLATE(A7074,""en"",""hy"")"),"Ո՞վ է գրել «Համլետ» պիեսը։")</f>
        <v>Ո՞վ է գրել «Համլետ» պիեսը։</v>
      </c>
      <c r="D7074" s="6" t="str">
        <f>IFERROR(__xludf.DUMMYFUNCTION("GOOGLETRANSLATE(B7074,""en"",""hy"")"),"Ուիլյամ Շեքսպիր")</f>
        <v>Ուիլյամ Շեքսպիր</v>
      </c>
    </row>
    <row r="7075">
      <c r="A7075" s="5" t="s">
        <v>7699</v>
      </c>
      <c r="B7075" s="5" t="s">
        <v>7700</v>
      </c>
      <c r="C7075" s="5" t="str">
        <f>IFERROR(__xludf.DUMMYFUNCTION("GOOGLETRANSLATE(A7075,""en"",""hy"")"),"Ո՞րն է ածխածնի քիմիական նշանը:")</f>
        <v>Ո՞րն է ածխածնի քիմիական նշանը:</v>
      </c>
      <c r="D7075" s="6" t="str">
        <f>IFERROR(__xludf.DUMMYFUNCTION("GOOGLETRANSLATE(B7075,""en"",""hy"")"),"Ածխածնի քիմիական նշանը C է:")</f>
        <v>Ածխածնի քիմիական նշանը C է:</v>
      </c>
    </row>
    <row r="7076">
      <c r="A7076" s="5" t="s">
        <v>9339</v>
      </c>
      <c r="B7076" s="5" t="s">
        <v>8249</v>
      </c>
      <c r="C7076" s="5" t="str">
        <f>IFERROR(__xludf.DUMMYFUNCTION("GOOGLETRANSLATE(A7076,""en"",""hy"")"),"Ո՞ր երկիրն է հայտնի իր բուրգերով և փարավոններով:")</f>
        <v>Ո՞ր երկիրն է հայտնի իր բուրգերով և փարավոններով:</v>
      </c>
      <c r="D7076" s="6" t="str">
        <f>IFERROR(__xludf.DUMMYFUNCTION("GOOGLETRANSLATE(B7076,""en"",""hy"")"),"Եգիպտոս")</f>
        <v>Եգիպտոս</v>
      </c>
    </row>
    <row r="7077">
      <c r="A7077" s="5" t="s">
        <v>8843</v>
      </c>
      <c r="B7077" s="5" t="s">
        <v>9176</v>
      </c>
      <c r="C7077" s="5" t="str">
        <f>IFERROR(__xludf.DUMMYFUNCTION("GOOGLETRANSLATE(A7077,""en"",""hy"")"),"Ո՞վ է Հնդկաստանի ներկայիս վարչապետը:")</f>
        <v>Ո՞վ է Հնդկաստանի ներկայիս վարչապետը:</v>
      </c>
      <c r="D7077" s="6" t="str">
        <f>IFERROR(__xludf.DUMMYFUNCTION("GOOGLETRANSLATE(B7077,""en"",""hy"")"),"Նարենդրա Մոդի.")</f>
        <v>Նարենդրա Մոդի.</v>
      </c>
    </row>
    <row r="7078">
      <c r="A7078" s="5" t="s">
        <v>7463</v>
      </c>
      <c r="B7078" s="5" t="s">
        <v>7464</v>
      </c>
      <c r="C7078" s="5" t="str">
        <f>IFERROR(__xludf.DUMMYFUNCTION("GOOGLETRANSLATE(A7078,""en"",""hy"")"),"Ո՞րն է աշխարհի ամենաբարձր լեռը:")</f>
        <v>Ո՞րն է աշխարհի ամենաբարձր լեռը:</v>
      </c>
      <c r="D7078" s="6" t="str">
        <f>IFERROR(__xludf.DUMMYFUNCTION("GOOGLETRANSLATE(B7078,""en"",""hy"")"),"Էվերեստ լեռ.")</f>
        <v>Էվերեստ լեռ.</v>
      </c>
    </row>
    <row r="7079">
      <c r="A7079" s="5" t="s">
        <v>9340</v>
      </c>
      <c r="B7079" s="5" t="s">
        <v>9341</v>
      </c>
      <c r="C7079" s="5" t="str">
        <f>IFERROR(__xludf.DUMMYFUNCTION("GOOGLETRANSLATE(A7079,""en"",""hy"")"),"Ո՞վ է «Հարի Փոթեր» ֆիլմաշարի ռեժիսորը.")</f>
        <v>Ո՞վ է «Հարի Փոթեր» ֆիլմաշարի ռեժիսորը.</v>
      </c>
      <c r="D7079" s="6" t="str">
        <f>IFERROR(__xludf.DUMMYFUNCTION("GOOGLETRANSLATE(B7079,""en"",""hy"")"),"«Հարի Փոթեր» ֆիլմաշարի ռեժիսորը Քրիս Կոլումբոսն է։")</f>
        <v>«Հարի Փոթեր» ֆիլմաշարի ռեժիսորը Քրիս Կոլումբոսն է։</v>
      </c>
    </row>
    <row r="7080">
      <c r="A7080" s="5" t="s">
        <v>8798</v>
      </c>
      <c r="B7080" s="5" t="s">
        <v>7972</v>
      </c>
      <c r="C7080" s="5" t="str">
        <f>IFERROR(__xludf.DUMMYFUNCTION("GOOGLETRANSLATE(A7080,""en"",""hy"")"),"Ո՞ր երկրում է գտնվում Էյֆելյան աշտարակը:")</f>
        <v>Ո՞ր երկրում է գտնվում Էյֆելյան աշտարակը:</v>
      </c>
      <c r="D7080" s="6" t="str">
        <f>IFERROR(__xludf.DUMMYFUNCTION("GOOGLETRANSLATE(B7080,""en"",""hy"")"),"Ֆրանսիա.")</f>
        <v>Ֆրանսիա.</v>
      </c>
    </row>
    <row r="7081">
      <c r="A7081" s="5" t="s">
        <v>7450</v>
      </c>
      <c r="B7081" s="5" t="s">
        <v>7451</v>
      </c>
      <c r="C7081" s="5" t="str">
        <f>IFERROR(__xludf.DUMMYFUNCTION("GOOGLETRANSLATE(A7081,""en"",""hy"")"),"Ո՞րն է Ավստրալիայի մայրաքաղաքը:")</f>
        <v>Ո՞րն է Ավստրալիայի մայրաքաղաքը:</v>
      </c>
      <c r="D7081" s="6" t="str">
        <f>IFERROR(__xludf.DUMMYFUNCTION("GOOGLETRANSLATE(B7081,""en"",""hy"")"),"Կանբերա.")</f>
        <v>Կանբերա.</v>
      </c>
    </row>
    <row r="7082">
      <c r="A7082" s="5" t="s">
        <v>7447</v>
      </c>
      <c r="B7082" s="5" t="s">
        <v>7448</v>
      </c>
      <c r="C7082" s="5" t="str">
        <f>IFERROR(__xludf.DUMMYFUNCTION("GOOGLETRANSLATE(A7082,""en"",""hy"")"),"Ո՞վ է նկարել Մոնա Լիզան:")</f>
        <v>Ո՞վ է նկարել Մոնա Լիզան:</v>
      </c>
      <c r="D7082" s="6" t="str">
        <f>IFERROR(__xludf.DUMMYFUNCTION("GOOGLETRANSLATE(B7082,""en"",""hy"")"),"Լեոնարդո դա Վինչի.")</f>
        <v>Լեոնարդո դա Վինչի.</v>
      </c>
    </row>
    <row r="7083">
      <c r="A7083" s="5" t="s">
        <v>9342</v>
      </c>
      <c r="B7083" s="5" t="s">
        <v>7456</v>
      </c>
      <c r="C7083" s="5" t="str">
        <f>IFERROR(__xludf.DUMMYFUNCTION("GOOGLETRANSLATE(A7083,""en"",""hy"")"),"Անվանեք աշխարհի ամենամեծ օվկիանոսը:")</f>
        <v>Անվանեք աշխարհի ամենամեծ օվկիանոսը:</v>
      </c>
      <c r="D7083" s="6" t="str">
        <f>IFERROR(__xludf.DUMMYFUNCTION("GOOGLETRANSLATE(B7083,""en"",""hy"")"),"Խաղաղ Օվկիանոս.")</f>
        <v>Խաղաղ Օվկիանոս.</v>
      </c>
    </row>
    <row r="7084">
      <c r="A7084" s="5" t="s">
        <v>8062</v>
      </c>
      <c r="B7084" s="5" t="s">
        <v>8063</v>
      </c>
      <c r="C7084" s="5" t="str">
        <f>IFERROR(__xludf.DUMMYFUNCTION("GOOGLETRANSLATE(A7084,""en"",""hy"")"),"Քանի՞ խաղացող կա ֆուտբոլային թիմում:")</f>
        <v>Քանի՞ խաղացող կա ֆուտբոլային թիմում:</v>
      </c>
      <c r="D7084" s="6" t="str">
        <f>IFERROR(__xludf.DUMMYFUNCTION("GOOGLETRANSLATE(B7084,""en"",""hy"")"),"Ֆուտբոլային թիմում կա 11 խաղացող։")</f>
        <v>Ֆուտբոլային թիմում կա 11 խաղացող։</v>
      </c>
    </row>
    <row r="7085">
      <c r="A7085" s="5" t="s">
        <v>8399</v>
      </c>
      <c r="B7085" s="5" t="s">
        <v>7541</v>
      </c>
      <c r="C7085" s="5" t="str">
        <f>IFERROR(__xludf.DUMMYFUNCTION("GOOGLETRANSLATE(A7085,""en"",""hy"")"),"Ո՞վ է գրել «Սպանել ծաղրող թռչունին» գիրքը:")</f>
        <v>Ո՞վ է գրել «Սպանել ծաղրող թռչունին» գիրքը:</v>
      </c>
      <c r="D7085" s="6" t="str">
        <f>IFERROR(__xludf.DUMMYFUNCTION("GOOGLETRANSLATE(B7085,""en"",""hy"")"),"Հարփեր Լի.")</f>
        <v>Հարփեր Լի.</v>
      </c>
    </row>
    <row r="7086">
      <c r="A7086" s="5" t="s">
        <v>7779</v>
      </c>
      <c r="B7086" s="5" t="s">
        <v>7446</v>
      </c>
      <c r="C7086" s="5" t="str">
        <f>IFERROR(__xludf.DUMMYFUNCTION("GOOGLETRANSLATE(A7086,""en"",""hy"")"),"Ո՞ր մոլորակն է հայտնի որպես «Կարմիր մոլորակ»:")</f>
        <v>Ո՞ր մոլորակն է հայտնի որպես «Կարմիր մոլորակ»:</v>
      </c>
      <c r="D7086" s="6" t="str">
        <f>IFERROR(__xludf.DUMMYFUNCTION("GOOGLETRANSLATE(B7086,""en"",""hy"")"),"Մարս.")</f>
        <v>Մարս.</v>
      </c>
    </row>
    <row r="7087">
      <c r="A7087" s="5" t="s">
        <v>7452</v>
      </c>
      <c r="B7087" s="5" t="s">
        <v>7453</v>
      </c>
      <c r="C7087" s="5" t="str">
        <f>IFERROR(__xludf.DUMMYFUNCTION("GOOGLETRANSLATE(A7087,""en"",""hy"")"),"Ո՞րն է ոսկու քիմիական նշանը:")</f>
        <v>Ո՞րն է ոսկու քիմիական նշանը:</v>
      </c>
      <c r="D7087" s="6" t="str">
        <f>IFERROR(__xludf.DUMMYFUNCTION("GOOGLETRANSLATE(B7087,""en"",""hy"")"),"Ոսկու քիմիական նշանը Au-ն է:")</f>
        <v>Ոսկու քիմիական նշանը Au-ն է:</v>
      </c>
    </row>
    <row r="7088">
      <c r="A7088" s="5" t="s">
        <v>8963</v>
      </c>
      <c r="B7088" s="5" t="s">
        <v>9264</v>
      </c>
      <c r="C7088" s="5" t="str">
        <f>IFERROR(__xludf.DUMMYFUNCTION("GOOGLETRANSLATE(A7088,""en"",""hy"")"),"Ո՞ր քաղաքում կգտնեք Էյֆելյան աշտարակը:")</f>
        <v>Ո՞ր քաղաքում կգտնեք Էյֆելյան աշտարակը:</v>
      </c>
      <c r="D7088" s="6" t="str">
        <f>IFERROR(__xludf.DUMMYFUNCTION("GOOGLETRANSLATE(B7088,""en"",""hy"")"),"Փարիզ, Ֆրանսիա")</f>
        <v>Փարիզ, Ֆրանսիա</v>
      </c>
    </row>
    <row r="7089">
      <c r="A7089" s="5" t="s">
        <v>8223</v>
      </c>
      <c r="B7089" s="5" t="s">
        <v>8224</v>
      </c>
      <c r="C7089" s="5" t="str">
        <f>IFERROR(__xludf.DUMMYFUNCTION("GOOGLETRANSLATE(A7089,""en"",""hy"")"),"Ո՞վ է հայտնաբերել էլեկտրաէներգիան:")</f>
        <v>Ո՞վ է հայտնաբերել էլեկտրաէներգիան:</v>
      </c>
      <c r="D7089" s="6" t="str">
        <f>IFERROR(__xludf.DUMMYFUNCTION("GOOGLETRANSLATE(B7089,""en"",""hy"")"),"Բենջամին Ֆրանկլինը հաճախ վերագրվում է էլեկտրաէներգիայի հայտնաբերմանը:")</f>
        <v>Բենջամին Ֆրանկլինը հաճախ վերագրվում է էլեկտրաէներգիայի հայտնաբերմանը:</v>
      </c>
    </row>
    <row r="7090">
      <c r="A7090" s="5" t="s">
        <v>8583</v>
      </c>
      <c r="B7090" s="5" t="s">
        <v>3535</v>
      </c>
      <c r="C7090" s="5" t="str">
        <f>IFERROR(__xludf.DUMMYFUNCTION("GOOGLETRANSLATE(A7090,""en"",""hy"")"),"Ո՞ր երկրում է գտնվում Մեծ արգելախութը:")</f>
        <v>Ո՞ր երկրում է գտնվում Մեծ արգելախութը:</v>
      </c>
      <c r="D7090" s="6" t="str">
        <f>IFERROR(__xludf.DUMMYFUNCTION("GOOGLETRANSLATE(B7090,""en"",""hy"")"),"Ավստրալիա.")</f>
        <v>Ավստրալիա.</v>
      </c>
    </row>
    <row r="7091">
      <c r="A7091" s="5" t="s">
        <v>7842</v>
      </c>
      <c r="B7091" s="5" t="s">
        <v>7671</v>
      </c>
      <c r="C7091" s="5" t="str">
        <f>IFERROR(__xludf.DUMMYFUNCTION("GOOGLETRANSLATE(A7091,""en"",""hy"")"),"Ո՞րն է աշխարհի ամենաերկար գետը:")</f>
        <v>Ո՞րն է աշխարհի ամենաերկար գետը:</v>
      </c>
      <c r="D7091" s="6" t="str">
        <f>IFERROR(__xludf.DUMMYFUNCTION("GOOGLETRANSLATE(B7091,""en"",""hy"")"),"Նեղոս գետ.")</f>
        <v>Նեղոս գետ.</v>
      </c>
    </row>
    <row r="7092">
      <c r="A7092" s="5" t="s">
        <v>8206</v>
      </c>
      <c r="B7092" s="5" t="s">
        <v>8600</v>
      </c>
      <c r="C7092" s="5" t="str">
        <f>IFERROR(__xludf.DUMMYFUNCTION("GOOGLETRANSLATE(A7092,""en"",""hy"")"),"Ո՞րն է Երկրի ամենամեծ մայրցամաքը:")</f>
        <v>Ո՞րն է Երկրի ամենամեծ մայրցամաքը:</v>
      </c>
      <c r="D7092" s="6" t="str">
        <f>IFERROR(__xludf.DUMMYFUNCTION("GOOGLETRANSLATE(B7092,""en"",""hy"")"),"Ասիա")</f>
        <v>Ասիա</v>
      </c>
    </row>
    <row r="7093">
      <c r="A7093" s="5" t="s">
        <v>7640</v>
      </c>
      <c r="B7093" s="5" t="s">
        <v>1016</v>
      </c>
      <c r="C7093" s="5" t="str">
        <f>IFERROR(__xludf.DUMMYFUNCTION("GOOGLETRANSLATE(A7093,""en"",""hy"")"),"Ո՞վ է գրել «Ռոմեո և Ջուլիետ» պիեսը:")</f>
        <v>Ո՞վ է գրել «Ռոմեո և Ջուլիետ» պիեսը:</v>
      </c>
      <c r="D7093" s="6" t="str">
        <f>IFERROR(__xludf.DUMMYFUNCTION("GOOGLETRANSLATE(B7093,""en"",""hy"")"),"Ուիլյամ Շեքսպիր.")</f>
        <v>Ուիլյամ Շեքսպիր.</v>
      </c>
    </row>
    <row r="7094">
      <c r="A7094" s="5" t="s">
        <v>7463</v>
      </c>
      <c r="B7094" s="5" t="s">
        <v>7464</v>
      </c>
      <c r="C7094" s="5" t="str">
        <f>IFERROR(__xludf.DUMMYFUNCTION("GOOGLETRANSLATE(A7094,""en"",""hy"")"),"Ո՞րն է աշխարհի ամենաբարձր լեռը:")</f>
        <v>Ո՞րն է աշխարհի ամենաբարձր լեռը:</v>
      </c>
      <c r="D7094" s="6" t="str">
        <f>IFERROR(__xludf.DUMMYFUNCTION("GOOGLETRANSLATE(B7094,""en"",""hy"")"),"Էվերեստ լեռ.")</f>
        <v>Էվերեստ լեռ.</v>
      </c>
    </row>
    <row r="7095">
      <c r="A7095" s="5" t="s">
        <v>7592</v>
      </c>
      <c r="B7095" s="5" t="s">
        <v>7593</v>
      </c>
      <c r="C7095" s="5" t="str">
        <f>IFERROR(__xludf.DUMMYFUNCTION("GOOGLETRANSLATE(A7095,""en"",""hy"")"),"Ո՞րն է թթվածնի քիմիական նշանը:")</f>
        <v>Ո՞րն է թթվածնի քիմիական նշանը:</v>
      </c>
      <c r="D7095" s="6" t="str">
        <f>IFERROR(__xludf.DUMMYFUNCTION("GOOGLETRANSLATE(B7095,""en"",""hy"")"),"Թթվածնի քիմիական նշանը O է:")</f>
        <v>Թթվածնի քիմիական նշանը O է:</v>
      </c>
    </row>
    <row r="7096">
      <c r="A7096" s="5" t="s">
        <v>7920</v>
      </c>
      <c r="B7096" s="5" t="s">
        <v>7921</v>
      </c>
      <c r="C7096" s="5" t="str">
        <f>IFERROR(__xludf.DUMMYFUNCTION("GOOGLETRANSLATE(A7096,""en"",""hy"")"),"Ո՞ր երկրում է գտնվում Թաջ Մահալը:")</f>
        <v>Ո՞ր երկրում է գտնվում Թաջ Մահալը:</v>
      </c>
      <c r="D7096" s="6" t="str">
        <f>IFERROR(__xludf.DUMMYFUNCTION("GOOGLETRANSLATE(B7096,""en"",""hy"")"),"Հնդկաստան.")</f>
        <v>Հնդկաստան.</v>
      </c>
    </row>
    <row r="7097">
      <c r="A7097" s="5" t="s">
        <v>7926</v>
      </c>
      <c r="B7097" s="5" t="s">
        <v>7635</v>
      </c>
      <c r="C7097" s="5" t="str">
        <f>IFERROR(__xludf.DUMMYFUNCTION("GOOGLETRANSLATE(A7097,""en"",""hy"")"),"Ո՞վ էր առաջին մարդը, ով քայլեց լուսնի վրա:")</f>
        <v>Ո՞վ էր առաջին մարդը, ով քայլեց լուսնի վրա:</v>
      </c>
      <c r="D7097" s="6" t="str">
        <f>IFERROR(__xludf.DUMMYFUNCTION("GOOGLETRANSLATE(B7097,""en"",""hy"")"),"Նիլ Արմսթրոնգ.")</f>
        <v>Նիլ Արմսթրոնգ.</v>
      </c>
    </row>
    <row r="7098">
      <c r="A7098" s="5" t="s">
        <v>9343</v>
      </c>
      <c r="B7098" s="5" t="s">
        <v>7492</v>
      </c>
      <c r="C7098" s="5" t="str">
        <f>IFERROR(__xludf.DUMMYFUNCTION("GOOGLETRANSLATE(A7098,""en"",""hy"")"),"Ո՞վ է նկարել հայտնի «Աստղային գիշերը» ստեղծագործությունը։")</f>
        <v>Ո՞վ է նկարել հայտնի «Աստղային գիշերը» ստեղծագործությունը։</v>
      </c>
      <c r="D7098" s="6" t="str">
        <f>IFERROR(__xludf.DUMMYFUNCTION("GOOGLETRANSLATE(B7098,""en"",""hy"")"),"Վինսենթ վան Գոգ")</f>
        <v>Վինսենթ վան Գոգ</v>
      </c>
    </row>
    <row r="7099">
      <c r="A7099" s="5" t="s">
        <v>7467</v>
      </c>
      <c r="B7099" s="5" t="s">
        <v>7766</v>
      </c>
      <c r="C7099" s="5" t="str">
        <f>IFERROR(__xludf.DUMMYFUNCTION("GOOGLETRANSLATE(A7099,""en"",""hy"")"),"Ո՞րն է Ճապոնիայի արժույթը:")</f>
        <v>Ո՞րն է Ճապոնիայի արժույթը:</v>
      </c>
      <c r="D7099" s="6" t="str">
        <f>IFERROR(__xludf.DUMMYFUNCTION("GOOGLETRANSLATE(B7099,""en"",""hy"")"),"Ճապոնիայի արժույթը ճապոնական իենն է։")</f>
        <v>Ճապոնիայի արժույթը ճապոնական իենն է։</v>
      </c>
    </row>
    <row r="7100">
      <c r="A7100" s="5" t="s">
        <v>9344</v>
      </c>
      <c r="B7100" s="5" t="s">
        <v>7783</v>
      </c>
      <c r="C7100" s="5" t="str">
        <f>IFERROR(__xludf.DUMMYFUNCTION("GOOGLETRANSLATE(A7100,""en"",""hy"")"),"Անվանե՛ք աշխարհի ամենամեծ անապատը։")</f>
        <v>Անվանե՛ք աշխարհի ամենամեծ անապատը։</v>
      </c>
      <c r="D7100" s="6" t="str">
        <f>IFERROR(__xludf.DUMMYFUNCTION("GOOGLETRANSLATE(B7100,""en"",""hy"")"),"Սահարա անապատ.")</f>
        <v>Սահարա անապատ.</v>
      </c>
    </row>
    <row r="7101">
      <c r="A7101" s="5" t="s">
        <v>7515</v>
      </c>
      <c r="B7101" s="5" t="s">
        <v>7516</v>
      </c>
      <c r="C7101" s="5" t="str">
        <f>IFERROR(__xludf.DUMMYFUNCTION("GOOGLETRANSLATE(A7101,""en"",""hy"")"),"Ո՞րն է Բրազիլիայի մայրաքաղաքը:")</f>
        <v>Ո՞րն է Բրազիլիայի մայրաքաղաքը:</v>
      </c>
      <c r="D7101" s="6" t="str">
        <f>IFERROR(__xludf.DUMMYFUNCTION("GOOGLETRANSLATE(B7101,""en"",""hy"")"),"Բրազիլիա.")</f>
        <v>Բրազիլիա.</v>
      </c>
    </row>
    <row r="7102">
      <c r="A7102" s="5" t="s">
        <v>7504</v>
      </c>
      <c r="B7102" s="5" t="s">
        <v>7505</v>
      </c>
      <c r="C7102" s="5" t="str">
        <f>IFERROR(__xludf.DUMMYFUNCTION("GOOGLETRANSLATE(A7102,""en"",""hy"")"),"Ո՞վ է Միացյալ Նահանգների ներկայիս նախագահը:")</f>
        <v>Ո՞վ է Միացյալ Նահանգների ներկայիս նախագահը:</v>
      </c>
      <c r="D7102" s="6" t="str">
        <f>IFERROR(__xludf.DUMMYFUNCTION("GOOGLETRANSLATE(B7102,""en"",""hy"")"),"Ջո Բայդեն.")</f>
        <v>Ջո Բայդեն.</v>
      </c>
    </row>
    <row r="7103">
      <c r="A7103" s="5" t="s">
        <v>7915</v>
      </c>
      <c r="B7103" s="5" t="s">
        <v>7916</v>
      </c>
      <c r="C7103" s="5" t="str">
        <f>IFERROR(__xludf.DUMMYFUNCTION("GOOGLETRANSLATE(A7103,""en"",""hy"")"),"Քանի՞ ոսկոր կա մարդու մարմնում:")</f>
        <v>Քանի՞ ոսկոր կա մարդու մարմնում:</v>
      </c>
      <c r="D7103" s="6" t="str">
        <f>IFERROR(__xludf.DUMMYFUNCTION("GOOGLETRANSLATE(B7103,""en"",""hy"")"),"Մարդու մարմնում կա 206 ոսկոր։")</f>
        <v>Մարդու մարմնում կա 206 ոսկոր։</v>
      </c>
    </row>
    <row r="7104">
      <c r="A7104" s="5" t="s">
        <v>7698</v>
      </c>
      <c r="B7104" s="5" t="s">
        <v>7630</v>
      </c>
      <c r="C7104" s="5" t="str">
        <f>IFERROR(__xludf.DUMMYFUNCTION("GOOGLETRANSLATE(A7104,""en"",""hy"")"),"Ո՞վ է գրել «Հպարտություն և նախապաշարմունք» վեպը:")</f>
        <v>Ո՞վ է գրել «Հպարտություն և նախապաշարմունք» վեպը:</v>
      </c>
      <c r="D7104" s="6" t="str">
        <f>IFERROR(__xludf.DUMMYFUNCTION("GOOGLETRANSLATE(B7104,""en"",""hy"")"),"Ջեյն Օսթին.")</f>
        <v>Ջեյն Օսթին.</v>
      </c>
    </row>
    <row r="7105">
      <c r="A7105" s="5" t="s">
        <v>8114</v>
      </c>
      <c r="B7105" s="5" t="s">
        <v>9345</v>
      </c>
      <c r="C7105" s="5" t="str">
        <f>IFERROR(__xludf.DUMMYFUNCTION("GOOGLETRANSLATE(A7105,""en"",""hy"")"),"Ո՞րն է Չինաստանում խոսվող հիմնական լեզուն:")</f>
        <v>Ո՞րն է Չինաստանում խոսվող հիմնական լեզուն:</v>
      </c>
      <c r="D7105" s="6" t="str">
        <f>IFERROR(__xludf.DUMMYFUNCTION("GOOGLETRANSLATE(B7105,""en"",""hy"")"),"Չինաստանում խոսվող հիմնական լեզուն մանդարինն է։")</f>
        <v>Չինաստանում խոսվող հիմնական լեզուն մանդարինն է։</v>
      </c>
    </row>
    <row r="7106">
      <c r="A7106" s="5" t="s">
        <v>9346</v>
      </c>
      <c r="B7106" s="5" t="s">
        <v>7527</v>
      </c>
      <c r="C7106" s="5" t="str">
        <f>IFERROR(__xludf.DUMMYFUNCTION("GOOGLETRANSLATE(A7106,""en"",""hy"")"),"Անվանեք աշխարհի ամենամեծ կղզին:")</f>
        <v>Անվանեք աշխարհի ամենամեծ կղզին:</v>
      </c>
      <c r="D7106" s="6" t="str">
        <f>IFERROR(__xludf.DUMMYFUNCTION("GOOGLETRANSLATE(B7106,""en"",""hy"")"),"Գրենլանդիա.")</f>
        <v>Գրենլանդիա.</v>
      </c>
    </row>
    <row r="7107">
      <c r="A7107" s="5" t="s">
        <v>7665</v>
      </c>
      <c r="B7107" s="5" t="s">
        <v>7781</v>
      </c>
      <c r="C7107" s="5" t="str">
        <f>IFERROR(__xludf.DUMMYFUNCTION("GOOGLETRANSLATE(A7107,""en"",""hy"")"),"Ո՞րն է նատրիումի քիմիական նշանը:")</f>
        <v>Ո՞րն է նատրիումի քիմիական նշանը:</v>
      </c>
      <c r="D7107" s="6" t="str">
        <f>IFERROR(__xludf.DUMMYFUNCTION("GOOGLETRANSLATE(B7107,""en"",""hy"")"),"Նատրիումի քիմիական նշանը Na է:")</f>
        <v>Նատրիումի քիմիական նշանը Na է:</v>
      </c>
    </row>
    <row r="7108">
      <c r="A7108" s="5" t="s">
        <v>8974</v>
      </c>
      <c r="B7108" s="5" t="s">
        <v>7512</v>
      </c>
      <c r="C7108" s="5" t="str">
        <f>IFERROR(__xludf.DUMMYFUNCTION("GOOGLETRANSLATE(A7108,""en"",""hy"")"),"Ո՞ր երկրում կգտնեք Գիզայի բուրգերը:")</f>
        <v>Ո՞ր երկրում կգտնեք Գիզայի բուրգերը:</v>
      </c>
      <c r="D7108" s="6" t="str">
        <f>IFERROR(__xludf.DUMMYFUNCTION("GOOGLETRANSLATE(B7108,""en"",""hy"")"),"Եգիպտոս.")</f>
        <v>Եգիպտոս.</v>
      </c>
    </row>
    <row r="7109">
      <c r="A7109" s="5" t="s">
        <v>7789</v>
      </c>
      <c r="B7109" s="5" t="s">
        <v>7790</v>
      </c>
      <c r="C7109" s="5" t="str">
        <f>IFERROR(__xludf.DUMMYFUNCTION("GOOGLETRANSLATE(A7109,""en"",""hy"")"),"Ո՞վ է հունական ամպրոպի աստվածը:")</f>
        <v>Ո՞վ է հունական ամպրոպի աստվածը:</v>
      </c>
      <c r="D7109" s="6" t="str">
        <f>IFERROR(__xludf.DUMMYFUNCTION("GOOGLETRANSLATE(B7109,""en"",""hy"")"),"Հունական ամպրոպի աստվածը Զևսն է:")</f>
        <v>Հունական ամպրոպի աստվածը Զևսն է:</v>
      </c>
    </row>
    <row r="7110">
      <c r="A7110" s="5" t="s">
        <v>7477</v>
      </c>
      <c r="B7110" s="5" t="s">
        <v>7784</v>
      </c>
      <c r="C7110" s="5" t="str">
        <f>IFERROR(__xludf.DUMMYFUNCTION("GOOGLETRANSLATE(A7110,""en"",""hy"")"),"Ո՞ր երկիրն է հայտնի որպես «Ծագող արևի երկիր»:")</f>
        <v>Ո՞ր երկիրն է հայտնի որպես «Ծագող արևի երկիր»:</v>
      </c>
      <c r="D7110" s="6" t="str">
        <f>IFERROR(__xludf.DUMMYFUNCTION("GOOGLETRANSLATE(B7110,""en"",""hy"")"),"Ճապոնիա")</f>
        <v>Ճապոնիա</v>
      </c>
    </row>
    <row r="7111">
      <c r="A7111" s="5" t="s">
        <v>7785</v>
      </c>
      <c r="B7111" s="5" t="s">
        <v>7786</v>
      </c>
      <c r="C7111" s="5" t="str">
        <f>IFERROR(__xludf.DUMMYFUNCTION("GOOGLETRANSLATE(A7111,""en"",""hy"")"),"Ո՞վ է հիմնել Microsoft-ը:")</f>
        <v>Ո՞վ է հիմնել Microsoft-ը:</v>
      </c>
      <c r="D7111" s="6" t="str">
        <f>IFERROR(__xludf.DUMMYFUNCTION("GOOGLETRANSLATE(B7111,""en"",""hy"")"),"Բիլ Գեյթս և Փոլ Ալեն.")</f>
        <v>Բիլ Գեյթս և Փոլ Ալեն.</v>
      </c>
    </row>
    <row r="7112">
      <c r="A7112" s="5" t="s">
        <v>7791</v>
      </c>
      <c r="B7112" s="5" t="s">
        <v>8128</v>
      </c>
      <c r="C7112" s="5" t="str">
        <f>IFERROR(__xludf.DUMMYFUNCTION("GOOGLETRANSLATE(A7112,""en"",""hy"")"),"Ո՞րն է Ավստրալիայի ազգային կենդանին:")</f>
        <v>Ո՞րն է Ավստրալիայի ազգային կենդանին:</v>
      </c>
      <c r="D7112" s="6" t="str">
        <f>IFERROR(__xludf.DUMMYFUNCTION("GOOGLETRANSLATE(B7112,""en"",""hy"")"),"Կենգուրու.")</f>
        <v>Կենգուրու.</v>
      </c>
    </row>
    <row r="7113">
      <c r="A7113" s="5" t="s">
        <v>7473</v>
      </c>
      <c r="B7113" s="5" t="s">
        <v>7474</v>
      </c>
      <c r="C7113" s="5" t="str">
        <f>IFERROR(__xludf.DUMMYFUNCTION("GOOGLETRANSLATE(A7113,""en"",""hy"")"),"Ո՞վ է նկարել Սիքստինյան կապելլայի առաստաղը:")</f>
        <v>Ո՞վ է նկարել Սիքստինյան կապելլայի առաստաղը:</v>
      </c>
      <c r="D7113" s="6" t="str">
        <f>IFERROR(__xludf.DUMMYFUNCTION("GOOGLETRANSLATE(B7113,""en"",""hy"")"),"Միքելանջելո.")</f>
        <v>Միքելանջելո.</v>
      </c>
    </row>
    <row r="7114">
      <c r="A7114" s="5" t="s">
        <v>8132</v>
      </c>
      <c r="B7114" s="5" t="s">
        <v>7753</v>
      </c>
      <c r="C7114" s="5" t="str">
        <f>IFERROR(__xludf.DUMMYFUNCTION("GOOGLETRANSLATE(A7114,""en"",""hy"")"),"Ո՞րն է բնակչության թվով աշխարհի ամենամեծ քաղաքը:")</f>
        <v>Ո՞րն է բնակչության թվով աշխարհի ամենամեծ քաղաքը:</v>
      </c>
      <c r="D7114" s="6" t="str">
        <f>IFERROR(__xludf.DUMMYFUNCTION("GOOGLETRANSLATE(B7114,""en"",""hy"")"),"Տոկիո.")</f>
        <v>Տոկիո.</v>
      </c>
    </row>
    <row r="7115">
      <c r="A7115" s="5" t="s">
        <v>7699</v>
      </c>
      <c r="B7115" s="5" t="s">
        <v>8615</v>
      </c>
      <c r="C7115" s="5" t="str">
        <f>IFERROR(__xludf.DUMMYFUNCTION("GOOGLETRANSLATE(A7115,""en"",""hy"")"),"Ո՞րն է ածխածնի քիմիական նշանը:")</f>
        <v>Ո՞րն է ածխածնի քիմիական նշանը:</v>
      </c>
      <c r="D7115" s="6" t="str">
        <f>IFERROR(__xludf.DUMMYFUNCTION("GOOGLETRANSLATE(B7115,""en"",""hy"")"),"Գ")</f>
        <v>Գ</v>
      </c>
    </row>
    <row r="7116">
      <c r="A7116" s="5" t="s">
        <v>8985</v>
      </c>
      <c r="B7116" s="5" t="s">
        <v>9347</v>
      </c>
      <c r="C7116" s="5" t="str">
        <f>IFERROR(__xludf.DUMMYFUNCTION("GOOGLETRANSLATE(A7116,""en"",""hy"")"),"Ո՞ր երկրում կգտնեք Կոլիզեյը:")</f>
        <v>Ո՞ր երկրում կգտնեք Կոլիզեյը:</v>
      </c>
      <c r="D7116" s="6" t="str">
        <f>IFERROR(__xludf.DUMMYFUNCTION("GOOGLETRANSLATE(B7116,""en"",""hy"")"),"Իտալիա")</f>
        <v>Իտալիա</v>
      </c>
    </row>
    <row r="7117">
      <c r="A7117" s="5" t="s">
        <v>8297</v>
      </c>
      <c r="B7117" s="5" t="s">
        <v>7535</v>
      </c>
      <c r="C7117" s="5" t="str">
        <f>IFERROR(__xludf.DUMMYFUNCTION("GOOGLETRANSLATE(A7117,""en"",""hy"")"),"Ո՞ւմ է վերագրվում հեռախոսի հայտնագործությունը:")</f>
        <v>Ո՞ւմ է վերագրվում հեռախոսի հայտնագործությունը:</v>
      </c>
      <c r="D7117" s="6" t="str">
        <f>IFERROR(__xludf.DUMMYFUNCTION("GOOGLETRANSLATE(B7117,""en"",""hy"")"),"Ալեքսանդր Գրեհեմ Բել.")</f>
        <v>Ալեքսանդր Գրեհեմ Բել.</v>
      </c>
    </row>
    <row r="7118">
      <c r="A7118" s="5" t="s">
        <v>8108</v>
      </c>
      <c r="B7118" s="5" t="s">
        <v>7556</v>
      </c>
      <c r="C7118" s="5" t="str">
        <f>IFERROR(__xludf.DUMMYFUNCTION("GOOGLETRANSLATE(A7118,""en"",""hy"")"),"Ո՞ր հայտնի գիտնականն է մշակել հարաբերականության տեսությունը:")</f>
        <v>Ո՞ր հայտնի գիտնականն է մշակել հարաբերականության տեսությունը:</v>
      </c>
      <c r="D7118" s="6" t="str">
        <f>IFERROR(__xludf.DUMMYFUNCTION("GOOGLETRANSLATE(B7118,""en"",""hy"")"),"Albert Einstein.")</f>
        <v>Albert Einstein.</v>
      </c>
    </row>
    <row r="7119">
      <c r="A7119" s="5" t="s">
        <v>7480</v>
      </c>
      <c r="B7119" s="5" t="s">
        <v>7481</v>
      </c>
      <c r="C7119" s="5" t="str">
        <f>IFERROR(__xludf.DUMMYFUNCTION("GOOGLETRANSLATE(A7119,""en"",""hy"")"),"Ո՞րն է Միացյալ Նահանգների ազգային թռչունը:")</f>
        <v>Ո՞րն է Միացյալ Նահանգների ազգային թռչունը:</v>
      </c>
      <c r="D7119" s="6" t="str">
        <f>IFERROR(__xludf.DUMMYFUNCTION("GOOGLETRANSLATE(B7119,""en"",""hy"")"),"Միացյալ Նահանգների ազգային թռչունը ճաղատ արծիվն է։")</f>
        <v>Միացյալ Նահանգների ազգային թռչունը ճաղատ արծիվն է։</v>
      </c>
    </row>
    <row r="7120">
      <c r="A7120" s="5" t="s">
        <v>7769</v>
      </c>
      <c r="B7120" s="5" t="s">
        <v>7486</v>
      </c>
      <c r="C7120" s="5" t="str">
        <f>IFERROR(__xludf.DUMMYFUNCTION("GOOGLETRANSLATE(A7120,""en"",""hy"")"),"Ո՞վ է Հարրի Փոթերի գրքերի շարքի հեղինակը:")</f>
        <v>Ո՞վ է Հարրի Փոթերի գրքերի շարքի հեղինակը:</v>
      </c>
      <c r="D7120" s="6" t="str">
        <f>IFERROR(__xludf.DUMMYFUNCTION("GOOGLETRANSLATE(B7120,""en"",""hy"")"),"Ջ.Կ. Ռոուլինգ.")</f>
        <v>Ջ.Կ. Ռոուլինգ.</v>
      </c>
    </row>
    <row r="7121">
      <c r="A7121" s="5" t="s">
        <v>8049</v>
      </c>
      <c r="B7121" s="5" t="s">
        <v>2267</v>
      </c>
      <c r="C7121" s="5" t="str">
        <f>IFERROR(__xludf.DUMMYFUNCTION("GOOGLETRANSLATE(A7121,""en"",""hy"")"),"Ո՞րն է Մեքսիկայի պաշտոնական լեզուն:")</f>
        <v>Ո՞րն է Մեքսիկայի պաշտոնական լեզուն:</v>
      </c>
      <c r="D7121" s="6" t="str">
        <f>IFERROR(__xludf.DUMMYFUNCTION("GOOGLETRANSLATE(B7121,""en"",""hy"")"),"իսպաներեն.")</f>
        <v>իսպաներեն.</v>
      </c>
    </row>
    <row r="7122">
      <c r="A7122" s="5" t="s">
        <v>9348</v>
      </c>
      <c r="B7122" s="5" t="s">
        <v>7692</v>
      </c>
      <c r="C7122" s="5" t="str">
        <f>IFERROR(__xludf.DUMMYFUNCTION("GOOGLETRANSLATE(A7122,""en"",""hy"")"),"Անվանեք Աֆրիկայի ամենամեծ լիճը:")</f>
        <v>Անվանեք Աֆրիկայի ամենամեծ լիճը:</v>
      </c>
      <c r="D7122" s="6" t="str">
        <f>IFERROR(__xludf.DUMMYFUNCTION("GOOGLETRANSLATE(B7122,""en"",""hy"")"),"Վիկտորիա լիճ.")</f>
        <v>Վիկտորիա լիճ.</v>
      </c>
    </row>
    <row r="7123">
      <c r="A7123" s="5" t="s">
        <v>9349</v>
      </c>
      <c r="B7123" s="5" t="s">
        <v>7745</v>
      </c>
      <c r="C7123" s="5" t="str">
        <f>IFERROR(__xludf.DUMMYFUNCTION("GOOGLETRANSLATE(A7123,""en"",""hy"")"),"Ո՞վ է նկարել հայտնի «Հիշողության համառությունը» ստեղծագործությունը։")</f>
        <v>Ո՞վ է նկարել հայտնի «Հիշողության համառությունը» ստեղծագործությունը։</v>
      </c>
      <c r="D7123" s="6" t="str">
        <f>IFERROR(__xludf.DUMMYFUNCTION("GOOGLETRANSLATE(B7123,""en"",""hy"")"),"Սալվադոր Դալի.")</f>
        <v>Սալվադոր Դալի.</v>
      </c>
    </row>
    <row r="7124">
      <c r="A7124" s="5" t="s">
        <v>7579</v>
      </c>
      <c r="B7124" s="5" t="s">
        <v>8035</v>
      </c>
      <c r="C7124" s="5" t="str">
        <f>IFERROR(__xludf.DUMMYFUNCTION("GOOGLETRANSLATE(A7124,""en"",""hy"")"),"Ո՞րն է Գերմանիայի արժույթը:")</f>
        <v>Ո՞րն է Գերմանիայի արժույթը:</v>
      </c>
      <c r="D7124" s="6" t="str">
        <f>IFERROR(__xludf.DUMMYFUNCTION("GOOGLETRANSLATE(B7124,""en"",""hy"")"),"եվրո.")</f>
        <v>եվրո.</v>
      </c>
    </row>
    <row r="7125">
      <c r="A7125" s="5" t="s">
        <v>7479</v>
      </c>
      <c r="B7125" s="5" t="s">
        <v>1996</v>
      </c>
      <c r="C7125" s="5" t="str">
        <f>IFERROR(__xludf.DUMMYFUNCTION("GOOGLETRANSLATE(A7125,""en"",""hy"")"),"Ո՞վ է Միացյալ Թագավորության ներկայիս վարչապետը:")</f>
        <v>Ո՞վ է Միացյալ Թագավորության ներկայիս վարչապետը:</v>
      </c>
      <c r="D7125" s="6" t="str">
        <f>IFERROR(__xludf.DUMMYFUNCTION("GOOGLETRANSLATE(B7125,""en"",""hy"")"),"Բորիս Ջոնսոն.")</f>
        <v>Բորիս Ջոնսոն.</v>
      </c>
    </row>
    <row r="7126">
      <c r="A7126" s="5" t="s">
        <v>7939</v>
      </c>
      <c r="B7126" s="5" t="s">
        <v>7940</v>
      </c>
      <c r="C7126" s="5" t="str">
        <f>IFERROR(__xludf.DUMMYFUNCTION("GOOGLETRANSLATE(A7126,""en"",""hy"")"),"Քանի՞ մայրցամաք կա աշխարհում:")</f>
        <v>Քանի՞ մայրցամաք կա աշխարհում:</v>
      </c>
      <c r="D7126" s="6" t="str">
        <f>IFERROR(__xludf.DUMMYFUNCTION("GOOGLETRANSLATE(B7126,""en"",""hy"")"),"Աշխարհում կան յոթ մայրցամաքներ։")</f>
        <v>Աշխարհում կան յոթ մայրցամաքներ։</v>
      </c>
    </row>
    <row r="7127">
      <c r="A7127" s="5" t="s">
        <v>7660</v>
      </c>
      <c r="B7127" s="5" t="s">
        <v>7661</v>
      </c>
      <c r="C7127" s="5" t="str">
        <f>IFERROR(__xludf.DUMMYFUNCTION("GOOGLETRANSLATE(A7127,""en"",""hy"")"),"Ո՞վ է «Մեծն Գեթսբիի» հեղինակը.")</f>
        <v>Ո՞վ է «Մեծն Գեթսբիի» հեղինակը.</v>
      </c>
      <c r="D7127" s="6" t="str">
        <f>IFERROR(__xludf.DUMMYFUNCTION("GOOGLETRANSLATE(B7127,""en"",""hy"")"),"F. Scott Fitzgerald.")</f>
        <v>F. Scott Fitzgerald.</v>
      </c>
    </row>
    <row r="7128">
      <c r="A7128" s="5" t="s">
        <v>8684</v>
      </c>
      <c r="B7128" s="5" t="s">
        <v>2930</v>
      </c>
      <c r="C7128" s="5" t="str">
        <f>IFERROR(__xludf.DUMMYFUNCTION("GOOGLETRANSLATE(A7128,""en"",""hy"")"),"Ո՞րն է Ռուսաստանում խոսվող հիմնական լեզուն:")</f>
        <v>Ո՞րն է Ռուսաստանում խոսվող հիմնական լեզուն:</v>
      </c>
      <c r="D7128" s="6" t="str">
        <f>IFERROR(__xludf.DUMMYFUNCTION("GOOGLETRANSLATE(B7128,""en"",""hy"")"),"ռուսերեն.")</f>
        <v>ռուսերեն.</v>
      </c>
    </row>
    <row r="7129">
      <c r="A7129" s="5" t="s">
        <v>9350</v>
      </c>
      <c r="B7129" s="5" t="s">
        <v>8173</v>
      </c>
      <c r="C7129" s="5" t="str">
        <f>IFERROR(__xludf.DUMMYFUNCTION("GOOGLETRANSLATE(A7129,""en"",""hy"")"),"Անվանեք աշխարհի ամենամեծ ջրվեժը։")</f>
        <v>Անվանեք աշխարհի ամենամեծ ջրվեժը։</v>
      </c>
      <c r="D7129" s="6" t="str">
        <f>IFERROR(__xludf.DUMMYFUNCTION("GOOGLETRANSLATE(B7129,""en"",""hy"")"),"Angel Falls")</f>
        <v>Angel Falls</v>
      </c>
    </row>
    <row r="7130">
      <c r="A7130" s="5" t="s">
        <v>7557</v>
      </c>
      <c r="B7130" s="5" t="s">
        <v>7558</v>
      </c>
      <c r="C7130" s="5" t="str">
        <f>IFERROR(__xludf.DUMMYFUNCTION("GOOGLETRANSLATE(A7130,""en"",""hy"")"),"Ո՞րն է երկաթի քիմիական նշանը:")</f>
        <v>Ո՞րն է երկաթի քիմիական նշանը:</v>
      </c>
      <c r="D7130" s="6" t="str">
        <f>IFERROR(__xludf.DUMMYFUNCTION("GOOGLETRANSLATE(B7130,""en"",""hy"")"),"Ֆե")</f>
        <v>Ֆե</v>
      </c>
    </row>
    <row r="7131">
      <c r="A7131" s="5" t="s">
        <v>9351</v>
      </c>
      <c r="B7131" s="5" t="s">
        <v>5818</v>
      </c>
      <c r="C7131" s="5" t="str">
        <f>IFERROR(__xludf.DUMMYFUNCTION("GOOGLETRANSLATE(A7131,""en"",""hy"")"),"Ո՞ր երկրում կգտնեք Ազատության արձանը:")</f>
        <v>Ո՞ր երկրում կգտնեք Ազատության արձանը:</v>
      </c>
      <c r="D7131" s="6" t="str">
        <f>IFERROR(__xludf.DUMMYFUNCTION("GOOGLETRANSLATE(B7131,""en"",""hy"")"),"Միացյալ Նահանգներ.")</f>
        <v>Միացյալ Նահանգներ.</v>
      </c>
    </row>
    <row r="7132">
      <c r="A7132" s="5" t="s">
        <v>9352</v>
      </c>
      <c r="B7132" s="5" t="s">
        <v>9353</v>
      </c>
      <c r="C7132" s="5" t="str">
        <f>IFERROR(__xludf.DUMMYFUNCTION("GOOGLETRANSLATE(A7132,""en"",""hy"")"),"Ո՞վ է սկանդինավյան ամպրոպի աստվածը:")</f>
        <v>Ո՞վ է սկանդինավյան ամպրոպի աստվածը:</v>
      </c>
      <c r="D7132" s="6" t="str">
        <f>IFERROR(__xludf.DUMMYFUNCTION("GOOGLETRANSLATE(B7132,""en"",""hy"")"),"Որոտի սկանդինավյան աստվածը Թորն է:")</f>
        <v>Որոտի սկանդինավյան աստվածը Թորն է:</v>
      </c>
    </row>
    <row r="7133">
      <c r="A7133" s="5" t="s">
        <v>7817</v>
      </c>
      <c r="B7133" s="5" t="s">
        <v>7818</v>
      </c>
      <c r="C7133" s="5" t="str">
        <f>IFERROR(__xludf.DUMMYFUNCTION("GOOGLETRANSLATE(A7133,""en"",""hy"")"),"Ո՞րն է Կանադայի ազգային կենդանին:")</f>
        <v>Ո՞րն է Կանադայի ազգային կենդանին:</v>
      </c>
      <c r="D7133" s="6" t="str">
        <f>IFERROR(__xludf.DUMMYFUNCTION("GOOGLETRANSLATE(B7133,""en"",""hy"")"),"Կանադայի ազգային կենդանին կեղևն է:")</f>
        <v>Կանադայի ազգային կենդանին կեղևն է:</v>
      </c>
    </row>
    <row r="7134">
      <c r="A7134" s="5" t="s">
        <v>8768</v>
      </c>
      <c r="B7134" s="5" t="s">
        <v>7448</v>
      </c>
      <c r="C7134" s="5" t="str">
        <f>IFERROR(__xludf.DUMMYFUNCTION("GOOGLETRANSLATE(A7134,""en"",""hy"")"),"Ո՞վ է նկարել հայտնի «Վերջին ընթրիքը» ստեղծագործությունը։")</f>
        <v>Ո՞վ է նկարել հայտնի «Վերջին ընթրիքը» ստեղծագործությունը։</v>
      </c>
      <c r="D7134" s="6" t="str">
        <f>IFERROR(__xludf.DUMMYFUNCTION("GOOGLETRANSLATE(B7134,""en"",""hy"")"),"Լեոնարդո դա Վինչի.")</f>
        <v>Լեոնարդո դա Վինչի.</v>
      </c>
    </row>
    <row r="7135">
      <c r="A7135" s="5" t="s">
        <v>9354</v>
      </c>
      <c r="B7135" s="5" t="s">
        <v>9355</v>
      </c>
      <c r="C7135" s="5" t="str">
        <f>IFERROR(__xludf.DUMMYFUNCTION("GOOGLETRANSLATE(A7135,""en"",""hy"")"),"Ո՞րն է բնակչության թվով Աֆրիկայի ամենամեծ քաղաքը:")</f>
        <v>Ո՞րն է բնակչության թվով Աֆրիկայի ամենամեծ քաղաքը:</v>
      </c>
      <c r="D7135" s="6" t="str">
        <f>IFERROR(__xludf.DUMMYFUNCTION("GOOGLETRANSLATE(B7135,""en"",""hy"")"),"Բնակչությամբ Աֆրիկայի ամենամեծ քաղաքը Նիգերիայի Լագոսն է։")</f>
        <v>Բնակչությամբ Աֆրիկայի ամենամեծ քաղաքը Նիգերիայի Լագոսն է։</v>
      </c>
    </row>
    <row r="7136">
      <c r="A7136" s="5" t="s">
        <v>7761</v>
      </c>
      <c r="B7136" s="5" t="s">
        <v>7862</v>
      </c>
      <c r="C7136" s="5" t="str">
        <f>IFERROR(__xludf.DUMMYFUNCTION("GOOGLETRANSLATE(A7136,""en"",""hy"")"),"Ո՞րն է ջրածնի քիմիական նշանը:")</f>
        <v>Ո՞րն է ջրածնի քիմիական նշանը:</v>
      </c>
      <c r="D7136" s="6" t="str">
        <f>IFERROR(__xludf.DUMMYFUNCTION("GOOGLETRANSLATE(B7136,""en"",""hy"")"),"Ջրածնի քիմիական նշանն է H.")</f>
        <v>Ջրածնի քիմիական նշանն է H.</v>
      </c>
    </row>
    <row r="7137">
      <c r="A7137" s="5" t="s">
        <v>8808</v>
      </c>
      <c r="B7137" s="5" t="s">
        <v>8201</v>
      </c>
      <c r="C7137" s="5" t="str">
        <f>IFERROR(__xludf.DUMMYFUNCTION("GOOGLETRANSLATE(A7137,""en"",""hy"")"),"Ո՞ր երկրում է գտնվում Ակրոպոլիսը:")</f>
        <v>Ո՞ր երկրում է գտնվում Ակրոպոլիսը:</v>
      </c>
      <c r="D7137" s="6" t="str">
        <f>IFERROR(__xludf.DUMMYFUNCTION("GOOGLETRANSLATE(B7137,""en"",""hy"")"),"Հունաստան.")</f>
        <v>Հունաստան.</v>
      </c>
    </row>
    <row r="7138">
      <c r="A7138" s="5" t="s">
        <v>8312</v>
      </c>
      <c r="B7138" s="5" t="s">
        <v>7573</v>
      </c>
      <c r="C7138" s="5" t="str">
        <f>IFERROR(__xludf.DUMMYFUNCTION("GOOGLETRANSLATE(A7138,""en"",""hy"")"),"Ո՞ւմ է վերագրվում լամպի հայտնագործությունը:")</f>
        <v>Ո՞ւմ է վերագրվում լամպի հայտնագործությունը:</v>
      </c>
      <c r="D7138" s="6" t="str">
        <f>IFERROR(__xludf.DUMMYFUNCTION("GOOGLETRANSLATE(B7138,""en"",""hy"")"),"Թոմաս Էդիսոն.")</f>
        <v>Թոմաս Էդիսոն.</v>
      </c>
    </row>
    <row r="7139">
      <c r="A7139" s="5" t="s">
        <v>9356</v>
      </c>
      <c r="B7139" s="5" t="s">
        <v>7956</v>
      </c>
      <c r="C7139" s="5" t="str">
        <f>IFERROR(__xludf.DUMMYFUNCTION("GOOGLETRANSLATE(A7139,""en"",""hy"")"),"Ո՞ր հայտնի գիտնականն է հայտնաբերել գրավիտացիան:")</f>
        <v>Ո՞ր հայտնի գիտնականն է հայտնաբերել գրավիտացիան:</v>
      </c>
      <c r="D7139" s="6" t="str">
        <f>IFERROR(__xludf.DUMMYFUNCTION("GOOGLETRANSLATE(B7139,""en"",""hy"")"),"Իսահակ Նյուտոն.")</f>
        <v>Իսահակ Նյուտոն.</v>
      </c>
    </row>
    <row r="7140">
      <c r="A7140" s="5" t="s">
        <v>8161</v>
      </c>
      <c r="B7140" s="5" t="s">
        <v>8162</v>
      </c>
      <c r="C7140" s="5" t="str">
        <f>IFERROR(__xludf.DUMMYFUNCTION("GOOGLETRANSLATE(A7140,""en"",""hy"")"),"Ո՞րն է Ճապոնիայի ազգային ծաղիկը:")</f>
        <v>Ո՞րն է Ճապոնիայի ազգային ծաղիկը:</v>
      </c>
      <c r="D7140" s="6" t="str">
        <f>IFERROR(__xludf.DUMMYFUNCTION("GOOGLETRANSLATE(B7140,""en"",""hy"")"),"Ճապոնիայի ազգային ծաղիկը բալի ծաղիկն է:")</f>
        <v>Ճապոնիայի ազգային ծաղիկը բալի ծաղիկն է:</v>
      </c>
    </row>
    <row r="7141">
      <c r="A7141" s="5" t="s">
        <v>7737</v>
      </c>
      <c r="B7141" s="5" t="s">
        <v>9024</v>
      </c>
      <c r="C7141" s="5" t="str">
        <f>IFERROR(__xludf.DUMMYFUNCTION("GOOGLETRANSLATE(A7141,""en"",""hy"")"),"Ո՞վ է գրել «Շորայի մեջ բռնողը» վեպը:")</f>
        <v>Ո՞վ է գրել «Շորայի մեջ բռնողը» վեպը:</v>
      </c>
      <c r="D7141" s="6" t="str">
        <f>IFERROR(__xludf.DUMMYFUNCTION("GOOGLETRANSLATE(B7141,""en"",""hy"")"),"Ջ.Դ.Սելինջեր")</f>
        <v>Ջ.Դ.Սելինջեր</v>
      </c>
    </row>
    <row r="7142">
      <c r="A7142" s="5" t="s">
        <v>8280</v>
      </c>
      <c r="B7142" s="5" t="s">
        <v>8281</v>
      </c>
      <c r="C7142" s="5" t="str">
        <f>IFERROR(__xludf.DUMMYFUNCTION("GOOGLETRANSLATE(A7142,""en"",""hy"")"),"Ո՞րն է Ֆրանսիայի պաշտոնական լեզուն:")</f>
        <v>Ո՞րն է Ֆրանսիայի պաշտոնական լեզուն:</v>
      </c>
      <c r="D7142" s="6" t="str">
        <f>IFERROR(__xludf.DUMMYFUNCTION("GOOGLETRANSLATE(B7142,""en"",""hy"")"),"Ֆրանսիայի պաշտոնական լեզուն ֆրանսերենն է։")</f>
        <v>Ֆրանսիայի պաշտոնական լեզուն ֆրանսերենն է։</v>
      </c>
    </row>
    <row r="7143">
      <c r="A7143" s="5" t="s">
        <v>9357</v>
      </c>
      <c r="B7143" s="5" t="s">
        <v>9358</v>
      </c>
      <c r="C7143" s="5" t="str">
        <f>IFERROR(__xludf.DUMMYFUNCTION("GOOGLETRANSLATE(A7143,""en"",""hy"")"),"Անվանե՛ք Եվրոպայի ամենամեծ գետը։")</f>
        <v>Անվանե՛ք Եվրոպայի ամենամեծ գետը։</v>
      </c>
      <c r="D7143" s="6" t="str">
        <f>IFERROR(__xludf.DUMMYFUNCTION("GOOGLETRANSLATE(B7143,""en"",""hy"")"),"Վոլգա գետը.")</f>
        <v>Վոլգա գետը.</v>
      </c>
    </row>
    <row r="7144">
      <c r="A7144" s="5" t="s">
        <v>9359</v>
      </c>
      <c r="B7144" s="5" t="s">
        <v>7549</v>
      </c>
      <c r="C7144" s="5" t="str">
        <f>IFERROR(__xludf.DUMMYFUNCTION("GOOGLETRANSLATE(A7144,""en"",""hy"")"),"Ո՞վ է նկարել «Մարգարտյա ականջօղով աղջիկը» հայտնի ստեղծագործությունը։")</f>
        <v>Ո՞վ է նկարել «Մարգարտյա ականջօղով աղջիկը» հայտնի ստեղծագործությունը։</v>
      </c>
      <c r="D7144" s="6" t="str">
        <f>IFERROR(__xludf.DUMMYFUNCTION("GOOGLETRANSLATE(B7144,""en"",""hy"")"),"Յոհաննես Վերմեեր.")</f>
        <v>Յոհաննես Վերմեեր.</v>
      </c>
    </row>
    <row r="7145">
      <c r="A7145" s="5" t="s">
        <v>7662</v>
      </c>
      <c r="B7145" s="5" t="s">
        <v>7663</v>
      </c>
      <c r="C7145" s="5" t="str">
        <f>IFERROR(__xludf.DUMMYFUNCTION("GOOGLETRANSLATE(A7145,""en"",""hy"")"),"Ո՞րն է Հնդկաստանի արժույթը:")</f>
        <v>Ո՞րն է Հնդկաստանի արժույթը:</v>
      </c>
      <c r="D7145" s="6" t="str">
        <f>IFERROR(__xludf.DUMMYFUNCTION("GOOGLETRANSLATE(B7145,""en"",""hy"")"),"Հնդկաստանի արժույթը հնդկական ռուփին է։")</f>
        <v>Հնդկաստանի արժույթը հնդկական ռուփին է։</v>
      </c>
    </row>
    <row r="7146">
      <c r="A7146" s="5" t="s">
        <v>7528</v>
      </c>
      <c r="B7146" s="5" t="s">
        <v>9231</v>
      </c>
      <c r="C7146" s="5" t="str">
        <f>IFERROR(__xludf.DUMMYFUNCTION("GOOGLETRANSLATE(A7146,""en"",""hy"")"),"Ո՞վ է Գերմանիայի ներկայիս կանցլերը:")</f>
        <v>Ո՞վ է Գերմանիայի ներկայիս կանցլերը:</v>
      </c>
      <c r="D7146" s="6" t="str">
        <f>IFERROR(__xludf.DUMMYFUNCTION("GOOGLETRANSLATE(B7146,""en"",""hy"")"),"Գերմանիայի ներկայիս կանցլերն Անգելա Մերկելն է։")</f>
        <v>Գերմանիայի ներկայիս կանցլերն Անգելա Մերկելն է։</v>
      </c>
    </row>
    <row r="7147">
      <c r="A7147" s="5" t="s">
        <v>7575</v>
      </c>
      <c r="B7147" s="5" t="s">
        <v>7576</v>
      </c>
      <c r="C7147" s="5" t="str">
        <f>IFERROR(__xludf.DUMMYFUNCTION("GOOGLETRANSLATE(A7147,""en"",""hy"")"),"Քանի՞ գույն կա ծիածանի մեջ:")</f>
        <v>Քանի՞ գույն կա ծիածանի մեջ:</v>
      </c>
      <c r="D7147" s="6" t="str">
        <f>IFERROR(__xludf.DUMMYFUNCTION("GOOGLETRANSLATE(B7147,""en"",""hy"")"),"Ծիածանի մեջ յոթ գույն կա:")</f>
        <v>Ծիածանի մեջ յոթ գույն կա:</v>
      </c>
    </row>
    <row r="7148">
      <c r="A7148" s="5" t="s">
        <v>9360</v>
      </c>
      <c r="B7148" s="5" t="s">
        <v>7444</v>
      </c>
      <c r="C7148" s="5" t="str">
        <f>IFERROR(__xludf.DUMMYFUNCTION("GOOGLETRANSLATE(A7148,""en"",""hy"")"),"Ո՞վ է «1984»-ի հեղինակը.")</f>
        <v>Ո՞վ է «1984»-ի հեղինակը.</v>
      </c>
      <c r="D7148" s="6" t="str">
        <f>IFERROR(__xludf.DUMMYFUNCTION("GOOGLETRANSLATE(B7148,""en"",""hy"")"),"Ջորջ Օրուել.")</f>
        <v>Ջորջ Օրուել.</v>
      </c>
    </row>
    <row r="7149">
      <c r="A7149" s="5" t="s">
        <v>9080</v>
      </c>
      <c r="B7149" s="5" t="s">
        <v>7938</v>
      </c>
      <c r="C7149" s="5" t="str">
        <f>IFERROR(__xludf.DUMMYFUNCTION("GOOGLETRANSLATE(A7149,""en"",""hy"")"),"Ո՞րն է Ճապոնիայում խոսվող հիմնական լեզուն:")</f>
        <v>Ո՞րն է Ճապոնիայում խոսվող հիմնական լեզուն:</v>
      </c>
      <c r="D7149" s="6" t="str">
        <f>IFERROR(__xludf.DUMMYFUNCTION("GOOGLETRANSLATE(B7149,""en"",""hy"")"),"ճապոներեն.")</f>
        <v>ճապոներեն.</v>
      </c>
    </row>
    <row r="7150">
      <c r="A7150" s="5" t="s">
        <v>9361</v>
      </c>
      <c r="B7150" s="5" t="s">
        <v>8538</v>
      </c>
      <c r="C7150" s="5" t="str">
        <f>IFERROR(__xludf.DUMMYFUNCTION("GOOGLETRANSLATE(A7150,""en"",""hy"")"),"Անվանեք Միջերկրական ծովի ամենամեծ կղզին:")</f>
        <v>Անվանեք Միջերկրական ծովի ամենամեծ կղզին:</v>
      </c>
      <c r="D7150" s="6" t="str">
        <f>IFERROR(__xludf.DUMMYFUNCTION("GOOGLETRANSLATE(B7150,""en"",""hy"")"),"Սիցիլիա.")</f>
        <v>Սիցիլիա.</v>
      </c>
    </row>
    <row r="7151">
      <c r="A7151" s="5" t="s">
        <v>7509</v>
      </c>
      <c r="B7151" s="5" t="s">
        <v>7510</v>
      </c>
      <c r="C7151" s="5" t="str">
        <f>IFERROR(__xludf.DUMMYFUNCTION("GOOGLETRANSLATE(A7151,""en"",""hy"")"),"Ո՞րն է արծաթի քիմիական նշանը:")</f>
        <v>Ո՞րն է արծաթի քիմիական նշանը:</v>
      </c>
      <c r="D7151" s="6" t="str">
        <f>IFERROR(__xludf.DUMMYFUNCTION("GOOGLETRANSLATE(B7151,""en"",""hy"")"),"Ագ")</f>
        <v>Ագ</v>
      </c>
    </row>
    <row r="7152">
      <c r="A7152" s="5" t="s">
        <v>9362</v>
      </c>
      <c r="B7152" s="5" t="s">
        <v>9363</v>
      </c>
      <c r="C7152" s="5" t="str">
        <f>IFERROR(__xludf.DUMMYFUNCTION("GOOGLETRANSLATE(A7152,""en"",""hy"")"),"Ո՞ր երկրում կգտնեք Պետրա՝ ժայռի մեջ փորագրված հնագույն քաղաքը:")</f>
        <v>Ո՞ր երկրում կգտնեք Պետրա՝ ժայռի մեջ փորագրված հնագույն քաղաքը:</v>
      </c>
      <c r="D7152" s="6" t="str">
        <f>IFERROR(__xludf.DUMMYFUNCTION("GOOGLETRANSLATE(B7152,""en"",""hy"")"),"Հորդանան")</f>
        <v>Հորդանան</v>
      </c>
    </row>
    <row r="7153">
      <c r="A7153" s="5" t="s">
        <v>9364</v>
      </c>
      <c r="B7153" s="5" t="s">
        <v>7607</v>
      </c>
      <c r="C7153" s="5" t="str">
        <f>IFERROR(__xludf.DUMMYFUNCTION("GOOGLETRANSLATE(A7153,""en"",""hy"")"),"Ո՞ւմ է վերագրվում էվոլյուցիայի տեսության բացահայտումը:")</f>
        <v>Ո՞ւմ է վերագրվում էվոլյուցիայի տեսության բացահայտումը:</v>
      </c>
      <c r="D7153" s="6" t="str">
        <f>IFERROR(__xludf.DUMMYFUNCTION("GOOGLETRANSLATE(B7153,""en"",""hy"")"),"Չարլզ Դարվին.")</f>
        <v>Չարլզ Դարվին.</v>
      </c>
    </row>
    <row r="7154">
      <c r="A7154" s="5" t="s">
        <v>9365</v>
      </c>
      <c r="B7154" s="5" t="s">
        <v>7556</v>
      </c>
      <c r="C7154" s="5" t="str">
        <f>IFERROR(__xludf.DUMMYFUNCTION("GOOGLETRANSLATE(A7154,""en"",""hy"")"),"Ո՞ր հայտնի գիտնականն է հորինել հարաբերականության տեսությունը:")</f>
        <v>Ո՞ր հայտնի գիտնականն է հորինել հարաբերականության տեսությունը:</v>
      </c>
      <c r="D7154" s="6" t="str">
        <f>IFERROR(__xludf.DUMMYFUNCTION("GOOGLETRANSLATE(B7154,""en"",""hy"")"),"Albert Einstein.")</f>
        <v>Albert Einstein.</v>
      </c>
    </row>
    <row r="7155">
      <c r="A7155" s="5" t="s">
        <v>7530</v>
      </c>
      <c r="B7155" s="5" t="s">
        <v>7531</v>
      </c>
      <c r="C7155" s="5" t="str">
        <f>IFERROR(__xludf.DUMMYFUNCTION("GOOGLETRANSLATE(A7155,""en"",""hy"")"),"Ո՞րն է Հնդկաստանի ազգային թռչունը:")</f>
        <v>Ո՞րն է Հնդկաստանի ազգային թռչունը:</v>
      </c>
      <c r="D7155" s="6" t="str">
        <f>IFERROR(__xludf.DUMMYFUNCTION("GOOGLETRANSLATE(B7155,""en"",""hy"")"),"Հնդկաստանի ազգային թռչունը սիրամարգն է։")</f>
        <v>Հնդկաստանի ազգային թռչունը սիրամարգն է։</v>
      </c>
    </row>
    <row r="7156">
      <c r="A7156" s="5" t="s">
        <v>7687</v>
      </c>
      <c r="B7156" s="5" t="s">
        <v>7688</v>
      </c>
      <c r="C7156" s="5" t="str">
        <f>IFERROR(__xludf.DUMMYFUNCTION("GOOGLETRANSLATE(A7156,""en"",""hy"")"),"Ո՞վ է «Մատանիների տիրակալը» ֆիլմի հեղինակը.")</f>
        <v>Ո՞վ է «Մատանիների տիրակալը» ֆիլմի հեղինակը.</v>
      </c>
      <c r="D7156" s="6" t="str">
        <f>IFERROR(__xludf.DUMMYFUNCTION("GOOGLETRANSLATE(B7156,""en"",""hy"")"),"Ջ.Ռ.Ռ. Թոլքինը")</f>
        <v>Ջ.Ռ.Ռ. Թոլքինը</v>
      </c>
    </row>
    <row r="7157">
      <c r="A7157" s="5" t="s">
        <v>8144</v>
      </c>
      <c r="B7157" s="5" t="s">
        <v>2267</v>
      </c>
      <c r="C7157" s="5" t="str">
        <f>IFERROR(__xludf.DUMMYFUNCTION("GOOGLETRANSLATE(A7157,""en"",""hy"")"),"Ո՞րն է Իսպանիայի պաշտոնական լեզուն:")</f>
        <v>Ո՞րն է Իսպանիայի պաշտոնական լեզուն:</v>
      </c>
      <c r="D7157" s="6" t="str">
        <f>IFERROR(__xludf.DUMMYFUNCTION("GOOGLETRANSLATE(B7157,""en"",""hy"")"),"իսպաներեն.")</f>
        <v>իսպաներեն.</v>
      </c>
    </row>
    <row r="7158">
      <c r="A7158" s="5" t="s">
        <v>9366</v>
      </c>
      <c r="B7158" s="5" t="s">
        <v>9367</v>
      </c>
      <c r="C7158" s="5" t="str">
        <f>IFERROR(__xludf.DUMMYFUNCTION("GOOGLETRANSLATE(A7158,""en"",""hy"")"),"Անվանե՛ք աշխարհի ամենամեծ լեռնաշղթան։")</f>
        <v>Անվանե՛ք աշխարհի ամենամեծ լեռնաշղթան։</v>
      </c>
      <c r="D7158" s="6" t="str">
        <f>IFERROR(__xludf.DUMMYFUNCTION("GOOGLETRANSLATE(B7158,""en"",""hy"")"),"Աշխարհի ամենամեծ լեռնաշղթան Հիմալայներն են։")</f>
        <v>Աշխարհի ամենամեծ լեռնաշղթան Հիմալայներն են։</v>
      </c>
    </row>
    <row r="7159">
      <c r="A7159" s="5" t="s">
        <v>9368</v>
      </c>
      <c r="B7159" s="5" t="s">
        <v>7621</v>
      </c>
      <c r="C7159" s="5" t="str">
        <f>IFERROR(__xludf.DUMMYFUNCTION("GOOGLETRANSLATE(A7159,""en"",""hy"")"),"Ո՞վ է նկարել «Վեներայի ծնունդը» հայտնի ստեղծագործությունը։")</f>
        <v>Ո՞վ է նկարել «Վեներայի ծնունդը» հայտնի ստեղծագործությունը։</v>
      </c>
      <c r="D7159" s="6" t="str">
        <f>IFERROR(__xludf.DUMMYFUNCTION("GOOGLETRANSLATE(B7159,""en"",""hy"")"),"Սանդրո Բոտիչելի.")</f>
        <v>Սանդրո Բոտիչելի.</v>
      </c>
    </row>
    <row r="7160">
      <c r="A7160" s="5" t="s">
        <v>7595</v>
      </c>
      <c r="B7160" s="5" t="s">
        <v>7596</v>
      </c>
      <c r="C7160" s="5" t="str">
        <f>IFERROR(__xludf.DUMMYFUNCTION("GOOGLETRANSLATE(A7160,""en"",""hy"")"),"Ո՞րն է Բրազիլիայի արժույթը:")</f>
        <v>Ո՞րն է Բրազիլիայի արժույթը:</v>
      </c>
      <c r="D7160" s="6" t="str">
        <f>IFERROR(__xludf.DUMMYFUNCTION("GOOGLETRANSLATE(B7160,""en"",""hy"")"),"Բրազիլիայի արժույթը բրազիլական ռեալն է։")</f>
        <v>Բրազիլիայի արժույթը բրազիլական ռեալն է։</v>
      </c>
    </row>
    <row r="7161">
      <c r="A7161" s="5" t="s">
        <v>8134</v>
      </c>
      <c r="B7161" s="5" t="s">
        <v>8711</v>
      </c>
      <c r="C7161" s="5" t="str">
        <f>IFERROR(__xludf.DUMMYFUNCTION("GOOGLETRANSLATE(A7161,""en"",""hy"")"),"Ո՞վ է Չինաստանի ներկայիս նախագահը.")</f>
        <v>Ո՞վ է Չինաստանի ներկայիս նախագահը.</v>
      </c>
      <c r="D7161" s="6" t="str">
        <f>IFERROR(__xludf.DUMMYFUNCTION("GOOGLETRANSLATE(B7161,""en"",""hy"")"),"Սի Ցզինպին.")</f>
        <v>Սի Ցզինպին.</v>
      </c>
    </row>
    <row r="7162">
      <c r="A7162" s="5" t="s">
        <v>8181</v>
      </c>
      <c r="B7162" s="5" t="s">
        <v>8100</v>
      </c>
      <c r="C7162" s="5" t="str">
        <f>IFERROR(__xludf.DUMMYFUNCTION("GOOGLETRANSLATE(A7162,""en"",""hy"")"),"Քանի՞ մոլորակ կա մեր արեգակնային համակարգում:")</f>
        <v>Քանի՞ մոլորակ կա մեր արեգակնային համակարգում:</v>
      </c>
      <c r="D7162" s="6" t="str">
        <f>IFERROR(__xludf.DUMMYFUNCTION("GOOGLETRANSLATE(B7162,""en"",""hy"")"),"Մեր Արեգակնային համակարգում կա ութ մոլորակ:")</f>
        <v>Մեր Արեգակնային համակարգում կա ութ մոլորակ:</v>
      </c>
    </row>
    <row r="7163">
      <c r="A7163" s="5" t="s">
        <v>7664</v>
      </c>
      <c r="B7163" s="5" t="s">
        <v>7578</v>
      </c>
      <c r="C7163" s="5" t="str">
        <f>IFERROR(__xludf.DUMMYFUNCTION("GOOGLETRANSLATE(A7163,""en"",""hy"")"),"Ո՞վ է «Մոբի-Դիկի» հեղինակը։")</f>
        <v>Ո՞վ է «Մոբի-Դիկի» հեղինակը։</v>
      </c>
      <c r="D7163" s="6" t="str">
        <f>IFERROR(__xludf.DUMMYFUNCTION("GOOGLETRANSLATE(B7163,""en"",""hy"")"),"Հերման Մելվիլ.")</f>
        <v>Հերման Մելվիլ.</v>
      </c>
    </row>
    <row r="7164">
      <c r="A7164" s="5" t="s">
        <v>9319</v>
      </c>
      <c r="B7164" s="5" t="s">
        <v>3894</v>
      </c>
      <c r="C7164" s="5" t="str">
        <f>IFERROR(__xludf.DUMMYFUNCTION("GOOGLETRANSLATE(A7164,""en"",""hy"")"),"Ո՞րն է Իտալիայում խոսվող հիմնական լեզուն:")</f>
        <v>Ո՞րն է Իտալիայում խոսվող հիմնական լեզուն:</v>
      </c>
      <c r="D7164" s="6" t="str">
        <f>IFERROR(__xludf.DUMMYFUNCTION("GOOGLETRANSLATE(B7164,""en"",""hy"")"),"Իտալական.")</f>
        <v>Իտալական.</v>
      </c>
    </row>
    <row r="7165">
      <c r="A7165" s="5" t="s">
        <v>9369</v>
      </c>
      <c r="B7165" s="5" t="s">
        <v>9185</v>
      </c>
      <c r="C7165" s="5" t="str">
        <f>IFERROR(__xludf.DUMMYFUNCTION("GOOGLETRANSLATE(A7165,""en"",""hy"")"),"Անվանեք Հյուսիսային Ամերիկայի ամենամեծ լիճը:")</f>
        <v>Անվանեք Հյուսիսային Ամերիկայի ամենամեծ լիճը:</v>
      </c>
      <c r="D7165" s="6" t="str">
        <f>IFERROR(__xludf.DUMMYFUNCTION("GOOGLETRANSLATE(B7165,""en"",""hy"")"),"Հյուսիսային Ամերիկայի ամենամեծ լիճը Սուպերիոր լիճն է։")</f>
        <v>Հյուսիսային Ամերիկայի ամենամեծ լիճը Սուպերիոր լիճն է։</v>
      </c>
    </row>
    <row r="7166">
      <c r="A7166" s="5" t="s">
        <v>8068</v>
      </c>
      <c r="B7166" s="5" t="s">
        <v>8374</v>
      </c>
      <c r="C7166" s="5" t="str">
        <f>IFERROR(__xludf.DUMMYFUNCTION("GOOGLETRANSLATE(A7166,""en"",""hy"")"),"Ո՞րն է պղնձի քիմիական նշանը:")</f>
        <v>Ո՞րն է պղնձի քիմիական նշանը:</v>
      </c>
      <c r="D7166" s="6" t="str">
        <f>IFERROR(__xludf.DUMMYFUNCTION("GOOGLETRANSLATE(B7166,""en"",""hy"")"),"Պղնձի քիմիական նշանը Cu-ն է։")</f>
        <v>Պղնձի քիմիական նշանը Cu-ն է։</v>
      </c>
    </row>
    <row r="7167">
      <c r="A7167" s="5" t="s">
        <v>8959</v>
      </c>
      <c r="B7167" s="5" t="s">
        <v>2790</v>
      </c>
      <c r="C7167" s="5" t="str">
        <f>IFERROR(__xludf.DUMMYFUNCTION("GOOGLETRANSLATE(A7167,""en"",""hy"")"),"Ո՞ր երկրում կգտնեք Մեծ պատը:")</f>
        <v>Ո՞ր երկրում կգտնեք Մեծ պատը:</v>
      </c>
      <c r="D7167" s="6" t="str">
        <f>IFERROR(__xludf.DUMMYFUNCTION("GOOGLETRANSLATE(B7167,""en"",""hy"")"),"Չինաստան.")</f>
        <v>Չինաստան.</v>
      </c>
    </row>
    <row r="7168">
      <c r="A7168" s="5" t="s">
        <v>9370</v>
      </c>
      <c r="B7168" s="5" t="s">
        <v>7956</v>
      </c>
      <c r="C7168" s="5" t="str">
        <f>IFERROR(__xludf.DUMMYFUNCTION("GOOGLETRANSLATE(A7168,""en"",""hy"")"),"Ո՞ւմ է վերագրվում գրավիտացիայի տեսության բացահայտումը:")</f>
        <v>Ո՞ւմ է վերագրվում գրավիտացիայի տեսության բացահայտումը:</v>
      </c>
      <c r="D7168" s="6" t="str">
        <f>IFERROR(__xludf.DUMMYFUNCTION("GOOGLETRANSLATE(B7168,""en"",""hy"")"),"Իսահակ Նյուտոն.")</f>
        <v>Իսահակ Նյուտոն.</v>
      </c>
    </row>
    <row r="7169">
      <c r="A7169" s="5" t="s">
        <v>8108</v>
      </c>
      <c r="B7169" s="5" t="s">
        <v>7499</v>
      </c>
      <c r="C7169" s="5" t="str">
        <f>IFERROR(__xludf.DUMMYFUNCTION("GOOGLETRANSLATE(A7169,""en"",""hy"")"),"Ո՞ր հայտնի գիտնականն է մշակել հարաբերականության տեսությունը:")</f>
        <v>Ո՞ր հայտնի գիտնականն է մշակել հարաբերականության տեսությունը:</v>
      </c>
      <c r="D7169" s="6" t="str">
        <f>IFERROR(__xludf.DUMMYFUNCTION("GOOGLETRANSLATE(B7169,""en"",""hy"")"),"Albert Einstein")</f>
        <v>Albert Einstein</v>
      </c>
    </row>
    <row r="7170">
      <c r="A7170" s="5" t="s">
        <v>8330</v>
      </c>
      <c r="B7170" s="5" t="s">
        <v>8331</v>
      </c>
      <c r="C7170" s="5" t="str">
        <f>IFERROR(__xludf.DUMMYFUNCTION("GOOGLETRANSLATE(A7170,""en"",""hy"")"),"Ո՞րն է Միացյալ Նահանգների ազգային ծաղիկը:")</f>
        <v>Ո՞րն է Միացյալ Նահանգների ազգային ծաղիկը:</v>
      </c>
      <c r="D7170" s="6" t="str">
        <f>IFERROR(__xludf.DUMMYFUNCTION("GOOGLETRANSLATE(B7170,""en"",""hy"")"),"Միացյալ Նահանգների ազգային ծաղիկը վարդն է։")</f>
        <v>Միացյալ Նահանգների ազգային ծաղիկը վարդն է։</v>
      </c>
    </row>
    <row r="7171">
      <c r="A7171" s="5" t="s">
        <v>9371</v>
      </c>
      <c r="B7171" s="5" t="s">
        <v>9372</v>
      </c>
      <c r="C7171" s="5" t="str">
        <f>IFERROR(__xludf.DUMMYFUNCTION("GOOGLETRANSLATE(A7171,""en"",""hy"")"),"Ո՞վ է գրել «Ֆրանկենշտեյն» վեպը:")</f>
        <v>Ո՞վ է գրել «Ֆրանկենշտեյն» վեպը:</v>
      </c>
      <c r="D7171" s="6" t="str">
        <f>IFERROR(__xludf.DUMMYFUNCTION("GOOGLETRANSLATE(B7171,""en"",""hy"")"),"Մերի Շելլի")</f>
        <v>Մերի Շելլի</v>
      </c>
    </row>
    <row r="7172">
      <c r="A7172" s="5" t="s">
        <v>8270</v>
      </c>
      <c r="B7172" s="5" t="s">
        <v>8271</v>
      </c>
      <c r="C7172" s="5" t="str">
        <f>IFERROR(__xludf.DUMMYFUNCTION("GOOGLETRANSLATE(A7172,""en"",""hy"")"),"Ո՞րն է Գերմանիայի պաշտոնական լեզուն:")</f>
        <v>Ո՞րն է Գերմանիայի պաշտոնական լեզուն:</v>
      </c>
      <c r="D7172" s="6" t="str">
        <f>IFERROR(__xludf.DUMMYFUNCTION("GOOGLETRANSLATE(B7172,""en"",""hy"")"),"Գերմանիայի պաշտոնական լեզուն գերմաներենն է։")</f>
        <v>Գերմանիայի պաշտոնական լեզուն գերմաներենն է։</v>
      </c>
    </row>
    <row r="7173">
      <c r="A7173" s="5" t="s">
        <v>9373</v>
      </c>
      <c r="B7173" s="5" t="s">
        <v>9374</v>
      </c>
      <c r="C7173" s="5" t="str">
        <f>IFERROR(__xludf.DUMMYFUNCTION("GOOGLETRANSLATE(A7173,""en"",""hy"")"),"Անվանեք Ասիայի ամենամեծ գետը:")</f>
        <v>Անվանեք Ասիայի ամենամեծ գետը:</v>
      </c>
      <c r="D7173" s="6" t="str">
        <f>IFERROR(__xludf.DUMMYFUNCTION("GOOGLETRANSLATE(B7173,""en"",""hy"")"),"Ասիայի ամենամեծ գետը Յանցզի գետն է։")</f>
        <v>Ասիայի ամենամեծ գետը Յանցզի գետն է։</v>
      </c>
    </row>
    <row r="7174">
      <c r="A7174" s="5" t="s">
        <v>9375</v>
      </c>
      <c r="B7174" s="5" t="s">
        <v>7878</v>
      </c>
      <c r="C7174" s="5" t="str">
        <f>IFERROR(__xludf.DUMMYFUNCTION("GOOGLETRANSLATE(A7174,""en"",""hy"")"),"Ո՞վ է նկարել հայտնի «Վերջին դատաստանը» ստեղծագործությունը։")</f>
        <v>Ո՞վ է նկարել հայտնի «Վերջին դատաստանը» ստեղծագործությունը։</v>
      </c>
      <c r="D7174" s="6" t="str">
        <f>IFERROR(__xludf.DUMMYFUNCTION("GOOGLETRANSLATE(B7174,""en"",""hy"")"),"Միքելանջելո")</f>
        <v>Միքելանջելո</v>
      </c>
    </row>
    <row r="7175">
      <c r="A7175" s="5" t="s">
        <v>7614</v>
      </c>
      <c r="B7175" s="5" t="s">
        <v>7883</v>
      </c>
      <c r="C7175" s="5" t="str">
        <f>IFERROR(__xludf.DUMMYFUNCTION("GOOGLETRANSLATE(A7175,""en"",""hy"")"),"Ո՞րն է Ֆրանսիայի արժույթը:")</f>
        <v>Ո՞րն է Ֆրանսիայի արժույթը:</v>
      </c>
      <c r="D7175" s="6" t="str">
        <f>IFERROR(__xludf.DUMMYFUNCTION("GOOGLETRANSLATE(B7175,""en"",""hy"")"),"Ֆրանսիայի արժույթը եվրոն է։")</f>
        <v>Ֆրանսիայի արժույթը եվրոն է։</v>
      </c>
    </row>
    <row r="7176">
      <c r="A7176" s="5" t="s">
        <v>7566</v>
      </c>
      <c r="B7176" s="5" t="s">
        <v>7934</v>
      </c>
      <c r="C7176" s="5" t="str">
        <f>IFERROR(__xludf.DUMMYFUNCTION("GOOGLETRANSLATE(A7176,""en"",""hy"")"),"Ո՞վ է Կանադայի ներկայիս վարչապետը:")</f>
        <v>Ո՞վ է Կանադայի ներկայիս վարչապետը:</v>
      </c>
      <c r="D7176" s="6" t="str">
        <f>IFERROR(__xludf.DUMMYFUNCTION("GOOGLETRANSLATE(B7176,""en"",""hy"")"),"Ջասթին Թրյուդո.")</f>
        <v>Ջասթին Թրյուդո.</v>
      </c>
    </row>
    <row r="7177">
      <c r="A7177" s="5" t="s">
        <v>8129</v>
      </c>
      <c r="B7177" s="5" t="s">
        <v>8130</v>
      </c>
      <c r="C7177" s="5" t="str">
        <f>IFERROR(__xludf.DUMMYFUNCTION("GOOGLETRANSLATE(A7177,""en"",""hy"")"),"Քանի՞ ժամային գոտի կա աշխարհում:")</f>
        <v>Քանի՞ ժամային գոտի կա աշխարհում:</v>
      </c>
      <c r="D7177" s="6" t="str">
        <f>IFERROR(__xludf.DUMMYFUNCTION("GOOGLETRANSLATE(B7177,""en"",""hy"")"),"Աշխարհում կա 24 ժամային գոտի:")</f>
        <v>Աշխարհում կա 24 ժամային գոտի:</v>
      </c>
    </row>
    <row r="7178">
      <c r="A7178" s="5" t="s">
        <v>7730</v>
      </c>
      <c r="B7178" s="5" t="s">
        <v>7731</v>
      </c>
      <c r="C7178" s="5" t="str">
        <f>IFERROR(__xludf.DUMMYFUNCTION("GOOGLETRANSLATE(A7178,""en"",""hy"")"),"Ո՞վ է «Նարնիայի քրոնիկները» գրքի հեղինակը։")</f>
        <v>Ո՞վ է «Նարնիայի քրոնիկները» գրքի հեղինակը։</v>
      </c>
      <c r="D7178" s="6" t="str">
        <f>IFERROR(__xludf.DUMMYFUNCTION("GOOGLETRANSLATE(B7178,""en"",""hy"")"),"C.S. Լյուիս")</f>
        <v>C.S. Լյուիս</v>
      </c>
    </row>
    <row r="7179">
      <c r="A7179" s="5" t="s">
        <v>9376</v>
      </c>
      <c r="B7179" s="5" t="s">
        <v>4205</v>
      </c>
      <c r="C7179" s="5" t="str">
        <f>IFERROR(__xludf.DUMMYFUNCTION("GOOGLETRANSLATE(A7179,""en"",""hy"")"),"Ո՞րն է Կանադայում խոսվող հիմնական լեզուն:")</f>
        <v>Ո՞րն է Կանադայում խոսվող հիմնական լեզուն:</v>
      </c>
      <c r="D7179" s="6" t="str">
        <f>IFERROR(__xludf.DUMMYFUNCTION("GOOGLETRANSLATE(B7179,""en"",""hy"")"),"անգլերեն և ֆրանսերեն.")</f>
        <v>անգլերեն և ֆրանսերեն.</v>
      </c>
    </row>
    <row r="7180">
      <c r="A7180" s="5" t="s">
        <v>9377</v>
      </c>
      <c r="B7180" s="5" t="s">
        <v>9378</v>
      </c>
      <c r="C7180" s="5" t="str">
        <f>IFERROR(__xludf.DUMMYFUNCTION("GOOGLETRANSLATE(A7180,""en"",""hy"")"),"Անվանեք Կարիբյան ծովի ամենամեծ կղզին:")</f>
        <v>Անվանեք Կարիբյան ծովի ամենամեծ կղզին:</v>
      </c>
      <c r="D7180" s="6" t="str">
        <f>IFERROR(__xludf.DUMMYFUNCTION("GOOGLETRANSLATE(B7180,""en"",""hy"")"),"Կուբա.")</f>
        <v>Կուբա.</v>
      </c>
    </row>
    <row r="7181">
      <c r="A7181" s="5" t="s">
        <v>7450</v>
      </c>
      <c r="B7181" s="5" t="s">
        <v>7451</v>
      </c>
      <c r="C7181" s="5" t="str">
        <f>IFERROR(__xludf.DUMMYFUNCTION("GOOGLETRANSLATE(A7181,""en"",""hy"")"),"Ո՞րն է Ավստրալիայի մայրաքաղաքը:")</f>
        <v>Ո՞րն է Ավստրալիայի մայրաքաղաքը:</v>
      </c>
      <c r="D7181" s="6" t="str">
        <f>IFERROR(__xludf.DUMMYFUNCTION("GOOGLETRANSLATE(B7181,""en"",""hy"")"),"Կանբերա.")</f>
        <v>Կանբերա.</v>
      </c>
    </row>
    <row r="7182">
      <c r="A7182" s="5" t="s">
        <v>7447</v>
      </c>
      <c r="B7182" s="5" t="s">
        <v>7448</v>
      </c>
      <c r="C7182" s="5" t="str">
        <f>IFERROR(__xludf.DUMMYFUNCTION("GOOGLETRANSLATE(A7182,""en"",""hy"")"),"Ո՞վ է նկարել Մոնա Լիզան:")</f>
        <v>Ո՞վ է նկարել Մոնա Լիզան:</v>
      </c>
      <c r="D7182" s="6" t="str">
        <f>IFERROR(__xludf.DUMMYFUNCTION("GOOGLETRANSLATE(B7182,""en"",""hy"")"),"Լեոնարդո դա Վինչի.")</f>
        <v>Լեոնարդո դա Վինչի.</v>
      </c>
    </row>
    <row r="7183">
      <c r="A7183" s="5" t="s">
        <v>7455</v>
      </c>
      <c r="B7183" s="5" t="s">
        <v>7646</v>
      </c>
      <c r="C7183" s="5" t="str">
        <f>IFERROR(__xludf.DUMMYFUNCTION("GOOGLETRANSLATE(A7183,""en"",""hy"")"),"Ո՞րն է աշխարհի ամենամեծ օվկիանոսը:")</f>
        <v>Ո՞րն է աշխարհի ամենամեծ օվկիանոսը:</v>
      </c>
      <c r="D7183" s="6" t="str">
        <f>IFERROR(__xludf.DUMMYFUNCTION("GOOGLETRANSLATE(B7183,""en"",""hy"")"),"Խաղաղ օվկիանոս.")</f>
        <v>Խաղաղ օվկիանոս.</v>
      </c>
    </row>
    <row r="7184">
      <c r="A7184" s="5" t="s">
        <v>8181</v>
      </c>
      <c r="B7184" s="5" t="s">
        <v>8100</v>
      </c>
      <c r="C7184" s="5" t="str">
        <f>IFERROR(__xludf.DUMMYFUNCTION("GOOGLETRANSLATE(A7184,""en"",""hy"")"),"Քանի՞ մոլորակ կա մեր արեգակնային համակարգում:")</f>
        <v>Քանի՞ մոլորակ կա մեր արեգակնային համակարգում:</v>
      </c>
      <c r="D7184" s="6" t="str">
        <f>IFERROR(__xludf.DUMMYFUNCTION("GOOGLETRANSLATE(B7184,""en"",""hy"")"),"Մեր Արեգակնային համակարգում կա ութ մոլորակ:")</f>
        <v>Մեր Արեգակնային համակարգում կա ութ մոլորակ:</v>
      </c>
    </row>
    <row r="7185">
      <c r="A7185" s="5" t="s">
        <v>7849</v>
      </c>
      <c r="B7185" s="5" t="s">
        <v>7541</v>
      </c>
      <c r="C7185" s="5" t="str">
        <f>IFERROR(__xludf.DUMMYFUNCTION("GOOGLETRANSLATE(A7185,""en"",""hy"")"),"Ո՞վ է գրել «Սպանել ծաղրող թռչունին» վեպը:")</f>
        <v>Ո՞վ է գրել «Սպանել ծաղրող թռչունին» վեպը:</v>
      </c>
      <c r="D7185" s="6" t="str">
        <f>IFERROR(__xludf.DUMMYFUNCTION("GOOGLETRANSLATE(B7185,""en"",""hy"")"),"Հարփեր Լի.")</f>
        <v>Հարփեր Լի.</v>
      </c>
    </row>
    <row r="7186">
      <c r="A7186" s="5" t="s">
        <v>7746</v>
      </c>
      <c r="B7186" s="5" t="s">
        <v>7747</v>
      </c>
      <c r="C7186" s="5" t="str">
        <f>IFERROR(__xludf.DUMMYFUNCTION("GOOGLETRANSLATE(A7186,""en"",""hy"")"),"Ո՞րն է Աֆրիկայի ամենամեծ երկիրը:")</f>
        <v>Ո՞րն է Աֆրիկայի ամենամեծ երկիրը:</v>
      </c>
      <c r="D7186" s="6" t="str">
        <f>IFERROR(__xludf.DUMMYFUNCTION("GOOGLETRANSLATE(B7186,""en"",""hy"")"),"Ալժիր.")</f>
        <v>Ալժիր.</v>
      </c>
    </row>
    <row r="7187">
      <c r="A7187" s="5" t="s">
        <v>7452</v>
      </c>
      <c r="B7187" s="5" t="s">
        <v>7631</v>
      </c>
      <c r="C7187" s="5" t="str">
        <f>IFERROR(__xludf.DUMMYFUNCTION("GOOGLETRANSLATE(A7187,""en"",""hy"")"),"Ո՞րն է ոսկու քիմիական նշանը:")</f>
        <v>Ո՞րն է ոսկու քիմիական նշանը:</v>
      </c>
      <c r="D7187" s="6" t="str">
        <f>IFERROR(__xludf.DUMMYFUNCTION("GOOGLETRANSLATE(B7187,""en"",""hy"")"),"Ավ")</f>
        <v>Ավ</v>
      </c>
    </row>
    <row r="7188">
      <c r="A7188" s="5" t="s">
        <v>7463</v>
      </c>
      <c r="B7188" s="5" t="s">
        <v>9379</v>
      </c>
      <c r="C7188" s="5" t="str">
        <f>IFERROR(__xludf.DUMMYFUNCTION("GOOGLETRANSLATE(A7188,""en"",""hy"")"),"Ո՞րն է աշխարհի ամենաբարձր լեռը:")</f>
        <v>Ո՞րն է աշխարհի ամենաբարձր լեռը:</v>
      </c>
      <c r="D7188" s="6" t="str">
        <f>IFERROR(__xludf.DUMMYFUNCTION("GOOGLETRANSLATE(B7188,""en"",""hy"")"),"Էվերեստ լեռ")</f>
        <v>Էվերեստ լեռ</v>
      </c>
    </row>
    <row r="7189">
      <c r="A7189" s="5" t="s">
        <v>7927</v>
      </c>
      <c r="B7189" s="5" t="s">
        <v>7928</v>
      </c>
      <c r="C7189" s="5" t="str">
        <f>IFERROR(__xludf.DUMMYFUNCTION("GOOGLETRANSLATE(A7189,""en"",""hy"")"),"Քանի՞ խաղացող կա բասկետբոլի թիմում:")</f>
        <v>Քանի՞ խաղացող կա բասկետբոլի թիմում:</v>
      </c>
      <c r="D7189" s="6" t="str">
        <f>IFERROR(__xludf.DUMMYFUNCTION("GOOGLETRANSLATE(B7189,""en"",""hy"")"),"Բասկետբոլի թիմում հինգ խաղացող կա:")</f>
        <v>Բասկետբոլի թիմում հինգ խաղացող կա:</v>
      </c>
    </row>
    <row r="7190">
      <c r="A7190" s="5" t="s">
        <v>7483</v>
      </c>
      <c r="B7190" s="5" t="s">
        <v>7641</v>
      </c>
      <c r="C7190" s="5" t="str">
        <f>IFERROR(__xludf.DUMMYFUNCTION("GOOGLETRANSLATE(A7190,""en"",""hy"")"),"Ո՞րն է ջրի քիմիական բանաձևը:")</f>
        <v>Ո՞րն է ջրի քիմիական բանաձևը:</v>
      </c>
      <c r="D7190" s="6" t="str">
        <f>IFERROR(__xludf.DUMMYFUNCTION("GOOGLETRANSLATE(B7190,""en"",""hy"")"),"Ջրի քիմիական բանաձևը H2O է:")</f>
        <v>Ջրի քիմիական բանաձևը H2O է:</v>
      </c>
    </row>
    <row r="7191">
      <c r="A7191" s="5" t="s">
        <v>7534</v>
      </c>
      <c r="B7191" s="5" t="s">
        <v>7535</v>
      </c>
      <c r="C7191" s="5" t="str">
        <f>IFERROR(__xludf.DUMMYFUNCTION("GOOGLETRANSLATE(A7191,""en"",""hy"")"),"Ո՞վ է հորինել հեռախոսը:")</f>
        <v>Ո՞վ է հորինել հեռախոսը:</v>
      </c>
      <c r="D7191" s="6" t="str">
        <f>IFERROR(__xludf.DUMMYFUNCTION("GOOGLETRANSLATE(B7191,""en"",""hy"")"),"Ալեքսանդր Գրեհեմ Բել.")</f>
        <v>Ալեքսանդր Գրեհեմ Բել.</v>
      </c>
    </row>
    <row r="7192">
      <c r="A7192" s="5" t="s">
        <v>9380</v>
      </c>
      <c r="B7192" s="5" t="s">
        <v>8968</v>
      </c>
      <c r="C7192" s="5" t="str">
        <f>IFERROR(__xludf.DUMMYFUNCTION("GOOGLETRANSLATE(A7192,""en"",""hy"")"),"Ո՞ր մայրցամաքն է ամենաքիչ բնակչությունը:")</f>
        <v>Ո՞ր մայրցամաքն է ամենաքիչ բնակչությունը:</v>
      </c>
      <c r="D7192" s="6" t="str">
        <f>IFERROR(__xludf.DUMMYFUNCTION("GOOGLETRANSLATE(B7192,""en"",""hy"")"),"Անտարկտիկա.")</f>
        <v>Անտարկտիկա.</v>
      </c>
    </row>
    <row r="7193">
      <c r="A7193" s="5" t="s">
        <v>7825</v>
      </c>
      <c r="B7193" s="5" t="s">
        <v>7826</v>
      </c>
      <c r="C7193" s="5" t="str">
        <f>IFERROR(__xludf.DUMMYFUNCTION("GOOGLETRANSLATE(A7193,""en"",""hy"")"),"Ո՞րն է մարդու մարմնի ամենամեծ ոսկորը:")</f>
        <v>Ո՞րն է մարդու մարմնի ամենամեծ ոսկորը:</v>
      </c>
      <c r="D7193" s="6" t="str">
        <f>IFERROR(__xludf.DUMMYFUNCTION("GOOGLETRANSLATE(B7193,""en"",""hy"")"),"Ֆեմուրը.")</f>
        <v>Ֆեմուրը.</v>
      </c>
    </row>
    <row r="7194">
      <c r="A7194" s="5" t="s">
        <v>9381</v>
      </c>
      <c r="B7194" s="5" t="s">
        <v>9382</v>
      </c>
      <c r="C7194" s="5" t="str">
        <f>IFERROR(__xludf.DUMMYFUNCTION("GOOGLETRANSLATE(A7194,""en"",""hy"")"),"Ո՞ր երկիրն է հաղթել առաջին ՖԻՖԱ-ի աշխարհի առաջնությունը 1930 թվականին:")</f>
        <v>Ո՞ր երկիրն է հաղթել առաջին ՖԻՖԱ-ի աշխարհի առաջնությունը 1930 թվականին:</v>
      </c>
      <c r="D7194" s="6" t="str">
        <f>IFERROR(__xludf.DUMMYFUNCTION("GOOGLETRANSLATE(B7194,""en"",""hy"")"),"Ուրուգվայ")</f>
        <v>Ուրուգվայ</v>
      </c>
    </row>
    <row r="7195">
      <c r="A7195" s="5" t="s">
        <v>9383</v>
      </c>
      <c r="B7195" s="5" t="s">
        <v>9384</v>
      </c>
      <c r="C7195" s="5" t="str">
        <f>IFERROR(__xludf.DUMMYFUNCTION("GOOGLETRANSLATE(A7195,""en"",""hy"")"),"Ո՞րն է շոկոլադի հիմնական բաղադրիչը:")</f>
        <v>Ո՞րն է շոկոլադի հիմնական բաղադրիչը:</v>
      </c>
      <c r="D7195" s="6" t="str">
        <f>IFERROR(__xludf.DUMMYFUNCTION("GOOGLETRANSLATE(B7195,""en"",""hy"")"),"Կակաոյի հատիկներ.")</f>
        <v>Կակաոյի հատիկներ.</v>
      </c>
    </row>
    <row r="7196">
      <c r="A7196" s="5" t="s">
        <v>7504</v>
      </c>
      <c r="B7196" s="5" t="s">
        <v>7505</v>
      </c>
      <c r="C7196" s="5" t="str">
        <f>IFERROR(__xludf.DUMMYFUNCTION("GOOGLETRANSLATE(A7196,""en"",""hy"")"),"Ո՞վ է Միացյալ Նահանգների ներկայիս նախագահը:")</f>
        <v>Ո՞վ է Միացյալ Նահանգների ներկայիս նախագահը:</v>
      </c>
      <c r="D7196" s="6" t="str">
        <f>IFERROR(__xludf.DUMMYFUNCTION("GOOGLETRANSLATE(B7196,""en"",""hy"")"),"Ջո Բայդեն.")</f>
        <v>Ջո Բայդեն.</v>
      </c>
    </row>
    <row r="7197">
      <c r="A7197" s="5" t="s">
        <v>7627</v>
      </c>
      <c r="B7197" s="5" t="s">
        <v>7501</v>
      </c>
      <c r="C7197" s="5" t="str">
        <f>IFERROR(__xludf.DUMMYFUNCTION("GOOGLETRANSLATE(A7197,""en"",""hy"")"),"Ո՞րն է Ֆրանսիայի մայրաքաղաքը:")</f>
        <v>Ո՞րն է Ֆրանսիայի մայրաքաղաքը:</v>
      </c>
      <c r="D7197" s="6" t="str">
        <f>IFERROR(__xludf.DUMMYFUNCTION("GOOGLETRANSLATE(B7197,""en"",""hy"")"),"Փարիզ.")</f>
        <v>Փարիզ.</v>
      </c>
    </row>
    <row r="7198">
      <c r="A7198" s="5" t="s">
        <v>9385</v>
      </c>
      <c r="B7198" s="5" t="s">
        <v>9386</v>
      </c>
      <c r="C7198" s="5" t="str">
        <f>IFERROR(__xludf.DUMMYFUNCTION("GOOGLETRANSLATE(A7198,""en"",""hy"")"),"Քանի՞ սիմֆոնիա է հեղինակել Լյուդվիգ վան Բեթհովենը:")</f>
        <v>Քանի՞ սիմֆոնիա է հեղինակել Լյուդվիգ վան Բեթհովենը:</v>
      </c>
      <c r="D7198" s="6" t="str">
        <f>IFERROR(__xludf.DUMMYFUNCTION("GOOGLETRANSLATE(B7198,""en"",""hy"")"),"Բեթհովենը ստեղծել է 9 սիմֆոնիա։")</f>
        <v>Բեթհովենը ստեղծել է 9 սիմֆոնիա։</v>
      </c>
    </row>
    <row r="7199">
      <c r="A7199" s="5" t="s">
        <v>7931</v>
      </c>
      <c r="B7199" s="5" t="s">
        <v>7648</v>
      </c>
      <c r="C7199" s="5" t="str">
        <f>IFERROR(__xludf.DUMMYFUNCTION("GOOGLETRANSLATE(A7199,""en"",""hy"")"),"Ո՞վ է նկարել «Աստղային գիշերը»:")</f>
        <v>Ո՞վ է նկարել «Աստղային գիշերը»:</v>
      </c>
      <c r="D7199" s="6" t="str">
        <f>IFERROR(__xludf.DUMMYFUNCTION("GOOGLETRANSLATE(B7199,""en"",""hy"")"),"Վինսենթ վան Գոգ.")</f>
        <v>Վինսենթ վան Գոգ.</v>
      </c>
    </row>
    <row r="7200">
      <c r="A7200" s="5" t="s">
        <v>7513</v>
      </c>
      <c r="B7200" s="5" t="s">
        <v>8337</v>
      </c>
      <c r="C7200" s="5" t="str">
        <f>IFERROR(__xludf.DUMMYFUNCTION("GOOGLETRANSLATE(A7200,""en"",""hy"")"),"Ո՞րն է աշխարհի ամենամեծ անապատը:")</f>
        <v>Ո՞րն է աշխարհի ամենամեծ անապատը:</v>
      </c>
      <c r="D7200" s="6" t="str">
        <f>IFERROR(__xludf.DUMMYFUNCTION("GOOGLETRANSLATE(B7200,""en"",""hy"")"),"Աշխարհի ամենամեծ անապատը Անտարկտիդայի անապատն է։")</f>
        <v>Աշխարհի ամենամեծ անապատը Անտարկտիդայի անապատն է։</v>
      </c>
    </row>
    <row r="7201">
      <c r="A7201" s="5" t="s">
        <v>7779</v>
      </c>
      <c r="B7201" s="5" t="s">
        <v>7446</v>
      </c>
      <c r="C7201" s="5" t="str">
        <f>IFERROR(__xludf.DUMMYFUNCTION("GOOGLETRANSLATE(A7201,""en"",""hy"")"),"Ո՞ր մոլորակն է հայտնի որպես «Կարմիր մոլորակ»:")</f>
        <v>Ո՞ր մոլորակն է հայտնի որպես «Կարմիր մոլորակ»:</v>
      </c>
      <c r="D7201" s="6" t="str">
        <f>IFERROR(__xludf.DUMMYFUNCTION("GOOGLETRANSLATE(B7201,""en"",""hy"")"),"Մարս.")</f>
        <v>Մարս.</v>
      </c>
    </row>
    <row r="7202">
      <c r="A7202" s="5" t="s">
        <v>7640</v>
      </c>
      <c r="B7202" s="5" t="s">
        <v>1016</v>
      </c>
      <c r="C7202" s="5" t="str">
        <f>IFERROR(__xludf.DUMMYFUNCTION("GOOGLETRANSLATE(A7202,""en"",""hy"")"),"Ո՞վ է գրել «Ռոմեո և Ջուլիետ» պիեսը:")</f>
        <v>Ո՞վ է գրել «Ռոմեո և Ջուլիետ» պիեսը:</v>
      </c>
      <c r="D7202" s="6" t="str">
        <f>IFERROR(__xludf.DUMMYFUNCTION("GOOGLETRANSLATE(B7202,""en"",""hy"")"),"Ուիլյամ Շեքսպիր.")</f>
        <v>Ուիլյամ Շեքսպիր.</v>
      </c>
    </row>
    <row r="7203">
      <c r="A7203" s="5" t="s">
        <v>7467</v>
      </c>
      <c r="B7203" s="5" t="s">
        <v>7468</v>
      </c>
      <c r="C7203" s="5" t="str">
        <f>IFERROR(__xludf.DUMMYFUNCTION("GOOGLETRANSLATE(A7203,""en"",""hy"")"),"Ո՞րն է Ճապոնիայի արժույթը:")</f>
        <v>Ո՞րն է Ճապոնիայի արժույթը:</v>
      </c>
      <c r="D7203" s="6" t="str">
        <f>IFERROR(__xludf.DUMMYFUNCTION("GOOGLETRANSLATE(B7203,""en"",""hy"")"),"Ճապոնիայի արժույթը ճապոնական իենն է։")</f>
        <v>Ճապոնիայի արժույթը ճապոնական իենն է։</v>
      </c>
    </row>
    <row r="7204">
      <c r="A7204" s="5" t="s">
        <v>7477</v>
      </c>
      <c r="B7204" s="5" t="s">
        <v>7478</v>
      </c>
      <c r="C7204" s="5" t="str">
        <f>IFERROR(__xludf.DUMMYFUNCTION("GOOGLETRANSLATE(A7204,""en"",""hy"")"),"Ո՞ր երկիրն է հայտնի որպես «Ծագող արևի երկիր»:")</f>
        <v>Ո՞ր երկիրն է հայտնի որպես «Ծագող արևի երկիր»:</v>
      </c>
      <c r="D7204" s="6" t="str">
        <f>IFERROR(__xludf.DUMMYFUNCTION("GOOGLETRANSLATE(B7204,""en"",""hy"")"),"Ճապոնիա.")</f>
        <v>Ճապոնիա.</v>
      </c>
    </row>
    <row r="7205">
      <c r="A7205" s="5" t="s">
        <v>7532</v>
      </c>
      <c r="B7205" s="5" t="s">
        <v>7533</v>
      </c>
      <c r="C7205" s="5" t="str">
        <f>IFERROR(__xludf.DUMMYFUNCTION("GOOGLETRANSLATE(A7205,""en"",""hy"")"),"Ո՞րն է սննդի աղի քիմիական բանաձևը:")</f>
        <v>Ո՞րն է սննդի աղի քիմիական բանաձևը:</v>
      </c>
      <c r="D7205" s="6" t="str">
        <f>IFERROR(__xludf.DUMMYFUNCTION("GOOGLETRANSLATE(B7205,""en"",""hy"")"),"Սեղանի աղի քիմիական բանաձևը NaCl է:")</f>
        <v>Սեղանի աղի քիմիական բանաձևը NaCl է:</v>
      </c>
    </row>
    <row r="7206">
      <c r="A7206" s="5" t="s">
        <v>9387</v>
      </c>
      <c r="B7206" s="5" t="s">
        <v>7556</v>
      </c>
      <c r="C7206" s="5" t="str">
        <f>IFERROR(__xludf.DUMMYFUNCTION("GOOGLETRANSLATE(A7206,""en"",""hy"")"),"Ո՞վ է հայտնի գիտնականը, ում վերագրվում է հարաբերականության տեսության բացահայտումը:")</f>
        <v>Ո՞վ է հայտնի գիտնականը, ում վերագրվում է հարաբերականության տեսության բացահայտումը:</v>
      </c>
      <c r="D7206" s="6" t="str">
        <f>IFERROR(__xludf.DUMMYFUNCTION("GOOGLETRANSLATE(B7206,""en"",""hy"")"),"Albert Einstein.")</f>
        <v>Albert Einstein.</v>
      </c>
    </row>
    <row r="7207">
      <c r="A7207" s="5" t="s">
        <v>8741</v>
      </c>
      <c r="B7207" s="5" t="s">
        <v>8881</v>
      </c>
      <c r="C7207" s="5" t="str">
        <f>IFERROR(__xludf.DUMMYFUNCTION("GOOGLETRANSLATE(A7207,""en"",""hy"")"),"Ո՞րն է բոլոր ժամանակների ամենաշատ եկամուտ ստացած ֆիլմը:")</f>
        <v>Ո՞րն է բոլոր ժամանակների ամենաշատ եկամուտ ստացած ֆիլմը:</v>
      </c>
      <c r="D7207" s="6" t="str">
        <f>IFERROR(__xludf.DUMMYFUNCTION("GOOGLETRANSLATE(B7207,""en"",""hy"")"),"Անձնանշան")</f>
        <v>Անձնանշան</v>
      </c>
    </row>
    <row r="7208">
      <c r="A7208" s="5" t="s">
        <v>7480</v>
      </c>
      <c r="B7208" s="5" t="s">
        <v>9388</v>
      </c>
      <c r="C7208" s="5" t="str">
        <f>IFERROR(__xludf.DUMMYFUNCTION("GOOGLETRANSLATE(A7208,""en"",""hy"")"),"Ո՞րն է Միացյալ Նահանգների ազգային թռչունը:")</f>
        <v>Ո՞րն է Միացյալ Նահանգների ազգային թռչունը:</v>
      </c>
      <c r="D7208" s="6" t="str">
        <f>IFERROR(__xludf.DUMMYFUNCTION("GOOGLETRANSLATE(B7208,""en"",""hy"")"),"Ճաղատ Արծիվ.")</f>
        <v>Ճաղատ Արծիվ.</v>
      </c>
    </row>
    <row r="7209">
      <c r="A7209" s="5" t="s">
        <v>7939</v>
      </c>
      <c r="B7209" s="5" t="s">
        <v>7940</v>
      </c>
      <c r="C7209" s="5" t="str">
        <f>IFERROR(__xludf.DUMMYFUNCTION("GOOGLETRANSLATE(A7209,""en"",""hy"")"),"Քանի՞ մայրցամաք կա աշխարհում:")</f>
        <v>Քանի՞ մայրցամաք կա աշխարհում:</v>
      </c>
      <c r="D7209" s="6" t="str">
        <f>IFERROR(__xludf.DUMMYFUNCTION("GOOGLETRANSLATE(B7209,""en"",""hy"")"),"Աշխարհում կան յոթ մայրցամաքներ։")</f>
        <v>Աշխարհում կան յոթ մայրցամաքներ։</v>
      </c>
    </row>
    <row r="7210">
      <c r="A7210" s="5" t="s">
        <v>8105</v>
      </c>
      <c r="B7210" s="5" t="s">
        <v>7635</v>
      </c>
      <c r="C7210" s="5" t="str">
        <f>IFERROR(__xludf.DUMMYFUNCTION("GOOGLETRANSLATE(A7210,""en"",""hy"")"),"Ո՞վ էր առաջին մարդը, ով քայլեց լուսնի վրա:")</f>
        <v>Ո՞վ էր առաջին մարդը, ով քայլեց լուսնի վրա:</v>
      </c>
      <c r="D7210" s="6" t="str">
        <f>IFERROR(__xludf.DUMMYFUNCTION("GOOGLETRANSLATE(B7210,""en"",""hy"")"),"Նիլ Արմսթրոնգ.")</f>
        <v>Նիլ Արմսթրոնգ.</v>
      </c>
    </row>
    <row r="7211">
      <c r="A7211" s="5" t="s">
        <v>7780</v>
      </c>
      <c r="B7211" s="5" t="s">
        <v>7643</v>
      </c>
      <c r="C7211" s="5" t="str">
        <f>IFERROR(__xludf.DUMMYFUNCTION("GOOGLETRANSLATE(A7211,""en"",""hy"")"),"Ո՞րն է Կանադայի մայրաքաղաքը:")</f>
        <v>Ո՞րն է Կանադայի մայրաքաղաքը:</v>
      </c>
      <c r="D7211" s="6" t="str">
        <f>IFERROR(__xludf.DUMMYFUNCTION("GOOGLETRANSLATE(B7211,""en"",""hy"")"),"Օտտավա")</f>
        <v>Օտտավա</v>
      </c>
    </row>
    <row r="7212">
      <c r="A7212" s="5" t="s">
        <v>7473</v>
      </c>
      <c r="B7212" s="5" t="s">
        <v>7878</v>
      </c>
      <c r="C7212" s="5" t="str">
        <f>IFERROR(__xludf.DUMMYFUNCTION("GOOGLETRANSLATE(A7212,""en"",""hy"")"),"Ո՞վ է նկարել Սիքստինյան կապելլայի առաստաղը:")</f>
        <v>Ո՞վ է նկարել Սիքստինյան կապելլայի առաստաղը:</v>
      </c>
      <c r="D7212" s="6" t="str">
        <f>IFERROR(__xludf.DUMMYFUNCTION("GOOGLETRANSLATE(B7212,""en"",""hy"")"),"Միքելանջելո")</f>
        <v>Միքելանջելո</v>
      </c>
    </row>
    <row r="7213">
      <c r="A7213" s="5" t="s">
        <v>8709</v>
      </c>
      <c r="B7213" s="5" t="s">
        <v>8710</v>
      </c>
      <c r="C7213" s="5" t="str">
        <f>IFERROR(__xludf.DUMMYFUNCTION("GOOGLETRANSLATE(A7213,""en"",""hy"")"),"Ո՞րն է գարեջրի հիմնական բաղադրիչը:")</f>
        <v>Ո՞րն է գարեջրի հիմնական բաղադրիչը:</v>
      </c>
      <c r="D7213" s="6" t="str">
        <f>IFERROR(__xludf.DUMMYFUNCTION("GOOGLETRANSLATE(B7213,""en"",""hy"")"),"Գարեջրի հիմնական բաղադրիչը գարին է։")</f>
        <v>Գարեջրի հիմնական բաղադրիչը գարին է։</v>
      </c>
    </row>
    <row r="7214">
      <c r="A7214" s="5" t="s">
        <v>9389</v>
      </c>
      <c r="B7214" s="5" t="s">
        <v>2790</v>
      </c>
      <c r="C7214" s="5" t="str">
        <f>IFERROR(__xludf.DUMMYFUNCTION("GOOGLETRANSLATE(A7214,""en"",""hy"")"),"Ո՞ր երկիրն է հայտնի չինական մեծ պարիսպով:")</f>
        <v>Ո՞ր երկիրն է հայտնի չինական մեծ պարիսպով:</v>
      </c>
      <c r="D7214" s="6" t="str">
        <f>IFERROR(__xludf.DUMMYFUNCTION("GOOGLETRANSLATE(B7214,""en"",""hy"")"),"Չինաստան.")</f>
        <v>Չինաստան.</v>
      </c>
    </row>
    <row r="7215">
      <c r="A7215" s="5" t="s">
        <v>7485</v>
      </c>
      <c r="B7215" s="5" t="s">
        <v>8110</v>
      </c>
      <c r="C7215" s="5" t="str">
        <f>IFERROR(__xludf.DUMMYFUNCTION("GOOGLETRANSLATE(A7215,""en"",""hy"")"),"Ո՞վ է Հարի Փոթերի շարքի հեղինակը:")</f>
        <v>Ո՞վ է Հարի Փոթերի շարքի հեղինակը:</v>
      </c>
      <c r="D7215" s="6" t="str">
        <f>IFERROR(__xludf.DUMMYFUNCTION("GOOGLETRANSLATE(B7215,""en"",""hy"")"),"Ջ.Կ. Ռոուլինգ")</f>
        <v>Ջ.Կ. Ռոուլինգ</v>
      </c>
    </row>
    <row r="7216">
      <c r="A7216" s="5" t="s">
        <v>9065</v>
      </c>
      <c r="B7216" s="5" t="s">
        <v>9066</v>
      </c>
      <c r="C7216" s="5" t="str">
        <f>IFERROR(__xludf.DUMMYFUNCTION("GOOGLETRANSLATE(A7216,""en"",""hy"")"),"Ո՞րն է Հյուսիսային Ամերիկայի ամենաբարձր լեռնաշղթան:")</f>
        <v>Ո՞րն է Հյուսիսային Ամերիկայի ամենաբարձր լեռնաշղթան:</v>
      </c>
      <c r="D7216" s="6" t="str">
        <f>IFERROR(__xludf.DUMMYFUNCTION("GOOGLETRANSLATE(B7216,""en"",""hy"")"),"Հյուսիսային Ամերիկայի ամենաբարձր լեռնաշղթան Ռոքի լեռներն են։")</f>
        <v>Հյուսիսային Ամերիկայի ամենաբարձր լեռնաշղթան Ռոքի լեռներն են։</v>
      </c>
    </row>
    <row r="7217">
      <c r="A7217" s="5" t="s">
        <v>7672</v>
      </c>
      <c r="B7217" s="5" t="s">
        <v>7673</v>
      </c>
      <c r="C7217" s="5" t="str">
        <f>IFERROR(__xludf.DUMMYFUNCTION("GOOGLETRANSLATE(A7217,""en"",""hy"")"),"Ո՞րն է Հարավային Ամերիկայի ամենամեծ երկիրը:")</f>
        <v>Ո՞րն է Հարավային Ամերիկայի ամենամեծ երկիրը:</v>
      </c>
      <c r="D7217" s="6" t="str">
        <f>IFERROR(__xludf.DUMMYFUNCTION("GOOGLETRANSLATE(B7217,""en"",""hy"")"),"Բրազիլիա.")</f>
        <v>Բրազիլիա.</v>
      </c>
    </row>
    <row r="7218">
      <c r="A7218" s="5" t="s">
        <v>9390</v>
      </c>
      <c r="B7218" s="5" t="s">
        <v>9391</v>
      </c>
      <c r="C7218" s="5" t="str">
        <f>IFERROR(__xludf.DUMMYFUNCTION("GOOGLETRANSLATE(A7218,""en"",""hy"")"),"Ո՞վ է եղել ԱՄՆ-ում կանանց իրավունքների առաջին պաշտպանը:")</f>
        <v>Ո՞վ է եղել ԱՄՆ-ում կանանց իրավունքների առաջին պաշտպանը:</v>
      </c>
      <c r="D7218" s="6" t="str">
        <f>IFERROR(__xludf.DUMMYFUNCTION("GOOGLETRANSLATE(B7218,""en"",""hy"")"),"Էլիզաբեթ Քեդի Սթենթոն.")</f>
        <v>Էլիզաբեթ Քեդի Սթենթոն.</v>
      </c>
    </row>
    <row r="7219">
      <c r="A7219" s="5" t="s">
        <v>7589</v>
      </c>
      <c r="B7219" s="5" t="s">
        <v>7545</v>
      </c>
      <c r="C7219" s="5" t="str">
        <f>IFERROR(__xludf.DUMMYFUNCTION("GOOGLETRANSLATE(A7219,""en"",""hy"")"),"Ո՞րն է Իտալիայի մայրաքաղաքը:")</f>
        <v>Ո՞րն է Իտալիայի մայրաքաղաքը:</v>
      </c>
      <c r="D7219" s="6" t="str">
        <f>IFERROR(__xludf.DUMMYFUNCTION("GOOGLETRANSLATE(B7219,""en"",""hy"")"),"Հռոմ.")</f>
        <v>Հռոմ.</v>
      </c>
    </row>
    <row r="7220">
      <c r="A7220" s="5" t="s">
        <v>7572</v>
      </c>
      <c r="B7220" s="5" t="s">
        <v>7573</v>
      </c>
      <c r="C7220" s="5" t="str">
        <f>IFERROR(__xludf.DUMMYFUNCTION("GOOGLETRANSLATE(A7220,""en"",""hy"")"),"Ո՞վ է հորինել լամպը:")</f>
        <v>Ո՞վ է հորինել լամպը:</v>
      </c>
      <c r="D7220" s="6" t="str">
        <f>IFERROR(__xludf.DUMMYFUNCTION("GOOGLETRANSLATE(B7220,""en"",""hy"")"),"Թոմաս Էդիսոն.")</f>
        <v>Թոմաս Էդիսոն.</v>
      </c>
    </row>
    <row r="7221">
      <c r="A7221" s="5" t="s">
        <v>7557</v>
      </c>
      <c r="B7221" s="5" t="s">
        <v>7857</v>
      </c>
      <c r="C7221" s="5" t="str">
        <f>IFERROR(__xludf.DUMMYFUNCTION("GOOGLETRANSLATE(A7221,""en"",""hy"")"),"Ո՞րն է երկաթի քիմիական նշանը:")</f>
        <v>Ո՞րն է երկաթի քիմիական նշանը:</v>
      </c>
      <c r="D7221" s="6" t="str">
        <f>IFERROR(__xludf.DUMMYFUNCTION("GOOGLETRANSLATE(B7221,""en"",""hy"")"),"Երկաթի քիմիական նշանը Fe է:")</f>
        <v>Երկաթի քիմիական նշանը Fe է:</v>
      </c>
    </row>
    <row r="7222">
      <c r="A7222" s="5" t="s">
        <v>8039</v>
      </c>
      <c r="B7222" s="5" t="s">
        <v>7921</v>
      </c>
      <c r="C7222" s="5" t="str">
        <f>IFERROR(__xludf.DUMMYFUNCTION("GOOGLETRANSLATE(A7222,""en"",""hy"")"),"Ո՞ր երկիրն է հայտնի Թաջ Մահալով:")</f>
        <v>Ո՞ր երկիրն է հայտնի Թաջ Մահալով:</v>
      </c>
      <c r="D7222" s="6" t="str">
        <f>IFERROR(__xludf.DUMMYFUNCTION("GOOGLETRANSLATE(B7222,""en"",""hy"")"),"Հնդկաստան.")</f>
        <v>Հնդկաստան.</v>
      </c>
    </row>
    <row r="7223">
      <c r="A7223" s="5" t="s">
        <v>9392</v>
      </c>
      <c r="B7223" s="5" t="s">
        <v>8405</v>
      </c>
      <c r="C7223" s="5" t="str">
        <f>IFERROR(__xludf.DUMMYFUNCTION("GOOGLETRANSLATE(A7223,""en"",""hy"")"),"Ո՞վ է հունական կայծակի աստվածը:")</f>
        <v>Ո՞վ է հունական կայծակի աստվածը:</v>
      </c>
      <c r="D7223" s="6" t="str">
        <f>IFERROR(__xludf.DUMMYFUNCTION("GOOGLETRANSLATE(B7223,""en"",""hy"")"),"Զևս.")</f>
        <v>Զևս.</v>
      </c>
    </row>
    <row r="7224">
      <c r="A7224" s="5" t="s">
        <v>7922</v>
      </c>
      <c r="B7224" s="5" t="s">
        <v>6236</v>
      </c>
      <c r="C7224" s="5" t="str">
        <f>IFERROR(__xludf.DUMMYFUNCTION("GOOGLETRANSLATE(A7224,""en"",""hy"")"),"Ո՞րն է Բրազիլիայում խոսվող հիմնական լեզուն:")</f>
        <v>Ո՞րն է Բրազիլիայում խոսվող հիմնական լեզուն:</v>
      </c>
      <c r="D7224" s="6" t="str">
        <f>IFERROR(__xludf.DUMMYFUNCTION("GOOGLETRANSLATE(B7224,""en"",""hy"")"),"պորտուգալերեն.")</f>
        <v>պորտուգալերեն.</v>
      </c>
    </row>
    <row r="7225">
      <c r="A7225" s="5" t="s">
        <v>7805</v>
      </c>
      <c r="B7225" s="5" t="s">
        <v>7806</v>
      </c>
      <c r="C7225" s="5" t="str">
        <f>IFERROR(__xludf.DUMMYFUNCTION("GOOGLETRANSLATE(A7225,""en"",""hy"")"),"Ո՞ր մոլորակն է հայտնի որպես «Կապույտ մոլորակ»:")</f>
        <v>Ո՞ր մոլորակն է հայտնի որպես «Կապույտ մոլորակ»:</v>
      </c>
      <c r="D7225" s="6" t="str">
        <f>IFERROR(__xludf.DUMMYFUNCTION("GOOGLETRANSLATE(B7225,""en"",""hy"")"),"Երկիր.")</f>
        <v>Երկիր.</v>
      </c>
    </row>
    <row r="7226">
      <c r="A7226" s="5" t="s">
        <v>7479</v>
      </c>
      <c r="B7226" s="5" t="s">
        <v>1996</v>
      </c>
      <c r="C7226" s="5" t="str">
        <f>IFERROR(__xludf.DUMMYFUNCTION("GOOGLETRANSLATE(A7226,""en"",""hy"")"),"Ո՞վ է Միացյալ Թագավորության ներկայիս վարչապետը:")</f>
        <v>Ո՞վ է Միացյալ Թագավորության ներկայիս վարչապետը:</v>
      </c>
      <c r="D7226" s="6" t="str">
        <f>IFERROR(__xludf.DUMMYFUNCTION("GOOGLETRANSLATE(B7226,""en"",""hy"")"),"Բորիս Ջոնսոն.")</f>
        <v>Բորիս Ջոնսոն.</v>
      </c>
    </row>
    <row r="7227">
      <c r="A7227" s="5" t="s">
        <v>7461</v>
      </c>
      <c r="B7227" s="5" t="s">
        <v>7639</v>
      </c>
      <c r="C7227" s="5" t="str">
        <f>IFERROR(__xludf.DUMMYFUNCTION("GOOGLETRANSLATE(A7227,""en"",""hy"")"),"Ո՞րն է մարդու մարմնի ամենամեծ օրգանը:")</f>
        <v>Ո՞րն է մարդու մարմնի ամենամեծ օրգանը:</v>
      </c>
      <c r="D7227" s="6" t="str">
        <f>IFERROR(__xludf.DUMMYFUNCTION("GOOGLETRANSLATE(B7227,""en"",""hy"")"),"Մարդու մարմնի ամենամեծ օրգանը մաշկն է։")</f>
        <v>Մարդու մարմնի ամենամեծ օրգանը մաշկն է։</v>
      </c>
    </row>
    <row r="7228">
      <c r="A7228" s="5" t="s">
        <v>7858</v>
      </c>
      <c r="B7228" s="5" t="s">
        <v>7448</v>
      </c>
      <c r="C7228" s="5" t="str">
        <f>IFERROR(__xludf.DUMMYFUNCTION("GOOGLETRANSLATE(A7228,""en"",""hy"")"),"Ո՞վ է նկարել «Մոնա Լիզան»:")</f>
        <v>Ո՞վ է նկարել «Մոնա Լիզան»:</v>
      </c>
      <c r="D7228" s="6" t="str">
        <f>IFERROR(__xludf.DUMMYFUNCTION("GOOGLETRANSLATE(B7228,""en"",""hy"")"),"Լեոնարդո դա Վինչի.")</f>
        <v>Լեոնարդո դա Վինչի.</v>
      </c>
    </row>
    <row r="7229">
      <c r="A7229" s="5" t="s">
        <v>7791</v>
      </c>
      <c r="B7229" s="5" t="s">
        <v>7792</v>
      </c>
      <c r="C7229" s="5" t="str">
        <f>IFERROR(__xludf.DUMMYFUNCTION("GOOGLETRANSLATE(A7229,""en"",""hy"")"),"Ո՞րն է Ավստրալիայի ազգային կենդանին:")</f>
        <v>Ո՞րն է Ավստրալիայի ազգային կենդանին:</v>
      </c>
      <c r="D7229" s="6" t="str">
        <f>IFERROR(__xludf.DUMMYFUNCTION("GOOGLETRANSLATE(B7229,""en"",""hy"")"),"Ավստրալիայի ազգային կենդանին կենգուրուն է։")</f>
        <v>Ավստրալիայի ազգային կենդանին կենգուրուն է։</v>
      </c>
    </row>
    <row r="7230">
      <c r="A7230" s="5" t="s">
        <v>7872</v>
      </c>
      <c r="B7230" s="5" t="s">
        <v>1307</v>
      </c>
      <c r="C7230" s="5" t="str">
        <f>IFERROR(__xludf.DUMMYFUNCTION("GOOGLETRANSLATE(A7230,""en"",""hy"")"),"Ո՞րն է Իսպանիայի մայրաքաղաքը:")</f>
        <v>Ո՞րն է Իսպանիայի մայրաքաղաքը:</v>
      </c>
      <c r="D7230" s="6" t="str">
        <f>IFERROR(__xludf.DUMMYFUNCTION("GOOGLETRANSLATE(B7230,""en"",""hy"")"),"Մադրիդ.")</f>
        <v>Մադրիդ.</v>
      </c>
    </row>
    <row r="7231">
      <c r="A7231" s="5" t="s">
        <v>8648</v>
      </c>
      <c r="B7231" s="5" t="s">
        <v>7512</v>
      </c>
      <c r="C7231" s="5" t="str">
        <f>IFERROR(__xludf.DUMMYFUNCTION("GOOGLETRANSLATE(A7231,""en"",""hy"")"),"Ո՞ր երկիրն է հայտնի Գիզայի բուրգերով:")</f>
        <v>Ո՞ր երկիրն է հայտնի Գիզայի բուրգերով:</v>
      </c>
      <c r="D7231" s="6" t="str">
        <f>IFERROR(__xludf.DUMMYFUNCTION("GOOGLETRANSLATE(B7231,""en"",""hy"")"),"Եգիպտոս.")</f>
        <v>Եգիպտոս.</v>
      </c>
    </row>
    <row r="7232">
      <c r="A7232" s="5" t="s">
        <v>9393</v>
      </c>
      <c r="B7232" s="5" t="s">
        <v>8916</v>
      </c>
      <c r="C7232" s="5" t="str">
        <f>IFERROR(__xludf.DUMMYFUNCTION("GOOGLETRANSLATE(A7232,""en"",""hy"")"),"Ո՞վ խաղաց Երկաթե մարդու կերպարը Marvel կինոտիեզերքում:")</f>
        <v>Ո՞վ խաղաց Երկաթե մարդու կերպարը Marvel կինոտիեզերքում:</v>
      </c>
      <c r="D7232" s="6" t="str">
        <f>IFERROR(__xludf.DUMMYFUNCTION("GOOGLETRANSLATE(B7232,""en"",""hy"")"),"Ռոբերտ Դաունի կրտսերը")</f>
        <v>Ռոբերտ Դաունի կրտսերը</v>
      </c>
    </row>
    <row r="7233">
      <c r="A7233" s="5" t="s">
        <v>7509</v>
      </c>
      <c r="B7233" s="5" t="s">
        <v>7684</v>
      </c>
      <c r="C7233" s="5" t="str">
        <f>IFERROR(__xludf.DUMMYFUNCTION("GOOGLETRANSLATE(A7233,""en"",""hy"")"),"Ո՞րն է արծաթի քիմիական նշանը:")</f>
        <v>Ո՞րն է արծաթի քիմիական նշանը:</v>
      </c>
      <c r="D7233" s="6" t="str">
        <f>IFERROR(__xludf.DUMMYFUNCTION("GOOGLETRANSLATE(B7233,""en"",""hy"")"),"Արծաթի քիմիական խորհրդանիշն է Ag.")</f>
        <v>Արծաթի քիմիական խորհրդանիշն է Ag.</v>
      </c>
    </row>
    <row r="7234">
      <c r="A7234" s="5" t="s">
        <v>9394</v>
      </c>
      <c r="B7234" s="5" t="s">
        <v>9395</v>
      </c>
      <c r="C7234" s="5" t="str">
        <f>IFERROR(__xludf.DUMMYFUNCTION("GOOGLETRANSLATE(A7234,""en"",""hy"")"),"Ո՞րն է բոլոր ժամանակների ամենաշատ եկամուտ ունեցող կինոֆրանշիզը:")</f>
        <v>Ո՞րն է բոլոր ժամանակների ամենաշատ եկամուտ ունեցող կինոֆրանշիզը:</v>
      </c>
      <c r="D7234" s="6" t="str">
        <f>IFERROR(__xludf.DUMMYFUNCTION("GOOGLETRANSLATE(B7234,""en"",""hy"")"),"Marvel Cinematic Universe.")</f>
        <v>Marvel Cinematic Universe.</v>
      </c>
    </row>
    <row r="7235">
      <c r="A7235" s="5" t="s">
        <v>7698</v>
      </c>
      <c r="B7235" s="5" t="s">
        <v>7630</v>
      </c>
      <c r="C7235" s="5" t="str">
        <f>IFERROR(__xludf.DUMMYFUNCTION("GOOGLETRANSLATE(A7235,""en"",""hy"")"),"Ո՞վ է գրել «Հպարտություն և նախապաշարմունք» վեպը:")</f>
        <v>Ո՞վ է գրել «Հպարտություն և նախապաշարմունք» վեպը:</v>
      </c>
      <c r="D7235" s="6" t="str">
        <f>IFERROR(__xludf.DUMMYFUNCTION("GOOGLETRANSLATE(B7235,""en"",""hy"")"),"Ջեյն Օսթին.")</f>
        <v>Ջեյն Օսթին.</v>
      </c>
    </row>
    <row r="7236">
      <c r="A7236" s="5" t="s">
        <v>7948</v>
      </c>
      <c r="B7236" s="5" t="s">
        <v>2930</v>
      </c>
      <c r="C7236" s="5" t="str">
        <f>IFERROR(__xludf.DUMMYFUNCTION("GOOGLETRANSLATE(A7236,""en"",""hy"")"),"Ո՞րն է Ռուսաստանում խոսվող հիմնական լեզուն:")</f>
        <v>Ո՞րն է Ռուսաստանում խոսվող հիմնական լեզուն:</v>
      </c>
      <c r="D7236" s="6" t="str">
        <f>IFERROR(__xludf.DUMMYFUNCTION("GOOGLETRANSLATE(B7236,""en"",""hy"")"),"ռուսերեն.")</f>
        <v>ռուսերեն.</v>
      </c>
    </row>
    <row r="7237">
      <c r="A7237" s="5" t="s">
        <v>8501</v>
      </c>
      <c r="B7237" s="5" t="s">
        <v>9396</v>
      </c>
      <c r="C7237" s="5" t="str">
        <f>IFERROR(__xludf.DUMMYFUNCTION("GOOGLETRANSLATE(A7237,""en"",""hy"")"),"Ո՞ր քաղաքն է ընդունել 2016 թվականի ամառային օլիմպիական խաղերը:")</f>
        <v>Ո՞ր քաղաքն է ընդունել 2016 թվականի ամառային օլիմպիական խաղերը:</v>
      </c>
      <c r="D7237" s="6" t="str">
        <f>IFERROR(__xludf.DUMMYFUNCTION("GOOGLETRANSLATE(B7237,""en"",""hy"")"),"2016 թվականի ամառային Օլիմպիական խաղերը հյուրընկալվել են Բրազիլիայի Ռիո դե Ժանեյրո քաղաքում։")</f>
        <v>2016 թվականի ամառային Օլիմպիական խաղերը հյուրընկալվել են Բրազիլիայի Ռիո դե Ժանեյրո քաղաքում։</v>
      </c>
    </row>
    <row r="7238">
      <c r="A7238" s="5" t="s">
        <v>8106</v>
      </c>
      <c r="B7238" s="5" t="s">
        <v>7916</v>
      </c>
      <c r="C7238" s="5" t="str">
        <f>IFERROR(__xludf.DUMMYFUNCTION("GOOGLETRANSLATE(A7238,""en"",""hy"")"),"Քանի՞ ոսկոր կա մարդու մարմնում:")</f>
        <v>Քանի՞ ոսկոր կա մարդու մարմնում:</v>
      </c>
      <c r="D7238" s="6" t="str">
        <f>IFERROR(__xludf.DUMMYFUNCTION("GOOGLETRANSLATE(B7238,""en"",""hy"")"),"Մարդու մարմնում կա 206 ոսկոր։")</f>
        <v>Մարդու մարմնում կա 206 ոսկոր։</v>
      </c>
    </row>
    <row r="7239">
      <c r="A7239" s="5" t="s">
        <v>7966</v>
      </c>
      <c r="B7239" s="5" t="s">
        <v>7967</v>
      </c>
      <c r="C7239" s="5" t="str">
        <f>IFERROR(__xludf.DUMMYFUNCTION("GOOGLETRANSLATE(A7239,""en"",""hy"")"),"Ո՞վ է եղել առաջին կինը, ով Նոբելյան մրցանակ է ստացել:")</f>
        <v>Ո՞վ է եղել առաջին կինը, ով Նոբելյան մրցանակ է ստացել:</v>
      </c>
      <c r="D7239" s="6" t="str">
        <f>IFERROR(__xludf.DUMMYFUNCTION("GOOGLETRANSLATE(B7239,""en"",""hy"")"),"Մարի Կյուրի.")</f>
        <v>Մարի Կյուրի.</v>
      </c>
    </row>
    <row r="7240">
      <c r="A7240" s="5" t="s">
        <v>7530</v>
      </c>
      <c r="B7240" s="5" t="s">
        <v>7531</v>
      </c>
      <c r="C7240" s="5" t="str">
        <f>IFERROR(__xludf.DUMMYFUNCTION("GOOGLETRANSLATE(A7240,""en"",""hy"")"),"Ո՞րն է Հնդկաստանի ազգային թռչունը:")</f>
        <v>Ո՞րն է Հնդկաստանի ազգային թռչունը:</v>
      </c>
      <c r="D7240" s="6" t="str">
        <f>IFERROR(__xludf.DUMMYFUNCTION("GOOGLETRANSLATE(B7240,""en"",""hy"")"),"Հնդկաստանի ազգային թռչունը սիրամարգն է։")</f>
        <v>Հնդկաստանի ազգային թռչունը սիրամարգն է։</v>
      </c>
    </row>
    <row r="7241">
      <c r="A7241" s="5" t="s">
        <v>7946</v>
      </c>
      <c r="B7241" s="5" t="s">
        <v>7947</v>
      </c>
      <c r="C7241" s="5" t="str">
        <f>IFERROR(__xludf.DUMMYFUNCTION("GOOGLETRANSLATE(A7241,""en"",""hy"")"),"Քանի՞ խաղացող կա ֆուտբոլային թիմում:")</f>
        <v>Քանի՞ խաղացող կա ֆուտբոլային թիմում:</v>
      </c>
      <c r="D7241" s="6" t="str">
        <f>IFERROR(__xludf.DUMMYFUNCTION("GOOGLETRANSLATE(B7241,""en"",""hy"")"),"Ֆուտբոլային թիմում սովորաբար լինում է 11 խաղացող:")</f>
        <v>Ֆուտբոլային թիմում սովորաբար լինում է 11 խաղացող:</v>
      </c>
    </row>
    <row r="7242">
      <c r="A7242" s="5" t="s">
        <v>7660</v>
      </c>
      <c r="B7242" s="5" t="s">
        <v>7613</v>
      </c>
      <c r="C7242" s="5" t="str">
        <f>IFERROR(__xludf.DUMMYFUNCTION("GOOGLETRANSLATE(A7242,""en"",""hy"")"),"Ո՞վ է «Մեծն Գեթսբիի» հեղինակը.")</f>
        <v>Ո՞վ է «Մեծն Գեթսբիի» հեղինակը.</v>
      </c>
      <c r="D7242" s="6" t="str">
        <f>IFERROR(__xludf.DUMMYFUNCTION("GOOGLETRANSLATE(B7242,""en"",""hy"")"),"F. Scott Fitzgerald")</f>
        <v>F. Scott Fitzgerald</v>
      </c>
    </row>
    <row r="7243">
      <c r="A7243" s="5" t="s">
        <v>7522</v>
      </c>
      <c r="B7243" s="5" t="s">
        <v>8785</v>
      </c>
      <c r="C7243" s="5" t="str">
        <f>IFERROR(__xludf.DUMMYFUNCTION("GOOGLETRANSLATE(A7243,""en"",""hy"")"),"Ո՞րն է Չինաստանի արժույթը:")</f>
        <v>Ո՞րն է Չինաստանի արժույթը:</v>
      </c>
      <c r="D7243" s="6" t="str">
        <f>IFERROR(__xludf.DUMMYFUNCTION("GOOGLETRANSLATE(B7243,""en"",""hy"")"),"Չինաստանի արժույթը չինական յուանն է (CNY):")</f>
        <v>Չինաստանի արժույթը չինական յուանն է (CNY):</v>
      </c>
    </row>
    <row r="7244">
      <c r="A7244" s="5" t="s">
        <v>7506</v>
      </c>
      <c r="B7244" s="5" t="s">
        <v>7507</v>
      </c>
      <c r="C7244" s="5" t="str">
        <f>IFERROR(__xludf.DUMMYFUNCTION("GOOGLETRANSLATE(A7244,""en"",""hy"")"),"Ո՞րն է աշխարհի ամենափոքր երկիրը:")</f>
        <v>Ո՞րն է աշխարհի ամենափոքր երկիրը:</v>
      </c>
      <c r="D7244" s="6" t="str">
        <f>IFERROR(__xludf.DUMMYFUNCTION("GOOGLETRANSLATE(B7244,""en"",""hy"")"),"Քաղաք Վատիկան.")</f>
        <v>Քաղաք Վատիկան.</v>
      </c>
    </row>
    <row r="7245">
      <c r="A7245" s="5" t="s">
        <v>9397</v>
      </c>
      <c r="B7245" s="5" t="s">
        <v>7648</v>
      </c>
      <c r="C7245" s="5" t="str">
        <f>IFERROR(__xludf.DUMMYFUNCTION("GOOGLETRANSLATE(A7245,""en"",""hy"")"),"Ո՞վ է հայտնի նկարիչը, որը հայտնի է սեփական ականջը կտրելով.")</f>
        <v>Ո՞վ է հայտնի նկարիչը, որը հայտնի է սեփական ականջը կտրելով.</v>
      </c>
      <c r="D7245" s="6" t="str">
        <f>IFERROR(__xludf.DUMMYFUNCTION("GOOGLETRANSLATE(B7245,""en"",""hy"")"),"Վինսենթ վան Գոգ.")</f>
        <v>Վինսենթ վան Գոգ.</v>
      </c>
    </row>
    <row r="7246">
      <c r="A7246" s="5" t="s">
        <v>7817</v>
      </c>
      <c r="B7246" s="5" t="s">
        <v>7818</v>
      </c>
      <c r="C7246" s="5" t="str">
        <f>IFERROR(__xludf.DUMMYFUNCTION("GOOGLETRANSLATE(A7246,""en"",""hy"")"),"Ո՞րն է Կանադայի ազգային կենդանին:")</f>
        <v>Ո՞րն է Կանադայի ազգային կենդանին:</v>
      </c>
      <c r="D7246" s="6" t="str">
        <f>IFERROR(__xludf.DUMMYFUNCTION("GOOGLETRANSLATE(B7246,""en"",""hy"")"),"Կանադայի ազգային կենդանին կեղևն է:")</f>
        <v>Կանադայի ազգային կենդանին կեղևն է:</v>
      </c>
    </row>
    <row r="7247">
      <c r="A7247" s="5" t="s">
        <v>7574</v>
      </c>
      <c r="B7247" s="5" t="s">
        <v>7525</v>
      </c>
      <c r="C7247" s="5" t="str">
        <f>IFERROR(__xludf.DUMMYFUNCTION("GOOGLETRANSLATE(A7247,""en"",""hy"")"),"Ո՞րն է Չինաստանի մայրաքաղաքը:")</f>
        <v>Ո՞րն է Չինաստանի մայրաքաղաքը:</v>
      </c>
      <c r="D7247" s="6" t="str">
        <f>IFERROR(__xludf.DUMMYFUNCTION("GOOGLETRANSLATE(B7247,""en"",""hy"")"),"Պեկին.")</f>
        <v>Պեկին.</v>
      </c>
    </row>
    <row r="7248">
      <c r="A7248" s="5" t="s">
        <v>7528</v>
      </c>
      <c r="B7248" s="5" t="s">
        <v>9231</v>
      </c>
      <c r="C7248" s="5" t="str">
        <f>IFERROR(__xludf.DUMMYFUNCTION("GOOGLETRANSLATE(A7248,""en"",""hy"")"),"Ո՞վ է Գերմանիայի ներկայիս կանցլերը:")</f>
        <v>Ո՞վ է Գերմանիայի ներկայիս կանցլերը:</v>
      </c>
      <c r="D7248" s="6" t="str">
        <f>IFERROR(__xludf.DUMMYFUNCTION("GOOGLETRANSLATE(B7248,""en"",""hy"")"),"Գերմանիայի ներկայիս կանցլերն Անգելա Մերկելն է։")</f>
        <v>Գերմանիայի ներկայիս կանցլերն Անգելա Մերկելն է։</v>
      </c>
    </row>
    <row r="7249">
      <c r="A7249" s="5" t="s">
        <v>7699</v>
      </c>
      <c r="B7249" s="5" t="s">
        <v>7700</v>
      </c>
      <c r="C7249" s="5" t="str">
        <f>IFERROR(__xludf.DUMMYFUNCTION("GOOGLETRANSLATE(A7249,""en"",""hy"")"),"Ո՞րն է ածխածնի քիմիական նշանը:")</f>
        <v>Ո՞րն է ածխածնի քիմիական նշանը:</v>
      </c>
      <c r="D7249" s="6" t="str">
        <f>IFERROR(__xludf.DUMMYFUNCTION("GOOGLETRANSLATE(B7249,""en"",""hy"")"),"Ածխածնի քիմիական նշանը C է:")</f>
        <v>Ածխածնի քիմիական նշանը C է:</v>
      </c>
    </row>
    <row r="7250">
      <c r="A7250" s="5" t="s">
        <v>9398</v>
      </c>
      <c r="B7250" s="5" t="s">
        <v>8982</v>
      </c>
      <c r="C7250" s="5" t="str">
        <f>IFERROR(__xludf.DUMMYFUNCTION("GOOGLETRANSLATE(A7250,""en"",""hy"")"),"Ո՞րն է աշխարհի ամենամեծ գործող հրաբուխը:")</f>
        <v>Ո՞րն է աշխարհի ամենամեծ գործող հրաբուխը:</v>
      </c>
      <c r="D7250" s="6" t="str">
        <f>IFERROR(__xludf.DUMMYFUNCTION("GOOGLETRANSLATE(B7250,""en"",""hy"")"),"Մաունա Լոա")</f>
        <v>Մաունա Լոա</v>
      </c>
    </row>
    <row r="7251">
      <c r="A7251" s="5" t="s">
        <v>9360</v>
      </c>
      <c r="B7251" s="5" t="s">
        <v>7444</v>
      </c>
      <c r="C7251" s="5" t="str">
        <f>IFERROR(__xludf.DUMMYFUNCTION("GOOGLETRANSLATE(A7251,""en"",""hy"")"),"Ո՞վ է «1984»-ի հեղինակը.")</f>
        <v>Ո՞վ է «1984»-ի հեղինակը.</v>
      </c>
      <c r="D7251" s="6" t="str">
        <f>IFERROR(__xludf.DUMMYFUNCTION("GOOGLETRANSLATE(B7251,""en"",""hy"")"),"Ջորջ Օրուել.")</f>
        <v>Ջորջ Օրուել.</v>
      </c>
    </row>
    <row r="7252">
      <c r="A7252" s="5" t="s">
        <v>8136</v>
      </c>
      <c r="B7252" s="5" t="s">
        <v>8892</v>
      </c>
      <c r="C7252" s="5" t="str">
        <f>IFERROR(__xludf.DUMMYFUNCTION("GOOGLETRANSLATE(A7252,""en"",""hy"")"),"Ո՞րն է Ֆրանսիայի ազգային ծաղիկը:")</f>
        <v>Ո՞րն է Ֆրանսիայի ազգային ծաղիկը:</v>
      </c>
      <c r="D7252" s="6" t="str">
        <f>IFERROR(__xludf.DUMMYFUNCTION("GOOGLETRANSLATE(B7252,""en"",""hy"")"),"Ֆրանսիայի ազգային ծաղիկը Շուշանն է (Fleur-de-lis):")</f>
        <v>Ֆրանսիայի ազգային ծաղիկը Շուշանն է (Fleur-de-lis):</v>
      </c>
    </row>
    <row r="7253">
      <c r="A7253" s="5" t="s">
        <v>9399</v>
      </c>
      <c r="B7253" s="5" t="s">
        <v>9400</v>
      </c>
      <c r="C7253" s="5" t="str">
        <f>IFERROR(__xludf.DUMMYFUNCTION("GOOGLETRANSLATE(A7253,""en"",""hy"")"),"Ո՞ր երկիրն է հայտնի Լոխ Նեսսի հրեշով:")</f>
        <v>Ո՞ր երկիրն է հայտնի Լոխ Նեսսի հրեշով:</v>
      </c>
      <c r="D7253" s="6" t="str">
        <f>IFERROR(__xludf.DUMMYFUNCTION("GOOGLETRANSLATE(B7253,""en"",""hy"")"),"Շոտլանդիա.")</f>
        <v>Շոտլանդիա.</v>
      </c>
    </row>
    <row r="7254">
      <c r="A7254" s="5" t="s">
        <v>9401</v>
      </c>
      <c r="B7254" s="5" t="s">
        <v>8047</v>
      </c>
      <c r="C7254" s="5" t="str">
        <f>IFERROR(__xludf.DUMMYFUNCTION("GOOGLETRANSLATE(A7254,""en"",""hy"")"),"Ո՞վ է ռոքն-ռոլի լեգենդար արքան:")</f>
        <v>Ո՞վ է ռոքն-ռոլի լեգենդար արքան:</v>
      </c>
      <c r="D7254" s="6" t="str">
        <f>IFERROR(__xludf.DUMMYFUNCTION("GOOGLETRANSLATE(B7254,""en"",""hy"")"),"Էլվիս Փրեսլի.")</f>
        <v>Էլվիս Փրեսլի.</v>
      </c>
    </row>
    <row r="7255">
      <c r="A7255" s="5" t="s">
        <v>7711</v>
      </c>
      <c r="B7255" s="5" t="s">
        <v>7712</v>
      </c>
      <c r="C7255" s="5" t="str">
        <f>IFERROR(__xludf.DUMMYFUNCTION("GOOGLETRANSLATE(A7255,""en"",""hy"")"),"Ո՞րն է Միացյալ Նահանգների ամենամեծ քաղաքը:")</f>
        <v>Ո՞րն է Միացյալ Նահանգների ամենամեծ քաղաքը:</v>
      </c>
      <c r="D7255" s="6" t="str">
        <f>IFERROR(__xludf.DUMMYFUNCTION("GOOGLETRANSLATE(B7255,""en"",""hy"")"),"Նյու Յորք քաղաք.")</f>
        <v>Նյու Յորք քաղաք.</v>
      </c>
    </row>
    <row r="7256">
      <c r="A7256" s="5" t="s">
        <v>7937</v>
      </c>
      <c r="B7256" s="5" t="s">
        <v>9402</v>
      </c>
      <c r="C7256" s="5" t="str">
        <f>IFERROR(__xludf.DUMMYFUNCTION("GOOGLETRANSLATE(A7256,""en"",""hy"")"),"Ո՞րն է Ճապոնիայում խոսվող հիմնական լեզուն:")</f>
        <v>Ո՞րն է Ճապոնիայում խոսվող հիմնական լեզուն:</v>
      </c>
      <c r="D7256" s="6" t="str">
        <f>IFERROR(__xludf.DUMMYFUNCTION("GOOGLETRANSLATE(B7256,""en"",""hy"")"),"ճապոներեն")</f>
        <v>ճապոներեն</v>
      </c>
    </row>
    <row r="7257">
      <c r="A7257" s="5" t="s">
        <v>7737</v>
      </c>
      <c r="B7257" s="5" t="s">
        <v>7560</v>
      </c>
      <c r="C7257" s="5" t="str">
        <f>IFERROR(__xludf.DUMMYFUNCTION("GOOGLETRANSLATE(A7257,""en"",""hy"")"),"Ո՞վ է գրել «Շորայի մեջ բռնողը» վեպը:")</f>
        <v>Ո՞վ է գրել «Շորայի մեջ բռնողը» վեպը:</v>
      </c>
      <c r="D7257" s="6" t="str">
        <f>IFERROR(__xludf.DUMMYFUNCTION("GOOGLETRANSLATE(B7257,""en"",""hy"")"),"Ջ.Դ.Սելինջեր.")</f>
        <v>Ջ.Դ.Սելինջեր.</v>
      </c>
    </row>
    <row r="7258">
      <c r="A7258" s="5" t="s">
        <v>8290</v>
      </c>
      <c r="B7258" s="5" t="s">
        <v>9203</v>
      </c>
      <c r="C7258" s="5" t="str">
        <f>IFERROR(__xludf.DUMMYFUNCTION("GOOGLETRANSLATE(A7258,""en"",""hy"")"),"Ո՞րն է Հարավային Աֆրիկայի ազգային կենդանին:")</f>
        <v>Ո՞րն է Հարավային Աֆրիկայի ազգային կենդանին:</v>
      </c>
      <c r="D7258" s="6" t="str">
        <f>IFERROR(__xludf.DUMMYFUNCTION("GOOGLETRANSLATE(B7258,""en"",""hy"")"),"Հարավային Աֆրիկայի ազգային կենդանին Սփրինգբոկն է։")</f>
        <v>Հարավային Աֆրիկայի ազգային կենդանին Սփրինգբոկն է։</v>
      </c>
    </row>
    <row r="7259">
      <c r="A7259" s="5" t="s">
        <v>7515</v>
      </c>
      <c r="B7259" s="5" t="s">
        <v>9403</v>
      </c>
      <c r="C7259" s="5" t="str">
        <f>IFERROR(__xludf.DUMMYFUNCTION("GOOGLETRANSLATE(A7259,""en"",""hy"")"),"Ո՞րն է Բրազիլիայի մայրաքաղաքը:")</f>
        <v>Ո՞րն է Բրազիլիայի մայրաքաղաքը:</v>
      </c>
      <c r="D7259" s="6" t="str">
        <f>IFERROR(__xludf.DUMMYFUNCTION("GOOGLETRANSLATE(B7259,""en"",""hy"")"),"Բրազիլիա")</f>
        <v>Բրազիլիա</v>
      </c>
    </row>
    <row r="7260">
      <c r="A7260" s="5" t="s">
        <v>7566</v>
      </c>
      <c r="B7260" s="5" t="s">
        <v>7934</v>
      </c>
      <c r="C7260" s="5" t="str">
        <f>IFERROR(__xludf.DUMMYFUNCTION("GOOGLETRANSLATE(A7260,""en"",""hy"")"),"Ո՞վ է Կանադայի ներկայիս վարչապետը:")</f>
        <v>Ո՞վ է Կանադայի ներկայիս վարչապետը:</v>
      </c>
      <c r="D7260" s="6" t="str">
        <f>IFERROR(__xludf.DUMMYFUNCTION("GOOGLETRANSLATE(B7260,""en"",""hy"")"),"Ջասթին Թրյուդո.")</f>
        <v>Ջասթին Թրյուդո.</v>
      </c>
    </row>
    <row r="7261">
      <c r="A7261" s="5" t="s">
        <v>7875</v>
      </c>
      <c r="B7261" s="5" t="s">
        <v>7876</v>
      </c>
      <c r="C7261" s="5" t="str">
        <f>IFERROR(__xludf.DUMMYFUNCTION("GOOGLETRANSLATE(A7261,""en"",""hy"")"),"Ո՞րն է ազոտի քիմիական նշանը:")</f>
        <v>Ո՞րն է ազոտի քիմիական նշանը:</v>
      </c>
      <c r="D7261" s="6" t="str">
        <f>IFERROR(__xludf.DUMMYFUNCTION("GOOGLETRANSLATE(B7261,""en"",""hy"")"),"Ազոտի քիմիական նշանն է N.")</f>
        <v>Ազոտի քիմիական նշանն է N.</v>
      </c>
    </row>
    <row r="7262">
      <c r="A7262" s="5" t="s">
        <v>8752</v>
      </c>
      <c r="B7262" s="5" t="s">
        <v>7181</v>
      </c>
      <c r="C7262" s="5" t="str">
        <f>IFERROR(__xludf.DUMMYFUNCTION("GOOGLETRANSLATE(A7262,""en"",""hy"")"),"Ո՞ր երկիրն է հայտնի Սիդնեյի օպերային թատրոնով:")</f>
        <v>Ո՞ր երկիրն է հայտնի Սիդնեյի օպերային թատրոնով:</v>
      </c>
      <c r="D7262" s="6" t="str">
        <f>IFERROR(__xludf.DUMMYFUNCTION("GOOGLETRANSLATE(B7262,""en"",""hy"")"),"Ավստրալիա")</f>
        <v>Ավստրալիա</v>
      </c>
    </row>
    <row r="7263">
      <c r="A7263" s="5" t="s">
        <v>8871</v>
      </c>
      <c r="B7263" s="5" t="s">
        <v>7867</v>
      </c>
      <c r="C7263" s="5" t="str">
        <f>IFERROR(__xludf.DUMMYFUNCTION("GOOGLETRANSLATE(A7263,""en"",""hy"")"),"Ո՞վ է «Մատանիների տիրակալը» եռերգության հեղինակը.")</f>
        <v>Ո՞վ է «Մատանիների տիրակալը» եռերգության հեղինակը.</v>
      </c>
      <c r="D7263" s="6" t="str">
        <f>IFERROR(__xludf.DUMMYFUNCTION("GOOGLETRANSLATE(B7263,""en"",""hy"")"),"Ջ.Ռ.Ռ. Թոլքինը։")</f>
        <v>Ջ.Ռ.Ռ. Թոլքինը։</v>
      </c>
    </row>
    <row r="7264">
      <c r="A7264" s="5" t="s">
        <v>7958</v>
      </c>
      <c r="B7264" s="5" t="s">
        <v>4928</v>
      </c>
      <c r="C7264" s="5" t="str">
        <f>IFERROR(__xludf.DUMMYFUNCTION("GOOGLETRANSLATE(A7264,""en"",""hy"")"),"Ո՞րն է Գերմանիայում խոսվող հիմնական լեզուն:")</f>
        <v>Ո՞րն է Գերմանիայում խոսվող հիմնական լեզուն:</v>
      </c>
      <c r="D7264" s="6" t="str">
        <f>IFERROR(__xludf.DUMMYFUNCTION("GOOGLETRANSLATE(B7264,""en"",""hy"")"),"գերմաներեն.")</f>
        <v>գերմաներեն.</v>
      </c>
    </row>
    <row r="7265">
      <c r="A7265" s="5" t="s">
        <v>9404</v>
      </c>
      <c r="B7265" s="5" t="s">
        <v>9405</v>
      </c>
      <c r="C7265" s="5" t="str">
        <f>IFERROR(__xludf.DUMMYFUNCTION("GOOGLETRANSLATE(A7265,""en"",""hy"")"),"Ո՞ր քաղաքն է ընդունել 2014 թվականի Ֆուտբոլի աշխարհի առաջնությունը:")</f>
        <v>Ո՞ր քաղաքն է ընդունել 2014 թվականի Ֆուտբոլի աշխարհի առաջնությունը:</v>
      </c>
      <c r="D7265" s="6" t="str">
        <f>IFERROR(__xludf.DUMMYFUNCTION("GOOGLETRANSLATE(B7265,""en"",""hy"")"),"Ֆուտբոլի աշխարհի 2014 թվականի առաջնությունը հյուրընկալել է Բրազիլիան։")</f>
        <v>Ֆուտբոլի աշխարհի 2014 թվականի առաջնությունը հյուրընկալել է Բրազիլիան։</v>
      </c>
    </row>
    <row r="7266">
      <c r="A7266" s="5" t="s">
        <v>8991</v>
      </c>
      <c r="B7266" s="5" t="s">
        <v>7933</v>
      </c>
      <c r="C7266" s="5" t="str">
        <f>IFERROR(__xludf.DUMMYFUNCTION("GOOGLETRANSLATE(A7266,""en"",""hy"")"),"Քանի՞ սենյակ կա մարդու սրտում:")</f>
        <v>Քանի՞ սենյակ կա մարդու սրտում:</v>
      </c>
      <c r="D7266" s="6" t="str">
        <f>IFERROR(__xludf.DUMMYFUNCTION("GOOGLETRANSLATE(B7266,""en"",""hy"")"),"Մարդու սրտում չորս պալատ կա.")</f>
        <v>Մարդու սրտում չորս պալատ կա.</v>
      </c>
    </row>
    <row r="7267">
      <c r="A7267" s="5" t="s">
        <v>9406</v>
      </c>
      <c r="B7267" s="5" t="s">
        <v>3196</v>
      </c>
      <c r="C7267" s="5" t="str">
        <f>IFERROR(__xludf.DUMMYFUNCTION("GOOGLETRANSLATE(A7267,""en"",""hy"")"),"Ո՞վ է եղել Միացյալ Նահանգների առաջին սևամորթ նախագահը:")</f>
        <v>Ո՞վ է եղել Միացյալ Նահանգների առաջին սևամորթ նախագահը:</v>
      </c>
      <c r="D7267" s="6" t="str">
        <f>IFERROR(__xludf.DUMMYFUNCTION("GOOGLETRANSLATE(B7267,""en"",""hy"")"),"Բարաք Օբամա.")</f>
        <v>Բարաք Օբամա.</v>
      </c>
    </row>
    <row r="7268">
      <c r="A7268" s="5" t="s">
        <v>9407</v>
      </c>
      <c r="B7268" s="5" t="s">
        <v>9408</v>
      </c>
      <c r="C7268" s="5" t="str">
        <f>IFERROR(__xludf.DUMMYFUNCTION("GOOGLETRANSLATE(A7268,""en"",""hy"")"),"Ո՞րն է բոլոր ժամանակների ամենաշատ եկամուտ ստացած անիմացիոն ֆիլմը:")</f>
        <v>Ո՞րն է բոլոր ժամանակների ամենաշատ եկամուտ ստացած անիմացիոն ֆիլմը:</v>
      </c>
      <c r="D7268" s="6" t="str">
        <f>IFERROR(__xludf.DUMMYFUNCTION("GOOGLETRANSLATE(B7268,""en"",""hy"")"),"Բոլոր ժամանակների ամենաշատ եկամուտ ստացած անիմացիոն ֆիլմը «Սառեցված II»-ն է։")</f>
        <v>Բոլոր ժամանակների ամենաշատ եկամուտ ստացած անիմացիոն ֆիլմը «Սառեցված II»-ն է։</v>
      </c>
    </row>
    <row r="7269">
      <c r="A7269" s="5" t="s">
        <v>9289</v>
      </c>
      <c r="B7269" s="5" t="s">
        <v>9290</v>
      </c>
      <c r="C7269" s="5" t="str">
        <f>IFERROR(__xludf.DUMMYFUNCTION("GOOGLETRANSLATE(A7269,""en"",""hy"")"),"Ո՞րն է Միացյալ Թագավորության ազգային թռչունը:")</f>
        <v>Ո՞րն է Միացյալ Թագավորության ազգային թռչունը:</v>
      </c>
      <c r="D7269" s="6" t="str">
        <f>IFERROR(__xludf.DUMMYFUNCTION("GOOGLETRANSLATE(B7269,""en"",""hy"")"),"Միացյալ Թագավորության ազգային թռչունը ռոբինն է:")</f>
        <v>Միացյալ Թագավորության ազգային թռչունը ռոբինն է:</v>
      </c>
    </row>
    <row r="7270">
      <c r="A7270" s="5" t="s">
        <v>7903</v>
      </c>
      <c r="B7270" s="5" t="s">
        <v>8261</v>
      </c>
      <c r="C7270" s="5" t="str">
        <f>IFERROR(__xludf.DUMMYFUNCTION("GOOGLETRANSLATE(A7270,""en"",""hy"")"),"Ո՞րն է Մեքսիկայի մայրաքաղաքը:")</f>
        <v>Ո՞րն է Մեքսիկայի մայրաքաղաքը:</v>
      </c>
      <c r="D7270" s="6" t="str">
        <f>IFERROR(__xludf.DUMMYFUNCTION("GOOGLETRANSLATE(B7270,""en"",""hy"")"),"Մեխիկո Սիթի.")</f>
        <v>Մեխիկո Սիթի.</v>
      </c>
    </row>
    <row r="7271">
      <c r="A7271" s="5" t="s">
        <v>7978</v>
      </c>
      <c r="B7271" s="5" t="s">
        <v>7549</v>
      </c>
      <c r="C7271" s="5" t="str">
        <f>IFERROR(__xludf.DUMMYFUNCTION("GOOGLETRANSLATE(A7271,""en"",""hy"")"),"Ո՞վ է նկարել «Մարգարտյա ականջօղով աղջիկը».")</f>
        <v>Ո՞վ է նկարել «Մարգարտյա ականջօղով աղջիկը».</v>
      </c>
      <c r="D7271" s="6" t="str">
        <f>IFERROR(__xludf.DUMMYFUNCTION("GOOGLETRANSLATE(B7271,""en"",""hy"")"),"Յոհաննես Վերմեեր.")</f>
        <v>Յոհաննես Վերմեեր.</v>
      </c>
    </row>
    <row r="7272">
      <c r="A7272" s="5" t="s">
        <v>7592</v>
      </c>
      <c r="B7272" s="5" t="s">
        <v>7593</v>
      </c>
      <c r="C7272" s="5" t="str">
        <f>IFERROR(__xludf.DUMMYFUNCTION("GOOGLETRANSLATE(A7272,""en"",""hy"")"),"Ո՞րն է թթվածնի քիմիական նշանը:")</f>
        <v>Ո՞րն է թթվածնի քիմիական նշանը:</v>
      </c>
      <c r="D7272" s="6" t="str">
        <f>IFERROR(__xludf.DUMMYFUNCTION("GOOGLETRANSLATE(B7272,""en"",""hy"")"),"Թթվածնի քիմիական նշանը O է:")</f>
        <v>Թթվածնի քիմիական նշանը O է:</v>
      </c>
    </row>
    <row r="7273">
      <c r="A7273" s="5" t="s">
        <v>9409</v>
      </c>
      <c r="B7273" s="5" t="s">
        <v>9410</v>
      </c>
      <c r="C7273" s="5" t="str">
        <f>IFERROR(__xludf.DUMMYFUNCTION("GOOGLETRANSLATE(A7273,""en"",""hy"")"),"Ո՞րն է Չինաստանի ամենամեծ քաղաքը:")</f>
        <v>Ո՞րն է Չինաստանի ամենամեծ քաղաքը:</v>
      </c>
      <c r="D7273" s="6" t="str">
        <f>IFERROR(__xludf.DUMMYFUNCTION("GOOGLETRANSLATE(B7273,""en"",""hy"")"),"Շանհայ.")</f>
        <v>Շանհայ.</v>
      </c>
    </row>
    <row r="7274">
      <c r="A7274" s="5" t="s">
        <v>9411</v>
      </c>
      <c r="B7274" s="5" t="s">
        <v>7906</v>
      </c>
      <c r="C7274" s="5" t="str">
        <f>IFERROR(__xludf.DUMMYFUNCTION("GOOGLETRANSLATE(A7274,""en"",""hy"")"),"Ո՞վ է «Նարնիայի քրոնիկները» շարքի հեղինակը.")</f>
        <v>Ո՞վ է «Նարնիայի քրոնիկները» շարքի հեղինակը.</v>
      </c>
      <c r="D7274" s="6" t="str">
        <f>IFERROR(__xludf.DUMMYFUNCTION("GOOGLETRANSLATE(B7274,""en"",""hy"")"),"C.S. Լյուիս.")</f>
        <v>C.S. Լյուիս.</v>
      </c>
    </row>
    <row r="7275">
      <c r="A7275" s="5" t="s">
        <v>9412</v>
      </c>
      <c r="B7275" s="5" t="s">
        <v>7229</v>
      </c>
      <c r="C7275" s="5" t="str">
        <f>IFERROR(__xludf.DUMMYFUNCTION("GOOGLETRANSLATE(A7275,""en"",""hy"")"),"Ո՞րն է Ֆրանսիայում խոսվող հիմնական լեզուն:")</f>
        <v>Ո՞րն է Ֆրանսիայում խոսվող հիմնական լեզուն:</v>
      </c>
      <c r="D7275" s="6" t="str">
        <f>IFERROR(__xludf.DUMMYFUNCTION("GOOGLETRANSLATE(B7275,""en"",""hy"")"),"ֆրանսերեն.")</f>
        <v>ֆրանսերեն.</v>
      </c>
    </row>
    <row r="7276">
      <c r="A7276" s="5" t="s">
        <v>7552</v>
      </c>
      <c r="B7276" s="5" t="s">
        <v>3535</v>
      </c>
      <c r="C7276" s="5" t="str">
        <f>IFERROR(__xludf.DUMMYFUNCTION("GOOGLETRANSLATE(A7276,""en"",""hy"")"),"Ո՞ր երկիրն է հայտնի Մեծ արգելախութով:")</f>
        <v>Ո՞ր երկիրն է հայտնի Մեծ արգելախութով:</v>
      </c>
      <c r="D7276" s="6" t="str">
        <f>IFERROR(__xludf.DUMMYFUNCTION("GOOGLETRANSLATE(B7276,""en"",""hy"")"),"Ավստրալիա.")</f>
        <v>Ավստրալիա.</v>
      </c>
    </row>
    <row r="7277">
      <c r="A7277" s="5" t="s">
        <v>7674</v>
      </c>
      <c r="B7277" s="5" t="s">
        <v>7675</v>
      </c>
      <c r="C7277" s="5" t="str">
        <f>IFERROR(__xludf.DUMMYFUNCTION("GOOGLETRANSLATE(A7277,""en"",""hy"")"),"Ո՞վ է հունական ծովի աստվածը:")</f>
        <v>Ո՞վ է հունական ծովի աստվածը:</v>
      </c>
      <c r="D7277" s="6" t="str">
        <f>IFERROR(__xludf.DUMMYFUNCTION("GOOGLETRANSLATE(B7277,""en"",""hy"")"),"Պոսեյդոն.")</f>
        <v>Պոսեյդոն.</v>
      </c>
    </row>
    <row r="7278">
      <c r="A7278" s="5" t="s">
        <v>8330</v>
      </c>
      <c r="B7278" s="5" t="s">
        <v>8331</v>
      </c>
      <c r="C7278" s="5" t="str">
        <f>IFERROR(__xludf.DUMMYFUNCTION("GOOGLETRANSLATE(A7278,""en"",""hy"")"),"Ո՞րն է Միացյալ Նահանգների ազգային ծաղիկը:")</f>
        <v>Ո՞րն է Միացյալ Նահանգների ազգային ծաղիկը:</v>
      </c>
      <c r="D7278" s="6" t="str">
        <f>IFERROR(__xludf.DUMMYFUNCTION("GOOGLETRANSLATE(B7278,""en"",""hy"")"),"Միացյալ Նահանգների ազգային ծաղիկը վարդն է։")</f>
        <v>Միացյալ Նահանգների ազգային ծաղիկը վարդն է։</v>
      </c>
    </row>
    <row r="7279">
      <c r="A7279" s="5" t="s">
        <v>7579</v>
      </c>
      <c r="B7279" s="5" t="s">
        <v>7580</v>
      </c>
      <c r="C7279" s="5" t="str">
        <f>IFERROR(__xludf.DUMMYFUNCTION("GOOGLETRANSLATE(A7279,""en"",""hy"")"),"Ո՞րն է Գերմանիայի արժույթը:")</f>
        <v>Ո՞րն է Գերմանիայի արժույթը:</v>
      </c>
      <c r="D7279" s="6" t="str">
        <f>IFERROR(__xludf.DUMMYFUNCTION("GOOGLETRANSLATE(B7279,""en"",""hy"")"),"Գերմանիայի արժույթը եվրոն է։")</f>
        <v>Գերմանիայի արժույթը եվրոն է։</v>
      </c>
    </row>
    <row r="7280">
      <c r="A7280" s="5" t="s">
        <v>9413</v>
      </c>
      <c r="B7280" s="5" t="s">
        <v>8922</v>
      </c>
      <c r="C7280" s="5" t="str">
        <f>IFERROR(__xludf.DUMMYFUNCTION("GOOGLETRANSLATE(A7280,""en"",""hy"")"),"Ո՞վ է խաղացել կապիտան Ջեք Ճնճղուկի կերպարը «Կարիբյան ծովի ծովահենները» ֆրանշիզայում:")</f>
        <v>Ո՞վ է խաղացել կապիտան Ջեք Ճնճղուկի կերպարը «Կարիբյան ծովի ծովահենները» ֆրանշիզայում:</v>
      </c>
      <c r="D7280" s="6" t="str">
        <f>IFERROR(__xludf.DUMMYFUNCTION("GOOGLETRANSLATE(B7280,""en"",""hy"")"),"Ջոնի Դեփ.")</f>
        <v>Ջոնի Դեփ.</v>
      </c>
    </row>
    <row r="7281">
      <c r="A7281" s="5" t="s">
        <v>7779</v>
      </c>
      <c r="B7281" s="5" t="s">
        <v>7446</v>
      </c>
      <c r="C7281" s="5" t="str">
        <f>IFERROR(__xludf.DUMMYFUNCTION("GOOGLETRANSLATE(A7281,""en"",""hy"")"),"Ո՞ր մոլորակն է հայտնի որպես «Կարմիր մոլորակ»:")</f>
        <v>Ո՞ր մոլորակն է հայտնի որպես «Կարմիր մոլորակ»:</v>
      </c>
      <c r="D7281" s="6" t="str">
        <f>IFERROR(__xludf.DUMMYFUNCTION("GOOGLETRANSLATE(B7281,""en"",""hy"")"),"Մարս.")</f>
        <v>Մարս.</v>
      </c>
    </row>
    <row r="7282">
      <c r="A7282" s="5" t="s">
        <v>7450</v>
      </c>
      <c r="B7282" s="5" t="s">
        <v>7451</v>
      </c>
      <c r="C7282" s="5" t="str">
        <f>IFERROR(__xludf.DUMMYFUNCTION("GOOGLETRANSLATE(A7282,""en"",""hy"")"),"Ո՞րն է Ավստրալիայի մայրաքաղաքը:")</f>
        <v>Ո՞րն է Ավստրալիայի մայրաքաղաքը:</v>
      </c>
      <c r="D7282" s="6" t="str">
        <f>IFERROR(__xludf.DUMMYFUNCTION("GOOGLETRANSLATE(B7282,""en"",""hy"")"),"Կանբերա.")</f>
        <v>Կանբերա.</v>
      </c>
    </row>
    <row r="7283">
      <c r="A7283" s="5" t="s">
        <v>7447</v>
      </c>
      <c r="B7283" s="5" t="s">
        <v>7448</v>
      </c>
      <c r="C7283" s="5" t="str">
        <f>IFERROR(__xludf.DUMMYFUNCTION("GOOGLETRANSLATE(A7283,""en"",""hy"")"),"Ո՞վ է նկարել Մոնա Լիզան:")</f>
        <v>Ո՞վ է նկարել Մոնա Լիզան:</v>
      </c>
      <c r="D7283" s="6" t="str">
        <f>IFERROR(__xludf.DUMMYFUNCTION("GOOGLETRANSLATE(B7283,""en"",""hy"")"),"Լեոնարդո դա Վինչի.")</f>
        <v>Լեոնարդո դա Վինչի.</v>
      </c>
    </row>
    <row r="7284">
      <c r="A7284" s="5" t="s">
        <v>9414</v>
      </c>
      <c r="B7284" s="5" t="s">
        <v>7646</v>
      </c>
      <c r="C7284" s="5" t="str">
        <f>IFERROR(__xludf.DUMMYFUNCTION("GOOGLETRANSLATE(A7284,""en"",""hy"")"),"Ո՞րն է աշխարհի ամենամեծ օվկիանոսը:")</f>
        <v>Ո՞րն է աշխարհի ամենամեծ օվկիանոսը:</v>
      </c>
      <c r="D7284" s="6" t="str">
        <f>IFERROR(__xludf.DUMMYFUNCTION("GOOGLETRANSLATE(B7284,""en"",""hy"")"),"Խաղաղ օվկիանոս.")</f>
        <v>Խաղաղ օվկիանոս.</v>
      </c>
    </row>
    <row r="7285">
      <c r="A7285" s="5" t="s">
        <v>8876</v>
      </c>
      <c r="B7285" s="5" t="s">
        <v>8110</v>
      </c>
      <c r="C7285" s="5" t="str">
        <f>IFERROR(__xludf.DUMMYFUNCTION("GOOGLETRANSLATE(A7285,""en"",""hy"")"),"Ո՞վ է գրել Հարրի Փոթերի շարքը:")</f>
        <v>Ո՞վ է գրել Հարրի Փոթերի շարքը:</v>
      </c>
      <c r="D7285" s="6" t="str">
        <f>IFERROR(__xludf.DUMMYFUNCTION("GOOGLETRANSLATE(B7285,""en"",""hy"")"),"Ջ.Կ. Ռոուլինգ")</f>
        <v>Ջ.Կ. Ռոուլինգ</v>
      </c>
    </row>
    <row r="7286">
      <c r="A7286" s="5" t="s">
        <v>7477</v>
      </c>
      <c r="B7286" s="5" t="s">
        <v>7478</v>
      </c>
      <c r="C7286" s="5" t="str">
        <f>IFERROR(__xludf.DUMMYFUNCTION("GOOGLETRANSLATE(A7286,""en"",""hy"")"),"Ո՞ր երկիրն է հայտնի որպես «Ծագող արևի երկիր»:")</f>
        <v>Ո՞ր երկիրն է հայտնի որպես «Ծագող արևի երկիր»:</v>
      </c>
      <c r="D7286" s="6" t="str">
        <f>IFERROR(__xludf.DUMMYFUNCTION("GOOGLETRANSLATE(B7286,""en"",""hy"")"),"Ճապոնիա.")</f>
        <v>Ճապոնիա.</v>
      </c>
    </row>
    <row r="7287">
      <c r="A7287" s="5" t="s">
        <v>7461</v>
      </c>
      <c r="B7287" s="5" t="s">
        <v>7639</v>
      </c>
      <c r="C7287" s="5" t="str">
        <f>IFERROR(__xludf.DUMMYFUNCTION("GOOGLETRANSLATE(A7287,""en"",""hy"")"),"Ո՞րն է մարդու մարմնի ամենամեծ օրգանը:")</f>
        <v>Ո՞րն է մարդու մարմնի ամենամեծ օրգանը:</v>
      </c>
      <c r="D7287" s="6" t="str">
        <f>IFERROR(__xludf.DUMMYFUNCTION("GOOGLETRANSLATE(B7287,""en"",""hy"")"),"Մարդու մարմնի ամենամեծ օրգանը մաշկն է։")</f>
        <v>Մարդու մարմնի ամենամեծ օրգանը մաշկն է։</v>
      </c>
    </row>
    <row r="7288">
      <c r="A7288" s="5" t="s">
        <v>8736</v>
      </c>
      <c r="B7288" s="5" t="s">
        <v>8737</v>
      </c>
      <c r="C7288" s="5" t="str">
        <f>IFERROR(__xludf.DUMMYFUNCTION("GOOGLETRANSLATE(A7288,""en"",""hy"")"),"ԱՄՆ ո՞ր նահանգն է հայտնի որպես «Ոսկե նահանգ»:")</f>
        <v>ԱՄՆ ո՞ր նահանգն է հայտնի որպես «Ոսկե նահանգ»:</v>
      </c>
      <c r="D7288" s="6" t="str">
        <f>IFERROR(__xludf.DUMMYFUNCTION("GOOGLETRANSLATE(B7288,""en"",""hy"")"),"Կալիֆորնիա.")</f>
        <v>Կալիֆորնիա.</v>
      </c>
    </row>
    <row r="7289">
      <c r="A7289" s="5" t="s">
        <v>7634</v>
      </c>
      <c r="B7289" s="5" t="s">
        <v>7635</v>
      </c>
      <c r="C7289" s="5" t="str">
        <f>IFERROR(__xludf.DUMMYFUNCTION("GOOGLETRANSLATE(A7289,""en"",""hy"")"),"Ո՞վ էր առաջին մարդը, ով ոտք դրեց լուսնի վրա:")</f>
        <v>Ո՞վ էր առաջին մարդը, ով ոտք դրեց լուսնի վրա:</v>
      </c>
      <c r="D7289" s="6" t="str">
        <f>IFERROR(__xludf.DUMMYFUNCTION("GOOGLETRANSLATE(B7289,""en"",""hy"")"),"Նիլ Արմսթրոնգ.")</f>
        <v>Նիլ Արմսթրոնգ.</v>
      </c>
    </row>
    <row r="7290">
      <c r="A7290" s="5" t="s">
        <v>8011</v>
      </c>
      <c r="B7290" s="5" t="s">
        <v>7470</v>
      </c>
      <c r="C7290" s="5" t="str">
        <f>IFERROR(__xludf.DUMMYFUNCTION("GOOGLETRANSLATE(A7290,""en"",""hy"")"),"Ո՞ր թվականին ավարտվեց Երկրորդ համաշխարհային պատերազմը:")</f>
        <v>Ո՞ր թվականին ավարտվեց Երկրորդ համաշխարհային պատերազմը:</v>
      </c>
      <c r="D7290" s="6" t="str">
        <f>IFERROR(__xludf.DUMMYFUNCTION("GOOGLETRANSLATE(B7290,""en"",""hy"")"),"Երկրորդ համաշխարհային պատերազմն ավարտվեց 1945 թվականին։")</f>
        <v>Երկրորդ համաշխարհային պատերազմն ավարտվեց 1945 թվականին։</v>
      </c>
    </row>
    <row r="7291">
      <c r="A7291" s="5" t="s">
        <v>7778</v>
      </c>
      <c r="B7291" s="5" t="s">
        <v>7474</v>
      </c>
      <c r="C7291" s="5" t="str">
        <f>IFERROR(__xludf.DUMMYFUNCTION("GOOGLETRANSLATE(A7291,""en"",""hy"")"),"Ո՞վ է նկարել Սիքստինյան կապելլայի առաստաղը:")</f>
        <v>Ո՞վ է նկարել Սիքստինյան կապելլայի առաստաղը:</v>
      </c>
      <c r="D7291" s="6" t="str">
        <f>IFERROR(__xludf.DUMMYFUNCTION("GOOGLETRANSLATE(B7291,""en"",""hy"")"),"Միքելանջելո.")</f>
        <v>Միքելանջելո.</v>
      </c>
    </row>
    <row r="7292">
      <c r="A7292" s="5" t="s">
        <v>8583</v>
      </c>
      <c r="B7292" s="5" t="s">
        <v>3535</v>
      </c>
      <c r="C7292" s="5" t="str">
        <f>IFERROR(__xludf.DUMMYFUNCTION("GOOGLETRANSLATE(A7292,""en"",""hy"")"),"Ո՞ր երկրում է գտնվում Մեծ արգելախութը:")</f>
        <v>Ո՞ր երկրում է գտնվում Մեծ արգելախութը:</v>
      </c>
      <c r="D7292" s="6" t="str">
        <f>IFERROR(__xludf.DUMMYFUNCTION("GOOGLETRANSLATE(B7292,""en"",""hy"")"),"Ավստրալիա.")</f>
        <v>Ավստրալիա.</v>
      </c>
    </row>
    <row r="7293">
      <c r="A7293" s="5" t="s">
        <v>7452</v>
      </c>
      <c r="B7293" s="5" t="s">
        <v>7631</v>
      </c>
      <c r="C7293" s="5" t="str">
        <f>IFERROR(__xludf.DUMMYFUNCTION("GOOGLETRANSLATE(A7293,""en"",""hy"")"),"Ո՞րն է ոսկու քիմիական նշանը:")</f>
        <v>Ո՞րն է ոսկու քիմիական նշանը:</v>
      </c>
      <c r="D7293" s="6" t="str">
        <f>IFERROR(__xludf.DUMMYFUNCTION("GOOGLETRANSLATE(B7293,""en"",""hy"")"),"Ավ")</f>
        <v>Ավ</v>
      </c>
    </row>
    <row r="7294">
      <c r="A7294" s="5" t="s">
        <v>7946</v>
      </c>
      <c r="B7294" s="5" t="s">
        <v>8111</v>
      </c>
      <c r="C7294" s="5" t="str">
        <f>IFERROR(__xludf.DUMMYFUNCTION("GOOGLETRANSLATE(A7294,""en"",""hy"")"),"Քանի՞ խաղացող կա ֆուտբոլային թիմում:")</f>
        <v>Քանի՞ խաղացող կա ֆուտբոլային թիմում:</v>
      </c>
      <c r="D7294" s="6" t="str">
        <f>IFERROR(__xludf.DUMMYFUNCTION("GOOGLETRANSLATE(B7294,""en"",""hy"")"),"Ֆուտբոլային թիմում կա 11 խաղացող։")</f>
        <v>Ֆուտբոլային թիմում կա 11 խաղացող։</v>
      </c>
    </row>
    <row r="7295">
      <c r="A7295" s="5" t="s">
        <v>7463</v>
      </c>
      <c r="B7295" s="5" t="s">
        <v>7464</v>
      </c>
      <c r="C7295" s="5" t="str">
        <f>IFERROR(__xludf.DUMMYFUNCTION("GOOGLETRANSLATE(A7295,""en"",""hy"")"),"Ո՞րն է աշխարհի ամենաբարձր լեռը:")</f>
        <v>Ո՞րն է աշխարհի ամենաբարձր լեռը:</v>
      </c>
      <c r="D7295" s="6" t="str">
        <f>IFERROR(__xludf.DUMMYFUNCTION("GOOGLETRANSLATE(B7295,""en"",""hy"")"),"Էվերեստ լեռ.")</f>
        <v>Էվերեստ լեռ.</v>
      </c>
    </row>
    <row r="7296">
      <c r="A7296" s="5" t="s">
        <v>7640</v>
      </c>
      <c r="B7296" s="5" t="s">
        <v>1016</v>
      </c>
      <c r="C7296" s="5" t="str">
        <f>IFERROR(__xludf.DUMMYFUNCTION("GOOGLETRANSLATE(A7296,""en"",""hy"")"),"Ո՞վ է գրել «Ռոմեո և Ջուլիետ» պիեսը:")</f>
        <v>Ո՞վ է գրել «Ռոմեո և Ջուլիետ» պիեսը:</v>
      </c>
      <c r="D7296" s="6" t="str">
        <f>IFERROR(__xludf.DUMMYFUNCTION("GOOGLETRANSLATE(B7296,""en"",""hy"")"),"Ուիլյամ Շեքսպիր.")</f>
        <v>Ուիլյամ Շեքսպիր.</v>
      </c>
    </row>
    <row r="7297">
      <c r="A7297" s="5" t="s">
        <v>9415</v>
      </c>
      <c r="B7297" s="5" t="s">
        <v>9416</v>
      </c>
      <c r="C7297" s="5" t="str">
        <f>IFERROR(__xludf.DUMMYFUNCTION("GOOGLETRANSLATE(A7297,""en"",""hy"")"),"Ո՞ր մարզաձևն է խաղում Ուիմբլդոնում:")</f>
        <v>Ո՞ր մարզաձևն է խաղում Ուիմբլդոնում:</v>
      </c>
      <c r="D7297" s="6" t="str">
        <f>IFERROR(__xludf.DUMMYFUNCTION("GOOGLETRANSLATE(B7297,""en"",""hy"")"),"Թենիս.")</f>
        <v>Թենիս.</v>
      </c>
    </row>
    <row r="7298">
      <c r="A7298" s="5" t="s">
        <v>9417</v>
      </c>
      <c r="B7298" s="5" t="s">
        <v>9418</v>
      </c>
      <c r="C7298" s="5" t="str">
        <f>IFERROR(__xludf.DUMMYFUNCTION("GOOGLETRANSLATE(A7298,""en"",""hy"")"),"Ո՞ր թվականին է առաջին անգամ թողարկվել iPhone-ը:")</f>
        <v>Ո՞ր թվականին է առաջին անգամ թողարկվել iPhone-ը:</v>
      </c>
      <c r="D7298" s="6" t="str">
        <f>IFERROR(__xludf.DUMMYFUNCTION("GOOGLETRANSLATE(B7298,""en"",""hy"")"),"iPhone-ն առաջին անգամ թողարկվել է 2007 թվականին։")</f>
        <v>iPhone-ն առաջին անգամ թողարկվել է 2007 թվականին։</v>
      </c>
    </row>
    <row r="7299">
      <c r="A7299" s="5" t="s">
        <v>8246</v>
      </c>
      <c r="B7299" s="5" t="s">
        <v>7648</v>
      </c>
      <c r="C7299" s="5" t="str">
        <f>IFERROR(__xludf.DUMMYFUNCTION("GOOGLETRANSLATE(A7299,""en"",""hy"")"),"Ո՞վ է նկարել հայտնի «Աստղային գիշերը» արվեստի գործը:")</f>
        <v>Ո՞վ է նկարել հայտնի «Աստղային գիշերը» արվեստի գործը:</v>
      </c>
      <c r="D7299" s="6" t="str">
        <f>IFERROR(__xludf.DUMMYFUNCTION("GOOGLETRANSLATE(B7299,""en"",""hy"")"),"Վինսենթ վան Գոգ.")</f>
        <v>Վինսենթ վան Գոգ.</v>
      </c>
    </row>
    <row r="7300">
      <c r="A7300" s="5" t="s">
        <v>9419</v>
      </c>
      <c r="B7300" s="5" t="s">
        <v>7673</v>
      </c>
      <c r="C7300" s="5" t="str">
        <f>IFERROR(__xludf.DUMMYFUNCTION("GOOGLETRANSLATE(A7300,""en"",""hy"")"),"Ո՞ր երկիրն է սուրճի ամենամեծ արտադրողը:")</f>
        <v>Ո՞ր երկիրն է սուրճի ամենամեծ արտադրողը:</v>
      </c>
      <c r="D7300" s="6" t="str">
        <f>IFERROR(__xludf.DUMMYFUNCTION("GOOGLETRANSLATE(B7300,""en"",""hy"")"),"Բրազիլիա.")</f>
        <v>Բրազիլիա.</v>
      </c>
    </row>
    <row r="7301">
      <c r="A7301" s="5" t="s">
        <v>7817</v>
      </c>
      <c r="B7301" s="5" t="s">
        <v>7818</v>
      </c>
      <c r="C7301" s="5" t="str">
        <f>IFERROR(__xludf.DUMMYFUNCTION("GOOGLETRANSLATE(A7301,""en"",""hy"")"),"Ո՞րն է Կանադայի ազգային կենդանին:")</f>
        <v>Ո՞րն է Կանադայի ազգային կենդանին:</v>
      </c>
      <c r="D7301" s="6" t="str">
        <f>IFERROR(__xludf.DUMMYFUNCTION("GOOGLETRANSLATE(B7301,""en"",""hy"")"),"Կանադայի ազգային կենդանին կեղևն է:")</f>
        <v>Կանադայի ազգային կենդանին կեղևն է:</v>
      </c>
    </row>
    <row r="7302">
      <c r="A7302" s="5" t="s">
        <v>7927</v>
      </c>
      <c r="B7302" s="5" t="s">
        <v>8163</v>
      </c>
      <c r="C7302" s="5" t="str">
        <f>IFERROR(__xludf.DUMMYFUNCTION("GOOGLETRANSLATE(A7302,""en"",""hy"")"),"Քանի՞ խաղացող կա բասկետբոլի թիմում:")</f>
        <v>Քանի՞ խաղացող կա բասկետբոլի թիմում:</v>
      </c>
      <c r="D7302" s="6" t="str">
        <f>IFERROR(__xludf.DUMMYFUNCTION("GOOGLETRANSLATE(B7302,""en"",""hy"")"),"Բասկետբոլի թիմում 5 խաղացող կա։")</f>
        <v>Բասկետբոլի թիմում 5 խաղացող կա։</v>
      </c>
    </row>
    <row r="7303">
      <c r="A7303" s="5" t="s">
        <v>9420</v>
      </c>
      <c r="B7303" s="5" t="s">
        <v>7496</v>
      </c>
      <c r="C7303" s="5" t="str">
        <f>IFERROR(__xludf.DUMMYFUNCTION("GOOGLETRANSLATE(A7303,""en"",""hy"")"),"Ո՞ր մոլորակն է հայտնի իր գեղեցիկ օղակներով:")</f>
        <v>Ո՞ր մոլորակն է հայտնի իր գեղեցիկ օղակներով:</v>
      </c>
      <c r="D7303" s="6" t="str">
        <f>IFERROR(__xludf.DUMMYFUNCTION("GOOGLETRANSLATE(B7303,""en"",""hy"")"),"Սատուրն.")</f>
        <v>Սատուրն.</v>
      </c>
    </row>
    <row r="7304">
      <c r="A7304" s="5" t="s">
        <v>9421</v>
      </c>
      <c r="B7304" s="5" t="s">
        <v>8038</v>
      </c>
      <c r="C7304" s="5" t="str">
        <f>IFERROR(__xludf.DUMMYFUNCTION("GOOGLETRANSLATE(A7304,""en"",""hy"")"),"Ո՞վ է ստեղծել դասական «Սիմֆոնիա թիվ 5» սիմֆոնիան:")</f>
        <v>Ո՞վ է ստեղծել դասական «Սիմֆոնիա թիվ 5» սիմֆոնիան:</v>
      </c>
      <c r="D7304" s="6" t="str">
        <f>IFERROR(__xludf.DUMMYFUNCTION("GOOGLETRANSLATE(B7304,""en"",""hy"")"),"Լյուդվիգ վան Բեթհովեն.")</f>
        <v>Լյուդվիգ վան Բեթհովեն.</v>
      </c>
    </row>
    <row r="7305">
      <c r="A7305" s="5" t="s">
        <v>7782</v>
      </c>
      <c r="B7305" s="5" t="s">
        <v>7783</v>
      </c>
      <c r="C7305" s="5" t="str">
        <f>IFERROR(__xludf.DUMMYFUNCTION("GOOGLETRANSLATE(A7305,""en"",""hy"")"),"Ո՞րն է աշխարհի ամենամեծ անապատը:")</f>
        <v>Ո՞րն է աշխարհի ամենամեծ անապատը:</v>
      </c>
      <c r="D7305" s="6" t="str">
        <f>IFERROR(__xludf.DUMMYFUNCTION("GOOGLETRANSLATE(B7305,""en"",""hy"")"),"Սահարա անապատ.")</f>
        <v>Սահարա անապատ.</v>
      </c>
    </row>
    <row r="7306">
      <c r="A7306" s="5" t="s">
        <v>7588</v>
      </c>
      <c r="B7306" s="5" t="s">
        <v>1958</v>
      </c>
      <c r="C7306" s="5" t="str">
        <f>IFERROR(__xludf.DUMMYFUNCTION("GOOGLETRANSLATE(A7306,""en"",""hy"")"),"Ո՞ր երկիրն է հայտնի իր կակաչներով:")</f>
        <v>Ո՞ր երկիրն է հայտնի իր կակաչներով:</v>
      </c>
      <c r="D7306" s="6" t="str">
        <f>IFERROR(__xludf.DUMMYFUNCTION("GOOGLETRANSLATE(B7306,""en"",""hy"")"),"Նիդեռլանդներ.")</f>
        <v>Նիդեռլանդներ.</v>
      </c>
    </row>
    <row r="7307">
      <c r="A7307" s="5" t="s">
        <v>7915</v>
      </c>
      <c r="B7307" s="5" t="s">
        <v>7916</v>
      </c>
      <c r="C7307" s="5" t="str">
        <f>IFERROR(__xludf.DUMMYFUNCTION("GOOGLETRANSLATE(A7307,""en"",""hy"")"),"Քանի՞ ոսկոր կա մարդու մարմնում:")</f>
        <v>Քանի՞ ոսկոր կա մարդու մարմնում:</v>
      </c>
      <c r="D7307" s="6" t="str">
        <f>IFERROR(__xludf.DUMMYFUNCTION("GOOGLETRANSLATE(B7307,""en"",""hy"")"),"Մարդու մարմնում կա 206 ոսկոր։")</f>
        <v>Մարդու մարմնում կա 206 ոսկոր։</v>
      </c>
    </row>
    <row r="7308">
      <c r="A7308" s="5" t="s">
        <v>8123</v>
      </c>
      <c r="B7308" s="5" t="s">
        <v>7448</v>
      </c>
      <c r="C7308" s="5" t="str">
        <f>IFERROR(__xludf.DUMMYFUNCTION("GOOGLETRANSLATE(A7308,""en"",""hy"")"),"Ո՞վ է նկարել հայտնի «Վերջին ընթրիքը» ստեղծագործությունը:")</f>
        <v>Ո՞վ է նկարել հայտնի «Վերջին ընթրիքը» ստեղծագործությունը:</v>
      </c>
      <c r="D7308" s="6" t="str">
        <f>IFERROR(__xludf.DUMMYFUNCTION("GOOGLETRANSLATE(B7308,""en"",""hy"")"),"Լեոնարդո դա Վինչի.")</f>
        <v>Լեոնարդո դա Վինչի.</v>
      </c>
    </row>
    <row r="7309">
      <c r="A7309" s="5" t="s">
        <v>7791</v>
      </c>
      <c r="B7309" s="5" t="s">
        <v>8128</v>
      </c>
      <c r="C7309" s="5" t="str">
        <f>IFERROR(__xludf.DUMMYFUNCTION("GOOGLETRANSLATE(A7309,""en"",""hy"")"),"Ո՞րն է Ավստրալիայի ազգային կենդանին:")</f>
        <v>Ո՞րն է Ավստրալիայի ազգային կենդանին:</v>
      </c>
      <c r="D7309" s="6" t="str">
        <f>IFERROR(__xludf.DUMMYFUNCTION("GOOGLETRANSLATE(B7309,""en"",""hy"")"),"Կենգուրու.")</f>
        <v>Կենգուրու.</v>
      </c>
    </row>
    <row r="7310">
      <c r="A7310" s="5" t="s">
        <v>8020</v>
      </c>
      <c r="B7310" s="5" t="s">
        <v>7961</v>
      </c>
      <c r="C7310" s="5" t="str">
        <f>IFERROR(__xludf.DUMMYFUNCTION("GOOGLETRANSLATE(A7310,""en"",""hy"")"),"Ո՞ր թվականին է խորտակվել Տիտանիկը:")</f>
        <v>Ո՞ր թվականին է խորտակվել Տիտանիկը:</v>
      </c>
      <c r="D7310" s="6" t="str">
        <f>IFERROR(__xludf.DUMMYFUNCTION("GOOGLETRANSLATE(B7310,""en"",""hy"")"),"Տիտանիկը խորտակվել է 1912 թվականին։")</f>
        <v>Տիտանիկը խորտակվել է 1912 թվականին։</v>
      </c>
    </row>
    <row r="7311">
      <c r="A7311" s="5" t="s">
        <v>7849</v>
      </c>
      <c r="B7311" s="5" t="s">
        <v>7541</v>
      </c>
      <c r="C7311" s="5" t="str">
        <f>IFERROR(__xludf.DUMMYFUNCTION("GOOGLETRANSLATE(A7311,""en"",""hy"")"),"Ո՞վ է գրել «Սպանել ծաղրող թռչունին» վեպը:")</f>
        <v>Ո՞վ է գրել «Սպանել ծաղրող թռչունին» վեպը:</v>
      </c>
      <c r="D7311" s="6" t="str">
        <f>IFERROR(__xludf.DUMMYFUNCTION("GOOGLETRANSLATE(B7311,""en"",""hy"")"),"Հարփեր Լի.")</f>
        <v>Հարփեր Լի.</v>
      </c>
    </row>
    <row r="7312">
      <c r="A7312" s="5" t="s">
        <v>8514</v>
      </c>
      <c r="B7312" s="5" t="s">
        <v>7501</v>
      </c>
      <c r="C7312" s="5" t="str">
        <f>IFERROR(__xludf.DUMMYFUNCTION("GOOGLETRANSLATE(A7312,""en"",""hy"")"),"Ո՞ր քաղաքն է հայտնի որպես «սիրո քաղաք»:")</f>
        <v>Ո՞ր քաղաքն է հայտնի որպես «սիրո քաղաք»:</v>
      </c>
      <c r="D7312" s="6" t="str">
        <f>IFERROR(__xludf.DUMMYFUNCTION("GOOGLETRANSLATE(B7312,""en"",""hy"")"),"Փարիզ.")</f>
        <v>Փարիզ.</v>
      </c>
    </row>
    <row r="7313">
      <c r="A7313" s="5" t="s">
        <v>9422</v>
      </c>
      <c r="B7313" s="5" t="s">
        <v>8626</v>
      </c>
      <c r="C7313" s="5" t="str">
        <f>IFERROR(__xludf.DUMMYFUNCTION("GOOGLETRANSLATE(A7313,""en"",""hy"")"),"Ո՞րն է Fe նշանով քիմիական տարրը:")</f>
        <v>Ո՞րն է Fe նշանով քիմիական տարրը:</v>
      </c>
      <c r="D7313" s="6" t="str">
        <f>IFERROR(__xludf.DUMMYFUNCTION("GOOGLETRANSLATE(B7313,""en"",""hy"")"),"Երկաթ")</f>
        <v>Երկաթ</v>
      </c>
    </row>
    <row r="7314">
      <c r="A7314" s="5" t="s">
        <v>7479</v>
      </c>
      <c r="B7314" s="5" t="s">
        <v>1996</v>
      </c>
      <c r="C7314" s="5" t="str">
        <f>IFERROR(__xludf.DUMMYFUNCTION("GOOGLETRANSLATE(A7314,""en"",""hy"")"),"Ո՞վ է Միացյալ Թագավորության ներկայիս վարչապետը:")</f>
        <v>Ո՞վ է Միացյալ Թագավորության ներկայիս վարչապետը:</v>
      </c>
      <c r="D7314" s="6" t="str">
        <f>IFERROR(__xludf.DUMMYFUNCTION("GOOGLETRANSLATE(B7314,""en"",""hy"")"),"Բորիս Ջոնսոն.")</f>
        <v>Բորիս Ջոնսոն.</v>
      </c>
    </row>
    <row r="7315">
      <c r="A7315" s="5" t="s">
        <v>8151</v>
      </c>
      <c r="B7315" s="5" t="s">
        <v>8152</v>
      </c>
      <c r="C7315" s="5" t="str">
        <f>IFERROR(__xludf.DUMMYFUNCTION("GOOGLETRANSLATE(A7315,""en"",""hy"")"),"Ո՞րն է Հնդկաստանի ազգային կենդանին:")</f>
        <v>Ո՞րն է Հնդկաստանի ազգային կենդանին:</v>
      </c>
      <c r="D7315" s="6" t="str">
        <f>IFERROR(__xludf.DUMMYFUNCTION("GOOGLETRANSLATE(B7315,""en"",""hy"")"),"Հնդկաստանի ազգային կենդանին Բենգալյան վագրն է:")</f>
        <v>Հնդկաստանի ազգային կենդանին Բենգալյան վագրն է:</v>
      </c>
    </row>
    <row r="7316">
      <c r="A7316" s="5" t="s">
        <v>9255</v>
      </c>
      <c r="B7316" s="5" t="s">
        <v>823</v>
      </c>
      <c r="C7316" s="5" t="str">
        <f>IFERROR(__xludf.DUMMYFUNCTION("GOOGLETRANSLATE(A7316,""en"",""hy"")"),"Ո՞ր երկիրն է հայտնի իր թխկի օշարակով:")</f>
        <v>Ո՞ր երկիրն է հայտնի իր թխկի օշարակով:</v>
      </c>
      <c r="D7316" s="6" t="str">
        <f>IFERROR(__xludf.DUMMYFUNCTION("GOOGLETRANSLATE(B7316,""en"",""hy"")"),"Կանադա.")</f>
        <v>Կանադա.</v>
      </c>
    </row>
    <row r="7317">
      <c r="A7317" s="5" t="s">
        <v>7964</v>
      </c>
      <c r="B7317" s="5" t="s">
        <v>9423</v>
      </c>
      <c r="C7317" s="5" t="str">
        <f>IFERROR(__xludf.DUMMYFUNCTION("GOOGLETRANSLATE(A7317,""en"",""hy"")"),"Քանի՞ խաղացող կա բեյսբոլի թիմում:")</f>
        <v>Քանի՞ խաղացող կա բեյսբոլի թիմում:</v>
      </c>
      <c r="D7317" s="6" t="str">
        <f>IFERROR(__xludf.DUMMYFUNCTION("GOOGLETRANSLATE(B7317,""en"",""hy"")"),"Բեյսբոլի թիմում ինը խաղացող կա:")</f>
        <v>Բեյսբոլի թիմում ինը խաղացող կա:</v>
      </c>
    </row>
    <row r="7318">
      <c r="A7318" s="5" t="s">
        <v>7709</v>
      </c>
      <c r="B7318" s="5" t="s">
        <v>9424</v>
      </c>
      <c r="C7318" s="5" t="str">
        <f>IFERROR(__xludf.DUMMYFUNCTION("GOOGLETRANSLATE(A7318,""en"",""hy"")"),"Ո՞վ է նկարել հայտնի «Գերնիկա» արվեստի գործը:")</f>
        <v>Ո՞վ է նկարել հայտնի «Գերնիկա» արվեստի գործը:</v>
      </c>
      <c r="D7318" s="6" t="str">
        <f>IFERROR(__xludf.DUMMYFUNCTION("GOOGLETRANSLATE(B7318,""en"",""hy"")"),"Պաբլո Պիկասո")</f>
        <v>Պաբլո Պիկասո</v>
      </c>
    </row>
    <row r="7319">
      <c r="A7319" s="5" t="s">
        <v>8290</v>
      </c>
      <c r="B7319" s="5" t="s">
        <v>8291</v>
      </c>
      <c r="C7319" s="5" t="str">
        <f>IFERROR(__xludf.DUMMYFUNCTION("GOOGLETRANSLATE(A7319,""en"",""hy"")"),"Ո՞րն է Հարավային Աֆրիկայի ազգային կենդանին:")</f>
        <v>Ո՞րն է Հարավային Աֆրիկայի ազգային կենդանին:</v>
      </c>
      <c r="D7319" s="6" t="str">
        <f>IFERROR(__xludf.DUMMYFUNCTION("GOOGLETRANSLATE(B7319,""en"",""hy"")"),"Հարավային Աֆրիկայի ազգային կենդանին սփրինգբոկն է։")</f>
        <v>Հարավային Աֆրիկայի ազգային կենդանին սփրինգբոկն է։</v>
      </c>
    </row>
    <row r="7320">
      <c r="A7320" s="5" t="s">
        <v>7624</v>
      </c>
      <c r="B7320" s="5" t="s">
        <v>8614</v>
      </c>
      <c r="C7320" s="5" t="str">
        <f>IFERROR(__xludf.DUMMYFUNCTION("GOOGLETRANSLATE(A7320,""en"",""hy"")"),"Ո՞ր երկիրն է հայտնի իր ֆյորդներով:")</f>
        <v>Ո՞ր երկիրն է հայտնի իր ֆյորդներով:</v>
      </c>
      <c r="D7320" s="6" t="str">
        <f>IFERROR(__xludf.DUMMYFUNCTION("GOOGLETRANSLATE(B7320,""en"",""hy"")"),"Նորվեգիա.")</f>
        <v>Նորվեգիա.</v>
      </c>
    </row>
    <row r="7321">
      <c r="A7321" s="5" t="s">
        <v>7504</v>
      </c>
      <c r="B7321" s="5" t="s">
        <v>8097</v>
      </c>
      <c r="C7321" s="5" t="str">
        <f>IFERROR(__xludf.DUMMYFUNCTION("GOOGLETRANSLATE(A7321,""en"",""hy"")"),"Ո՞վ է Միացյալ Նահանգների ներկայիս նախագահը:")</f>
        <v>Ո՞վ է Միացյալ Նահանգների ներկայիս նախագահը:</v>
      </c>
      <c r="D7321" s="6" t="str">
        <f>IFERROR(__xludf.DUMMYFUNCTION("GOOGLETRANSLATE(B7321,""en"",""hy"")"),"Ջո Բայդեն")</f>
        <v>Ջո Բայդեն</v>
      </c>
    </row>
    <row r="7322">
      <c r="A7322" s="5" t="s">
        <v>8198</v>
      </c>
      <c r="B7322" s="5" t="s">
        <v>8199</v>
      </c>
      <c r="C7322" s="5" t="str">
        <f>IFERROR(__xludf.DUMMYFUNCTION("GOOGLETRANSLATE(A7322,""en"",""hy"")"),"Ո՞րն է Չինաստանի ազգային կենդանին:")</f>
        <v>Ո՞րն է Չինաստանի ազգային կենդանին:</v>
      </c>
      <c r="D7322" s="6" t="str">
        <f>IFERROR(__xludf.DUMMYFUNCTION("GOOGLETRANSLATE(B7322,""en"",""hy"")"),"Չինաստանի ազգային կենդանին հսկա պանդան է։")</f>
        <v>Չինաստանի ազգային կենդանին հսկա պանդան է։</v>
      </c>
    </row>
    <row r="7323">
      <c r="A7323" s="5" t="s">
        <v>8298</v>
      </c>
      <c r="B7323" s="7">
        <v>1989.0</v>
      </c>
      <c r="C7323" s="5" t="str">
        <f>IFERROR(__xludf.DUMMYFUNCTION("GOOGLETRANSLATE(A7323,""en"",""hy"")"),"Ո՞ր թվականին է փլվել Բեռլինի պատը:")</f>
        <v>Ո՞ր թվականին է փլվել Բեռլինի պատը:</v>
      </c>
      <c r="D7323" s="6" t="str">
        <f>IFERROR(__xludf.DUMMYFUNCTION("GOOGLETRANSLATE(B7323,""en"",""hy"")"),"1989 թ")</f>
        <v>1989 թ</v>
      </c>
    </row>
    <row r="7324">
      <c r="A7324" s="5" t="s">
        <v>8686</v>
      </c>
      <c r="B7324" s="5" t="s">
        <v>7444</v>
      </c>
      <c r="C7324" s="5" t="str">
        <f>IFERROR(__xludf.DUMMYFUNCTION("GOOGLETRANSLATE(A7324,""en"",""hy"")"),"Ո՞վ է գրել «1984» գիրքը։")</f>
        <v>Ո՞վ է գրել «1984» գիրքը։</v>
      </c>
      <c r="D7324" s="6" t="str">
        <f>IFERROR(__xludf.DUMMYFUNCTION("GOOGLETRANSLATE(B7324,""en"",""hy"")"),"Ջորջ Օրուել.")</f>
        <v>Ջորջ Օրուել.</v>
      </c>
    </row>
    <row r="7325">
      <c r="A7325" s="5" t="s">
        <v>9425</v>
      </c>
      <c r="B7325" s="5" t="s">
        <v>8170</v>
      </c>
      <c r="C7325" s="5" t="str">
        <f>IFERROR(__xludf.DUMMYFUNCTION("GOOGLETRANSLATE(A7325,""en"",""hy"")"),"Ո՞ր քաղաքում է գտնվում Էյֆելյան աշտարակը:")</f>
        <v>Ո՞ր քաղաքում է գտնվում Էյֆելյան աշտարակը:</v>
      </c>
      <c r="D7325" s="6" t="str">
        <f>IFERROR(__xludf.DUMMYFUNCTION("GOOGLETRANSLATE(B7325,""en"",""hy"")"),"Փարիզ")</f>
        <v>Փարիզ</v>
      </c>
    </row>
    <row r="7326">
      <c r="A7326" s="5" t="s">
        <v>8213</v>
      </c>
      <c r="B7326" s="5" t="s">
        <v>9426</v>
      </c>
      <c r="C7326" s="5" t="str">
        <f>IFERROR(__xludf.DUMMYFUNCTION("GOOGLETRANSLATE(A7326,""en"",""hy"")"),"Ո՞րն է Ռուսաստանի ազգային կենդանին:")</f>
        <v>Ո՞րն է Ռուսաստանի ազգային կենդանին:</v>
      </c>
      <c r="D7326" s="6" t="str">
        <f>IFERROR(__xludf.DUMMYFUNCTION("GOOGLETRANSLATE(B7326,""en"",""hy"")"),"Ռուսաստանի ազգային կենդանին սիբիրյան վագրն է։")</f>
        <v>Ռուսաստանի ազգային կենդանին սիբիրյան վագրն է։</v>
      </c>
    </row>
    <row r="7327">
      <c r="A7327" s="5" t="s">
        <v>9427</v>
      </c>
      <c r="B7327" s="5" t="s">
        <v>8814</v>
      </c>
      <c r="C7327" s="5" t="str">
        <f>IFERROR(__xludf.DUMMYFUNCTION("GOOGLETRANSLATE(A7327,""en"",""hy"")"),"Ո՞ր երկիրն է հայտնի իր կիվիով:")</f>
        <v>Ո՞ր երկիրն է հայտնի իր կիվիով:</v>
      </c>
      <c r="D7327" s="6" t="str">
        <f>IFERROR(__xludf.DUMMYFUNCTION("GOOGLETRANSLATE(B7327,""en"",""hy"")"),"Նոր Զելանդիա.")</f>
        <v>Նոր Զելանդիա.</v>
      </c>
    </row>
    <row r="7328">
      <c r="A7328" s="5" t="s">
        <v>7575</v>
      </c>
      <c r="B7328" s="5" t="s">
        <v>7576</v>
      </c>
      <c r="C7328" s="5" t="str">
        <f>IFERROR(__xludf.DUMMYFUNCTION("GOOGLETRANSLATE(A7328,""en"",""hy"")"),"Քանի՞ գույն կա ծիածանի մեջ:")</f>
        <v>Քանի՞ գույն կա ծիածանի մեջ:</v>
      </c>
      <c r="D7328" s="6" t="str">
        <f>IFERROR(__xludf.DUMMYFUNCTION("GOOGLETRANSLATE(B7328,""en"",""hy"")"),"Ծիածանի մեջ յոթ գույն կա:")</f>
        <v>Ծիածանի մեջ յոթ գույն կա:</v>
      </c>
    </row>
    <row r="7329">
      <c r="A7329" s="5" t="s">
        <v>7744</v>
      </c>
      <c r="B7329" s="5" t="s">
        <v>7745</v>
      </c>
      <c r="C7329" s="5" t="str">
        <f>IFERROR(__xludf.DUMMYFUNCTION("GOOGLETRANSLATE(A7329,""en"",""hy"")"),"Ո՞վ է նկարել հայտնի «Հիշողության համառությունը» ստեղծագործությունը:")</f>
        <v>Ո՞վ է նկարել հայտնի «Հիշողության համառությունը» ստեղծագործությունը:</v>
      </c>
      <c r="D7329" s="6" t="str">
        <f>IFERROR(__xludf.DUMMYFUNCTION("GOOGLETRANSLATE(B7329,""en"",""hy"")"),"Սալվադոր Դալի.")</f>
        <v>Սալվադոր Դալի.</v>
      </c>
    </row>
    <row r="7330">
      <c r="A7330" s="5" t="s">
        <v>9027</v>
      </c>
      <c r="B7330" s="5" t="s">
        <v>9028</v>
      </c>
      <c r="C7330" s="5" t="str">
        <f>IFERROR(__xludf.DUMMYFUNCTION("GOOGLETRANSLATE(A7330,""en"",""hy"")"),"Ո՞րն է Բրազիլիայի ազգային կենդանին:")</f>
        <v>Ո՞րն է Բրազիլիայի ազգային կենդանին:</v>
      </c>
      <c r="D7330" s="6" t="str">
        <f>IFERROR(__xludf.DUMMYFUNCTION("GOOGLETRANSLATE(B7330,""en"",""hy"")"),"Բրազիլիայի ազգային կենդանին յագուարն է։")</f>
        <v>Բրազիլիայի ազգային կենդանին յագուարն է։</v>
      </c>
    </row>
    <row r="7331">
      <c r="A7331" s="5" t="s">
        <v>9139</v>
      </c>
      <c r="B7331" s="7">
        <v>1776.0</v>
      </c>
      <c r="C7331" s="5" t="str">
        <f>IFERROR(__xludf.DUMMYFUNCTION("GOOGLETRANSLATE(A7331,""en"",""hy"")"),"Ո՞ր թվականին է ԱՄՆ-ն անկախություն ձեռք բերել:")</f>
        <v>Ո՞ր թվականին է ԱՄՆ-ն անկախություն ձեռք բերել:</v>
      </c>
      <c r="D7331" s="6" t="str">
        <f>IFERROR(__xludf.DUMMYFUNCTION("GOOGLETRANSLATE(B7331,""en"",""hy"")"),"1776 թ")</f>
        <v>1776 թ</v>
      </c>
    </row>
    <row r="7332">
      <c r="A7332" s="5" t="s">
        <v>7683</v>
      </c>
      <c r="B7332" s="5" t="s">
        <v>1016</v>
      </c>
      <c r="C7332" s="5" t="str">
        <f>IFERROR(__xludf.DUMMYFUNCTION("GOOGLETRANSLATE(A7332,""en"",""hy"")"),"Ո՞վ է գրել «Համլետ» պիեսը։")</f>
        <v>Ո՞վ է գրել «Համլետ» պիեսը։</v>
      </c>
      <c r="D7332" s="6" t="str">
        <f>IFERROR(__xludf.DUMMYFUNCTION("GOOGLETRANSLATE(B7332,""en"",""hy"")"),"Ուիլյամ Շեքսպիր.")</f>
        <v>Ուիլյամ Շեքսպիր.</v>
      </c>
    </row>
    <row r="7333">
      <c r="A7333" s="5" t="s">
        <v>9142</v>
      </c>
      <c r="B7333" s="5" t="s">
        <v>7545</v>
      </c>
      <c r="C7333" s="5" t="str">
        <f>IFERROR(__xludf.DUMMYFUNCTION("GOOGLETRANSLATE(A7333,""en"",""hy"")"),"Ո՞ր քաղաքն է հայտնի որպես «Հավերժական քաղաք»:")</f>
        <v>Ո՞ր քաղաքն է հայտնի որպես «Հավերժական քաղաք»:</v>
      </c>
      <c r="D7333" s="6" t="str">
        <f>IFERROR(__xludf.DUMMYFUNCTION("GOOGLETRANSLATE(B7333,""en"",""hy"")"),"Հռոմ.")</f>
        <v>Հռոմ.</v>
      </c>
    </row>
    <row r="7334">
      <c r="A7334" s="5" t="s">
        <v>8372</v>
      </c>
      <c r="B7334" s="5" t="s">
        <v>9209</v>
      </c>
      <c r="C7334" s="5" t="str">
        <f>IFERROR(__xludf.DUMMYFUNCTION("GOOGLETRANSLATE(A7334,""en"",""hy"")"),"Ո՞րն է Ճապոնիայի ազգային կենդանին:")</f>
        <v>Ո՞րն է Ճապոնիայի ազգային կենդանին:</v>
      </c>
      <c r="D7334" s="6" t="str">
        <f>IFERROR(__xludf.DUMMYFUNCTION("GOOGLETRANSLATE(B7334,""en"",""hy"")"),"Ճապոնիայի ազգային կենդանին տանուկին է (ռակուն շուն):")</f>
        <v>Ճապոնիայի ազգային կենդանին տանուկին է (ռակուն շուն):</v>
      </c>
    </row>
    <row r="7335">
      <c r="A7335" s="5" t="s">
        <v>7528</v>
      </c>
      <c r="B7335" s="5" t="s">
        <v>9231</v>
      </c>
      <c r="C7335" s="5" t="str">
        <f>IFERROR(__xludf.DUMMYFUNCTION("GOOGLETRANSLATE(A7335,""en"",""hy"")"),"Ո՞վ է Գերմանիայի ներկայիս կանցլերը:")</f>
        <v>Ո՞վ է Գերմանիայի ներկայիս կանցլերը:</v>
      </c>
      <c r="D7335" s="6" t="str">
        <f>IFERROR(__xludf.DUMMYFUNCTION("GOOGLETRANSLATE(B7335,""en"",""hy"")"),"Գերմանիայի ներկայիս կանցլերն Անգելա Մերկելն է։")</f>
        <v>Գերմանիայի ներկայիս կանցլերն Անգելա Մերկելն է։</v>
      </c>
    </row>
    <row r="7336">
      <c r="A7336" s="5" t="s">
        <v>7520</v>
      </c>
      <c r="B7336" s="5" t="s">
        <v>3535</v>
      </c>
      <c r="C7336" s="5" t="str">
        <f>IFERROR(__xludf.DUMMYFUNCTION("GOOGLETRANSLATE(A7336,""en"",""hy"")"),"Ո՞ր երկիրն է հայտնի իր կենգուրուներով:")</f>
        <v>Ո՞ր երկիրն է հայտնի իր կենգուրուներով:</v>
      </c>
      <c r="D7336" s="6" t="str">
        <f>IFERROR(__xludf.DUMMYFUNCTION("GOOGLETRANSLATE(B7336,""en"",""hy"")"),"Ավստրալիա.")</f>
        <v>Ավստրալիա.</v>
      </c>
    </row>
    <row r="7337">
      <c r="A7337" s="5" t="s">
        <v>7502</v>
      </c>
      <c r="B7337" s="5" t="s">
        <v>8458</v>
      </c>
      <c r="C7337" s="5" t="str">
        <f>IFERROR(__xludf.DUMMYFUNCTION("GOOGLETRANSLATE(A7337,""en"",""hy"")"),"Քանի՞ կողմ ունի վեցանկյունը:")</f>
        <v>Քանի՞ կողմ ունի վեցանկյունը:</v>
      </c>
      <c r="D7337" s="6" t="str">
        <f>IFERROR(__xludf.DUMMYFUNCTION("GOOGLETRANSLATE(B7337,""en"",""hy"")"),"Վեցանկյունն ունի 6 կողմ։")</f>
        <v>Վեցանկյունն ունի 6 կողմ։</v>
      </c>
    </row>
    <row r="7338">
      <c r="A7338" s="5" t="s">
        <v>8275</v>
      </c>
      <c r="B7338" s="5" t="s">
        <v>7549</v>
      </c>
      <c r="C7338" s="5" t="str">
        <f>IFERROR(__xludf.DUMMYFUNCTION("GOOGLETRANSLATE(A7338,""en"",""hy"")"),"Ո՞վ է նկարել հայտնի «Մարգարտյա ականջօղով աղջիկը» ստեղծագործությունը:")</f>
        <v>Ո՞վ է նկարել հայտնի «Մարգարտյա ականջօղով աղջիկը» ստեղծագործությունը:</v>
      </c>
      <c r="D7338" s="6" t="str">
        <f>IFERROR(__xludf.DUMMYFUNCTION("GOOGLETRANSLATE(B7338,""en"",""hy"")"),"Յոհաննես Վերմեեր.")</f>
        <v>Յոհաննես Վերմեեր.</v>
      </c>
    </row>
    <row r="7339">
      <c r="A7339" s="5" t="s">
        <v>9428</v>
      </c>
      <c r="B7339" s="5" t="s">
        <v>9429</v>
      </c>
      <c r="C7339" s="5" t="str">
        <f>IFERROR(__xludf.DUMMYFUNCTION("GOOGLETRANSLATE(A7339,""en"",""hy"")"),"Ո՞րն է Արգենտինայի ազգային կենդանին:")</f>
        <v>Ո՞րն է Արգենտինայի ազգային կենդանին:</v>
      </c>
      <c r="D7339" s="6" t="str">
        <f>IFERROR(__xludf.DUMMYFUNCTION("GOOGLETRANSLATE(B7339,""en"",""hy"")"),"Յագուար.")</f>
        <v>Յագուար.</v>
      </c>
    </row>
    <row r="7340">
      <c r="A7340" s="5" t="s">
        <v>8314</v>
      </c>
      <c r="B7340" s="5" t="s">
        <v>8315</v>
      </c>
      <c r="C7340" s="5" t="str">
        <f>IFERROR(__xludf.DUMMYFUNCTION("GOOGLETRANSLATE(A7340,""en"",""hy"")"),"Ո՞ր տարում ավարտվեց Սառը պատերազմը:")</f>
        <v>Ո՞ր տարում ավարտվեց Սառը պատերազմը:</v>
      </c>
      <c r="D7340" s="6" t="str">
        <f>IFERROR(__xludf.DUMMYFUNCTION("GOOGLETRANSLATE(B7340,""en"",""hy"")"),"Սառը պատերազմն ավարտվեց 1991թ.")</f>
        <v>Սառը պատերազմն ավարտվեց 1991թ.</v>
      </c>
    </row>
    <row r="7341">
      <c r="A7341" s="5" t="s">
        <v>7698</v>
      </c>
      <c r="B7341" s="5" t="s">
        <v>7630</v>
      </c>
      <c r="C7341" s="5" t="str">
        <f>IFERROR(__xludf.DUMMYFUNCTION("GOOGLETRANSLATE(A7341,""en"",""hy"")"),"Ո՞վ է գրել «Հպարտություն և նախապաշարմունք» վեպը:")</f>
        <v>Ո՞վ է գրել «Հպարտություն և նախապաշարմունք» վեպը:</v>
      </c>
      <c r="D7341" s="6" t="str">
        <f>IFERROR(__xludf.DUMMYFUNCTION("GOOGLETRANSLATE(B7341,""en"",""hy"")"),"Ջեյն Օսթին.")</f>
        <v>Ջեյն Օսթին.</v>
      </c>
    </row>
    <row r="7342">
      <c r="A7342" s="5" t="s">
        <v>8643</v>
      </c>
      <c r="B7342" s="5" t="s">
        <v>7712</v>
      </c>
      <c r="C7342" s="5" t="str">
        <f>IFERROR(__xludf.DUMMYFUNCTION("GOOGLETRANSLATE(A7342,""en"",""hy"")"),"Ո՞ր քաղաքն է հայտնի որպես «Մեծ խնձոր»:")</f>
        <v>Ո՞ր քաղաքն է հայտնի որպես «Մեծ խնձոր»:</v>
      </c>
      <c r="D7342" s="6" t="str">
        <f>IFERROR(__xludf.DUMMYFUNCTION("GOOGLETRANSLATE(B7342,""en"",""hy"")"),"Նյու Յորք քաղաք.")</f>
        <v>Նյու Յորք քաղաք.</v>
      </c>
    </row>
    <row r="7343">
      <c r="A7343" s="5" t="s">
        <v>9430</v>
      </c>
      <c r="B7343" s="5" t="s">
        <v>9431</v>
      </c>
      <c r="C7343" s="5" t="str">
        <f>IFERROR(__xludf.DUMMYFUNCTION("GOOGLETRANSLATE(A7343,""en"",""hy"")"),"Ո՞րն է Ֆրանսիայի ազգային կենդանին:")</f>
        <v>Ո՞րն է Ֆրանսիայի ազգային կենդանին:</v>
      </c>
      <c r="D7343" s="6" t="str">
        <f>IFERROR(__xludf.DUMMYFUNCTION("GOOGLETRANSLATE(B7343,""en"",""hy"")"),"Ֆրանսիայի ազգային կենդանին գալլական աքլորն է։")</f>
        <v>Ֆրանսիայի ազգային կենդանին գալլական աքլորն է։</v>
      </c>
    </row>
    <row r="7344">
      <c r="A7344" s="5" t="s">
        <v>9432</v>
      </c>
      <c r="B7344" s="5" t="s">
        <v>7972</v>
      </c>
      <c r="C7344" s="5" t="str">
        <f>IFERROR(__xludf.DUMMYFUNCTION("GOOGLETRANSLATE(A7344,""en"",""hy"")"),"Ո՞ր երկիրն է հայտնի իր պանրով:")</f>
        <v>Ո՞ր երկիրն է հայտնի իր պանրով:</v>
      </c>
      <c r="D7344" s="6" t="str">
        <f>IFERROR(__xludf.DUMMYFUNCTION("GOOGLETRANSLATE(B7344,""en"",""hy"")"),"Ֆրանսիա.")</f>
        <v>Ֆրանսիա.</v>
      </c>
    </row>
    <row r="7345">
      <c r="A7345" s="5" t="s">
        <v>8673</v>
      </c>
      <c r="B7345" s="5" t="s">
        <v>8674</v>
      </c>
      <c r="C7345" s="5" t="str">
        <f>IFERROR(__xludf.DUMMYFUNCTION("GOOGLETRANSLATE(A7345,""en"",""hy"")"),"Քանի՞ դյույմ կա ոտքի վրա:")</f>
        <v>Քանի՞ դյույմ կա ոտքի վրա:</v>
      </c>
      <c r="D7345" s="6" t="str">
        <f>IFERROR(__xludf.DUMMYFUNCTION("GOOGLETRANSLATE(B7345,""en"",""hy"")"),"Ոտքի մեջ կա 12 դյույմ:")</f>
        <v>Ոտքի մեջ կա 12 դյույմ:</v>
      </c>
    </row>
    <row r="7346">
      <c r="A7346" s="5" t="s">
        <v>8310</v>
      </c>
      <c r="B7346" s="5" t="s">
        <v>7892</v>
      </c>
      <c r="C7346" s="5" t="str">
        <f>IFERROR(__xludf.DUMMYFUNCTION("GOOGLETRANSLATE(A7346,""en"",""hy"")"),"Ո՞վ է նկարել հայտնի «Ճիչ»-ը:")</f>
        <v>Ո՞վ է նկարել հայտնի «Ճիչ»-ը:</v>
      </c>
      <c r="D7346" s="6" t="str">
        <f>IFERROR(__xludf.DUMMYFUNCTION("GOOGLETRANSLATE(B7346,""en"",""hy"")"),"Էդվարդ Մունկ")</f>
        <v>Էդվարդ Մունկ</v>
      </c>
    </row>
    <row r="7347">
      <c r="A7347" s="5" t="s">
        <v>8233</v>
      </c>
      <c r="B7347" s="5" t="s">
        <v>9033</v>
      </c>
      <c r="C7347" s="5" t="str">
        <f>IFERROR(__xludf.DUMMYFUNCTION("GOOGLETRANSLATE(A7347,""en"",""hy"")"),"Ո՞րն է Գերմանիայի ազգային կենդանին:")</f>
        <v>Ո՞րն է Գերմանիայի ազգային կենդանին:</v>
      </c>
      <c r="D7347" s="6" t="str">
        <f>IFERROR(__xludf.DUMMYFUNCTION("GOOGLETRANSLATE(B7347,""en"",""hy"")"),"Գերմանիայի ազգային կենդանին արծիվն է։")</f>
        <v>Գերմանիայի ազգային կենդանին արծիվն է։</v>
      </c>
    </row>
    <row r="7348">
      <c r="A7348" s="5" t="s">
        <v>8495</v>
      </c>
      <c r="B7348" s="7">
        <v>1776.0</v>
      </c>
      <c r="C7348" s="5" t="str">
        <f>IFERROR(__xludf.DUMMYFUNCTION("GOOGLETRANSLATE(A7348,""en"",""hy"")"),"Ո՞ր թվականին է ստորագրվել Անկախության հռչակագիրը։")</f>
        <v>Ո՞ր թվականին է ստորագրվել Անկախության հռչակագիրը։</v>
      </c>
      <c r="D7348" s="6" t="str">
        <f>IFERROR(__xludf.DUMMYFUNCTION("GOOGLETRANSLATE(B7348,""en"",""hy"")"),"1776 թ")</f>
        <v>1776 թ</v>
      </c>
    </row>
    <row r="7349">
      <c r="A7349" s="5" t="s">
        <v>8422</v>
      </c>
      <c r="B7349" s="5" t="s">
        <v>7661</v>
      </c>
      <c r="C7349" s="5" t="str">
        <f>IFERROR(__xludf.DUMMYFUNCTION("GOOGLETRANSLATE(A7349,""en"",""hy"")"),"Ո՞վ է գրել «Մեծն Գեթսբի» գիրքը:")</f>
        <v>Ո՞վ է գրել «Մեծն Գեթսբի» գիրքը:</v>
      </c>
      <c r="D7349" s="6" t="str">
        <f>IFERROR(__xludf.DUMMYFUNCTION("GOOGLETRANSLATE(B7349,""en"",""hy"")"),"F. Scott Fitzgerald.")</f>
        <v>F. Scott Fitzgerald.</v>
      </c>
    </row>
    <row r="7350">
      <c r="A7350" s="5" t="s">
        <v>9433</v>
      </c>
      <c r="B7350" s="5" t="s">
        <v>9434</v>
      </c>
      <c r="C7350" s="5" t="str">
        <f>IFERROR(__xludf.DUMMYFUNCTION("GOOGLETRANSLATE(A7350,""en"",""hy"")"),"Ո՞ր քաղաքն է հայտնի որպես «Քամոտ քաղաք»:")</f>
        <v>Ո՞ր քաղաքն է հայտնի որպես «Քամոտ քաղաք»:</v>
      </c>
      <c r="D7350" s="6" t="str">
        <f>IFERROR(__xludf.DUMMYFUNCTION("GOOGLETRANSLATE(B7350,""en"",""hy"")"),"Չիկագո.")</f>
        <v>Չիկագո.</v>
      </c>
    </row>
    <row r="7351">
      <c r="A7351" s="5" t="s">
        <v>9041</v>
      </c>
      <c r="B7351" s="5" t="s">
        <v>9435</v>
      </c>
      <c r="C7351" s="5" t="str">
        <f>IFERROR(__xludf.DUMMYFUNCTION("GOOGLETRANSLATE(A7351,""en"",""hy"")"),"Ո՞րն է Իտալիայի ազգային կենդանին:")</f>
        <v>Ո՞րն է Իտալիայի ազգային կենդանին:</v>
      </c>
      <c r="D7351" s="6" t="str">
        <f>IFERROR(__xludf.DUMMYFUNCTION("GOOGLETRANSLATE(B7351,""en"",""hy"")"),"Իտալիայի ազգային կենդանին իտալական գայլն է։")</f>
        <v>Իտալիայի ազգային կենդանին իտալական գայլն է։</v>
      </c>
    </row>
    <row r="7352">
      <c r="A7352" s="5" t="s">
        <v>7511</v>
      </c>
      <c r="B7352" s="5" t="s">
        <v>7512</v>
      </c>
      <c r="C7352" s="5" t="str">
        <f>IFERROR(__xludf.DUMMYFUNCTION("GOOGLETRANSLATE(A7352,""en"",""hy"")"),"Ո՞ր երկիրն է հայտնի իր բուրգերով:")</f>
        <v>Ո՞ր երկիրն է հայտնի իր բուրգերով:</v>
      </c>
      <c r="D7352" s="6" t="str">
        <f>IFERROR(__xludf.DUMMYFUNCTION("GOOGLETRANSLATE(B7352,""en"",""hy"")"),"Եգիպտոս.")</f>
        <v>Եգիպտոս.</v>
      </c>
    </row>
    <row r="7353">
      <c r="A7353" s="5" t="s">
        <v>8053</v>
      </c>
      <c r="B7353" s="5" t="s">
        <v>8054</v>
      </c>
      <c r="C7353" s="5" t="str">
        <f>IFERROR(__xludf.DUMMYFUNCTION("GOOGLETRANSLATE(A7353,""en"",""hy"")"),"Քանի՞ կողմ ունի ութանկյունը:")</f>
        <v>Քանի՞ կողմ ունի ութանկյունը:</v>
      </c>
      <c r="D7353" s="6" t="str">
        <f>IFERROR(__xludf.DUMMYFUNCTION("GOOGLETRANSLATE(B7353,""en"",""hy"")"),"Ութանկյունն ունի ութ կողմ:")</f>
        <v>Ութանկյունն ունի ութ կողմ:</v>
      </c>
    </row>
    <row r="7354">
      <c r="A7354" s="5" t="s">
        <v>8264</v>
      </c>
      <c r="B7354" s="5" t="s">
        <v>7621</v>
      </c>
      <c r="C7354" s="5" t="str">
        <f>IFERROR(__xludf.DUMMYFUNCTION("GOOGLETRANSLATE(A7354,""en"",""hy"")"),"Ո՞վ է նկարել հայտնի «Վեներայի ծնունդը» ստեղծագործությունը:")</f>
        <v>Ո՞վ է նկարել հայտնի «Վեներայի ծնունդը» ստեղծագործությունը:</v>
      </c>
      <c r="D7354" s="6" t="str">
        <f>IFERROR(__xludf.DUMMYFUNCTION("GOOGLETRANSLATE(B7354,""en"",""hy"")"),"Սանդրո Բոտիչելի.")</f>
        <v>Սանդրո Բոտիչելի.</v>
      </c>
    </row>
    <row r="7355">
      <c r="A7355" s="5" t="s">
        <v>9038</v>
      </c>
      <c r="B7355" s="5" t="s">
        <v>9039</v>
      </c>
      <c r="C7355" s="5" t="str">
        <f>IFERROR(__xludf.DUMMYFUNCTION("GOOGLETRANSLATE(A7355,""en"",""hy"")"),"Ո՞րն է Մեքսիկայի ազգային կենդանին:")</f>
        <v>Ո՞րն է Մեքսիկայի ազգային կենդանին:</v>
      </c>
      <c r="D7355" s="6" t="str">
        <f>IFERROR(__xludf.DUMMYFUNCTION("GOOGLETRANSLATE(B7355,""en"",""hy"")"),"Մեքսիկայի ազգային կենդանին ոսկե արծիվն է:")</f>
        <v>Մեքսիկայի ազգային կենդանին ոսկե արծիվն է:</v>
      </c>
    </row>
    <row r="7356">
      <c r="A7356" s="5" t="s">
        <v>8327</v>
      </c>
      <c r="B7356" s="5" t="s">
        <v>7837</v>
      </c>
      <c r="C7356" s="5" t="str">
        <f>IFERROR(__xludf.DUMMYFUNCTION("GOOGLETRANSLATE(A7356,""en"",""hy"")"),"Ո՞ր թվականին սկսվեց Առաջին համաշխարհային պատերազմը:")</f>
        <v>Ո՞ր թվականին սկսվեց Առաջին համաշխարհային պատերազմը:</v>
      </c>
      <c r="D7356" s="6" t="str">
        <f>IFERROR(__xludf.DUMMYFUNCTION("GOOGLETRANSLATE(B7356,""en"",""hy"")"),"Առաջին համաշխարհային պատերազմը սկսվել է 1914 թ.")</f>
        <v>Առաջին համաշխարհային պատերազմը սկսվել է 1914 թ.</v>
      </c>
    </row>
    <row r="7357">
      <c r="A7357" s="5" t="s">
        <v>7726</v>
      </c>
      <c r="B7357" s="5" t="s">
        <v>1016</v>
      </c>
      <c r="C7357" s="5" t="str">
        <f>IFERROR(__xludf.DUMMYFUNCTION("GOOGLETRANSLATE(A7357,""en"",""hy"")"),"Ո՞վ է գրել «Մակբեթ» պիեսը։")</f>
        <v>Ո՞վ է գրել «Մակբեթ» պիեսը։</v>
      </c>
      <c r="D7357" s="6" t="str">
        <f>IFERROR(__xludf.DUMMYFUNCTION("GOOGLETRANSLATE(B7357,""en"",""hy"")"),"Ուիլյամ Շեքսպիր.")</f>
        <v>Ուիլյամ Շեքսպիր.</v>
      </c>
    </row>
    <row r="7358">
      <c r="A7358" s="5" t="s">
        <v>9337</v>
      </c>
      <c r="B7358" s="5" t="s">
        <v>7501</v>
      </c>
      <c r="C7358" s="5" t="str">
        <f>IFERROR(__xludf.DUMMYFUNCTION("GOOGLETRANSLATE(A7358,""en"",""hy"")"),"Ո՞ր քաղաքն է հայտնի որպես «Լույսերի քաղաք»:")</f>
        <v>Ո՞ր քաղաքն է հայտնի որպես «Լույսերի քաղաք»:</v>
      </c>
      <c r="D7358" s="6" t="str">
        <f>IFERROR(__xludf.DUMMYFUNCTION("GOOGLETRANSLATE(B7358,""en"",""hy"")"),"Փարիզ.")</f>
        <v>Փարիզ.</v>
      </c>
    </row>
    <row r="7359">
      <c r="A7359" s="5" t="s">
        <v>9436</v>
      </c>
      <c r="B7359" s="5" t="s">
        <v>9437</v>
      </c>
      <c r="C7359" s="5" t="str">
        <f>IFERROR(__xludf.DUMMYFUNCTION("GOOGLETRANSLATE(A7359,""en"",""hy"")"),"Ո՞րն է Իսպանիայի ազգային կենդանին:")</f>
        <v>Ո՞րն է Իսպանիայի ազգային կենդանին:</v>
      </c>
      <c r="D7359" s="6" t="str">
        <f>IFERROR(__xludf.DUMMYFUNCTION("GOOGLETRANSLATE(B7359,""en"",""hy"")"),"Իսպանիայի ազգային կենդանին ցուլն է։")</f>
        <v>Իսպանիայի ազգային կենդանին ցուլն է։</v>
      </c>
    </row>
    <row r="7360">
      <c r="A7360" s="5" t="s">
        <v>7588</v>
      </c>
      <c r="B7360" s="5" t="s">
        <v>1958</v>
      </c>
      <c r="C7360" s="5" t="str">
        <f>IFERROR(__xludf.DUMMYFUNCTION("GOOGLETRANSLATE(A7360,""en"",""hy"")"),"Ո՞ր երկիրն է հայտնի իր կակաչներով:")</f>
        <v>Ո՞ր երկիրն է հայտնի իր կակաչներով:</v>
      </c>
      <c r="D7360" s="6" t="str">
        <f>IFERROR(__xludf.DUMMYFUNCTION("GOOGLETRANSLATE(B7360,""en"",""hy"")"),"Նիդեռլանդներ.")</f>
        <v>Նիդեռլանդներ.</v>
      </c>
    </row>
    <row r="7361">
      <c r="A7361" s="5" t="s">
        <v>9154</v>
      </c>
      <c r="B7361" s="5" t="s">
        <v>9155</v>
      </c>
      <c r="C7361" s="5" t="str">
        <f>IFERROR(__xludf.DUMMYFUNCTION("GOOGLETRANSLATE(A7361,""en"",""hy"")"),"Քանի՞ ոտք կա մեկ մղոնում:")</f>
        <v>Քանի՞ ոտք կա մեկ մղոնում:</v>
      </c>
      <c r="D7361" s="6" t="str">
        <f>IFERROR(__xludf.DUMMYFUNCTION("GOOGLETRANSLATE(B7361,""en"",""hy"")"),"Մեկ մղոնում կա 5280 ֆուտ:")</f>
        <v>Մեկ մղոնում կա 5280 ֆուտ:</v>
      </c>
    </row>
    <row r="7362">
      <c r="A7362" s="5" t="s">
        <v>8371</v>
      </c>
      <c r="B7362" s="5" t="s">
        <v>7474</v>
      </c>
      <c r="C7362" s="5" t="str">
        <f>IFERROR(__xludf.DUMMYFUNCTION("GOOGLETRANSLATE(A7362,""en"",""hy"")"),"Ո՞վ է նկարել հայտնի «Ադամի ստեղծումը» ստեղծագործությունը:")</f>
        <v>Ո՞վ է նկարել հայտնի «Ադամի ստեղծումը» ստեղծագործությունը:</v>
      </c>
      <c r="D7362" s="6" t="str">
        <f>IFERROR(__xludf.DUMMYFUNCTION("GOOGLETRANSLATE(B7362,""en"",""hy"")"),"Միքելանջելո.")</f>
        <v>Միքելանջելո.</v>
      </c>
    </row>
    <row r="7363">
      <c r="A7363" s="5" t="s">
        <v>7817</v>
      </c>
      <c r="B7363" s="5" t="s">
        <v>7818</v>
      </c>
      <c r="C7363" s="5" t="str">
        <f>IFERROR(__xludf.DUMMYFUNCTION("GOOGLETRANSLATE(A7363,""en"",""hy"")"),"Ո՞րն է Կանադայի ազգային կենդանին:")</f>
        <v>Ո՞րն է Կանադայի ազգային կենդանին:</v>
      </c>
      <c r="D7363" s="6" t="str">
        <f>IFERROR(__xludf.DUMMYFUNCTION("GOOGLETRANSLATE(B7363,""en"",""hy"")"),"Կանադայի ազգային կենդանին կեղևն է:")</f>
        <v>Կանադայի ազգային կենդանին կեղևն է:</v>
      </c>
    </row>
    <row r="7364">
      <c r="A7364" s="5" t="s">
        <v>8860</v>
      </c>
      <c r="B7364" s="7">
        <v>1865.0</v>
      </c>
      <c r="C7364" s="5" t="str">
        <f>IFERROR(__xludf.DUMMYFUNCTION("GOOGLETRANSLATE(A7364,""en"",""hy"")"),"Ո՞ր թվականին ավարտվեց Ամերիկայի քաղաքացիական պատերազմը:")</f>
        <v>Ո՞ր թվականին ավարտվեց Ամերիկայի քաղաքացիական պատերազմը:</v>
      </c>
      <c r="D7364" s="6" t="str">
        <f>IFERROR(__xludf.DUMMYFUNCTION("GOOGLETRANSLATE(B7364,""en"",""hy"")"),"1865 թ")</f>
        <v>1865 թ</v>
      </c>
    </row>
    <row r="7365">
      <c r="A7365" s="5" t="s">
        <v>8010</v>
      </c>
      <c r="B7365" s="5" t="s">
        <v>7578</v>
      </c>
      <c r="C7365" s="5" t="str">
        <f>IFERROR(__xludf.DUMMYFUNCTION("GOOGLETRANSLATE(A7365,""en"",""hy"")"),"Ո՞վ է գրել «Մոբի-Դիկ» վեպը:")</f>
        <v>Ո՞վ է գրել «Մոբի-Դիկ» վեպը:</v>
      </c>
      <c r="D7365" s="6" t="str">
        <f>IFERROR(__xludf.DUMMYFUNCTION("GOOGLETRANSLATE(B7365,""en"",""hy"")"),"Հերման Մելվիլ.")</f>
        <v>Հերման Մելվիլ.</v>
      </c>
    </row>
    <row r="7366">
      <c r="A7366" s="5" t="s">
        <v>9438</v>
      </c>
      <c r="B7366" s="5" t="s">
        <v>9439</v>
      </c>
      <c r="C7366" s="5" t="str">
        <f>IFERROR(__xludf.DUMMYFUNCTION("GOOGLETRANSLATE(A7366,""en"",""hy"")"),"Ո՞ր քաղաքն է հայտնի որպես «Եղբայրական սիրո քաղաք»:")</f>
        <v>Ո՞ր քաղաքն է հայտնի որպես «Եղբայրական սիրո քաղաք»:</v>
      </c>
      <c r="D7366" s="6" t="str">
        <f>IFERROR(__xludf.DUMMYFUNCTION("GOOGLETRANSLATE(B7366,""en"",""hy"")"),"Ֆիլադելֆիա")</f>
        <v>Ֆիլադելֆիա</v>
      </c>
    </row>
    <row r="7367">
      <c r="A7367" s="5" t="s">
        <v>7791</v>
      </c>
      <c r="B7367" s="5" t="s">
        <v>8128</v>
      </c>
      <c r="C7367" s="5" t="str">
        <f>IFERROR(__xludf.DUMMYFUNCTION("GOOGLETRANSLATE(A7367,""en"",""hy"")"),"Ո՞րն է Ավստրալիայի ազգային կենդանին:")</f>
        <v>Ո՞րն է Ավստրալիայի ազգային կենդանին:</v>
      </c>
      <c r="D7367" s="6" t="str">
        <f>IFERROR(__xludf.DUMMYFUNCTION("GOOGLETRANSLATE(B7367,""en"",""hy"")"),"Կենգուրու.")</f>
        <v>Կենգուրու.</v>
      </c>
    </row>
    <row r="7368">
      <c r="A7368" s="5" t="s">
        <v>7624</v>
      </c>
      <c r="B7368" s="5" t="s">
        <v>8614</v>
      </c>
      <c r="C7368" s="5" t="str">
        <f>IFERROR(__xludf.DUMMYFUNCTION("GOOGLETRANSLATE(A7368,""en"",""hy"")"),"Ո՞ր երկիրն է հայտնի իր ֆյորդներով:")</f>
        <v>Ո՞ր երկիրն է հայտնի իր ֆյորդներով:</v>
      </c>
      <c r="D7368" s="6" t="str">
        <f>IFERROR(__xludf.DUMMYFUNCTION("GOOGLETRANSLATE(B7368,""en"",""hy"")"),"Նորվեգիա.")</f>
        <v>Նորվեգիա.</v>
      </c>
    </row>
    <row r="7369">
      <c r="A7369" s="5" t="s">
        <v>8088</v>
      </c>
      <c r="B7369" s="5" t="s">
        <v>8228</v>
      </c>
      <c r="C7369" s="5" t="str">
        <f>IFERROR(__xludf.DUMMYFUNCTION("GOOGLETRANSLATE(A7369,""en"",""hy"")"),"Քանի՞ կողմ ունի հնգանկյունը:")</f>
        <v>Քանի՞ կողմ ունի հնգանկյունը:</v>
      </c>
      <c r="D7369" s="6" t="str">
        <f>IFERROR(__xludf.DUMMYFUNCTION("GOOGLETRANSLATE(B7369,""en"",""hy"")"),"Պենտագոնն ունի հինգ կողմ:")</f>
        <v>Պենտագոնն ունի հինգ կողմ:</v>
      </c>
    </row>
    <row r="7370">
      <c r="A7370" s="5" t="s">
        <v>9440</v>
      </c>
      <c r="B7370" s="5" t="s">
        <v>7474</v>
      </c>
      <c r="C7370" s="5" t="str">
        <f>IFERROR(__xludf.DUMMYFUNCTION("GOOGLETRANSLATE(A7370,""en"",""hy"")"),"Ո՞վ է նկարել հայտնի «Վերջին դատաստանը» ստեղծագործությունը:")</f>
        <v>Ո՞վ է նկարել հայտնի «Վերջին դատաստանը» ստեղծագործությունը:</v>
      </c>
      <c r="D7370" s="6" t="str">
        <f>IFERROR(__xludf.DUMMYFUNCTION("GOOGLETRANSLATE(B7370,""en"",""hy"")"),"Միքելանջելո.")</f>
        <v>Միքելանջելո.</v>
      </c>
    </row>
    <row r="7371">
      <c r="A7371" s="5" t="s">
        <v>8151</v>
      </c>
      <c r="B7371" s="5" t="s">
        <v>8152</v>
      </c>
      <c r="C7371" s="5" t="str">
        <f>IFERROR(__xludf.DUMMYFUNCTION("GOOGLETRANSLATE(A7371,""en"",""hy"")"),"Ո՞րն է Հնդկաստանի ազգային կենդանին:")</f>
        <v>Ո՞րն է Հնդկաստանի ազգային կենդանին:</v>
      </c>
      <c r="D7371" s="6" t="str">
        <f>IFERROR(__xludf.DUMMYFUNCTION("GOOGLETRANSLATE(B7371,""en"",""hy"")"),"Հնդկաստանի ազգային կենդանին Բենգալյան վագրն է:")</f>
        <v>Հնդկաստանի ազգային կենդանին Բենգալյան վագրն է:</v>
      </c>
    </row>
    <row r="7372">
      <c r="A7372" s="5" t="s">
        <v>9441</v>
      </c>
      <c r="B7372" s="5" t="s">
        <v>9442</v>
      </c>
      <c r="C7372" s="5" t="str">
        <f>IFERROR(__xludf.DUMMYFUNCTION("GOOGLETRANSLATE(A7372,""en"",""hy"")"),"Ո՞ր թվականին ավարտվեց Իսպանիայի քաղաքացիական պատերազմը:")</f>
        <v>Ո՞ր թվականին ավարտվեց Իսպանիայի քաղաքացիական պատերազմը:</v>
      </c>
      <c r="D7372" s="6" t="str">
        <f>IFERROR(__xludf.DUMMYFUNCTION("GOOGLETRANSLATE(B7372,""en"",""hy"")"),"Իսպանիայի քաղաքացիական պատերազմն ավարտվեց 1939 թվականին։")</f>
        <v>Իսպանիայի քաղաքացիական պատերազմն ավարտվեց 1939 թվականին։</v>
      </c>
    </row>
    <row r="7373">
      <c r="A7373" s="5" t="s">
        <v>8441</v>
      </c>
      <c r="B7373" s="5" t="s">
        <v>7560</v>
      </c>
      <c r="C7373" s="5" t="str">
        <f>IFERROR(__xludf.DUMMYFUNCTION("GOOGLETRANSLATE(A7373,""en"",""hy"")"),"Ո՞վ է գրել «The Catcher in the Rye» գիրքը:")</f>
        <v>Ո՞վ է գրել «The Catcher in the Rye» գիրքը:</v>
      </c>
      <c r="D7373" s="6" t="str">
        <f>IFERROR(__xludf.DUMMYFUNCTION("GOOGLETRANSLATE(B7373,""en"",""hy"")"),"Ջ.Դ.Սելինջեր.")</f>
        <v>Ջ.Դ.Սելինջեր.</v>
      </c>
    </row>
    <row r="7374">
      <c r="A7374" s="5" t="s">
        <v>9443</v>
      </c>
      <c r="B7374" s="5" t="s">
        <v>9444</v>
      </c>
      <c r="C7374" s="5" t="str">
        <f>IFERROR(__xludf.DUMMYFUNCTION("GOOGLETRANSLATE(A7374,""en"",""hy"")"),"Ո՞ր քաղաքն է հայտնի որպես «Հրեշտակների քաղաք»:")</f>
        <v>Ո՞ր քաղաքն է հայտնի որպես «Հրեշտակների քաղաք»:</v>
      </c>
      <c r="D7374" s="6" t="str">
        <f>IFERROR(__xludf.DUMMYFUNCTION("GOOGLETRANSLATE(B7374,""en"",""hy"")"),"Լոս Անջելես.")</f>
        <v>Լոս Անջելես.</v>
      </c>
    </row>
    <row r="7375">
      <c r="A7375" s="5" t="s">
        <v>8198</v>
      </c>
      <c r="B7375" s="5" t="s">
        <v>8199</v>
      </c>
      <c r="C7375" s="5" t="str">
        <f>IFERROR(__xludf.DUMMYFUNCTION("GOOGLETRANSLATE(A7375,""en"",""hy"")"),"Ո՞րն է Չինաստանի ազգային կենդանին:")</f>
        <v>Ո՞րն է Չինաստանի ազգային կենդանին:</v>
      </c>
      <c r="D7375" s="6" t="str">
        <f>IFERROR(__xludf.DUMMYFUNCTION("GOOGLETRANSLATE(B7375,""en"",""hy"")"),"Չինաստանի ազգային կենդանին հսկա պանդան է։")</f>
        <v>Չինաստանի ազգային կենդանին հսկա պանդան է։</v>
      </c>
    </row>
    <row r="7376">
      <c r="A7376" s="5" t="s">
        <v>7520</v>
      </c>
      <c r="B7376" s="5" t="s">
        <v>3535</v>
      </c>
      <c r="C7376" s="5" t="str">
        <f>IFERROR(__xludf.DUMMYFUNCTION("GOOGLETRANSLATE(A7376,""en"",""hy"")"),"Ո՞ր երկիրն է հայտնի իր կենգուրուներով:")</f>
        <v>Ո՞ր երկիրն է հայտնի իր կենգուրուներով:</v>
      </c>
      <c r="D7376" s="6" t="str">
        <f>IFERROR(__xludf.DUMMYFUNCTION("GOOGLETRANSLATE(B7376,""en"",""hy"")"),"Ավստրալիա.")</f>
        <v>Ավստրալիա.</v>
      </c>
    </row>
    <row r="7377">
      <c r="A7377" s="5" t="s">
        <v>8964</v>
      </c>
      <c r="B7377" s="5" t="s">
        <v>8965</v>
      </c>
      <c r="C7377" s="5" t="str">
        <f>IFERROR(__xludf.DUMMYFUNCTION("GOOGLETRANSLATE(A7377,""en"",""hy"")"),"Քանի՞ վայրկյան է մեկ րոպեում:")</f>
        <v>Քանի՞ վայրկյան է մեկ րոպեում:</v>
      </c>
      <c r="D7377" s="6" t="str">
        <f>IFERROR(__xludf.DUMMYFUNCTION("GOOGLETRANSLATE(B7377,""en"",""hy"")"),"Մեկ րոպեում կա 60 վայրկյան:")</f>
        <v>Մեկ րոպեում կա 60 վայրկյան:</v>
      </c>
    </row>
    <row r="7378">
      <c r="A7378" s="5" t="s">
        <v>8371</v>
      </c>
      <c r="B7378" s="5" t="s">
        <v>7474</v>
      </c>
      <c r="C7378" s="5" t="str">
        <f>IFERROR(__xludf.DUMMYFUNCTION("GOOGLETRANSLATE(A7378,""en"",""hy"")"),"Ո՞վ է նկարել հայտնի «Ադամի ստեղծումը» ստեղծագործությունը:")</f>
        <v>Ո՞վ է նկարել հայտնի «Ադամի ստեղծումը» ստեղծագործությունը:</v>
      </c>
      <c r="D7378" s="6" t="str">
        <f>IFERROR(__xludf.DUMMYFUNCTION("GOOGLETRANSLATE(B7378,""en"",""hy"")"),"Միքելանջելո.")</f>
        <v>Միքելանջելո.</v>
      </c>
    </row>
    <row r="7379">
      <c r="A7379" s="5" t="s">
        <v>9027</v>
      </c>
      <c r="B7379" s="5" t="s">
        <v>9028</v>
      </c>
      <c r="C7379" s="5" t="str">
        <f>IFERROR(__xludf.DUMMYFUNCTION("GOOGLETRANSLATE(A7379,""en"",""hy"")"),"Ո՞րն է Բրազիլիայի ազգային կենդանին:")</f>
        <v>Ո՞րն է Բրազիլիայի ազգային կենդանին:</v>
      </c>
      <c r="D7379" s="6" t="str">
        <f>IFERROR(__xludf.DUMMYFUNCTION("GOOGLETRANSLATE(B7379,""en"",""hy"")"),"Բրազիլիայի ազգային կենդանին յագուարն է։")</f>
        <v>Բրազիլիայի ազգային կենդանին յագուարն է։</v>
      </c>
    </row>
    <row r="7380">
      <c r="A7380" s="5" t="s">
        <v>9445</v>
      </c>
      <c r="B7380" s="5" t="s">
        <v>9446</v>
      </c>
      <c r="C7380" s="5" t="str">
        <f>IFERROR(__xludf.DUMMYFUNCTION("GOOGLETRANSLATE(A7380,""en"",""hy"")"),"Ո՞ր թվականին է սկսվել Վերածննդի դարաշրջանը:")</f>
        <v>Ո՞ր թվականին է սկսվել Վերածննդի դարաշրջանը:</v>
      </c>
      <c r="D7380" s="6" t="str">
        <f>IFERROR(__xludf.DUMMYFUNCTION("GOOGLETRANSLATE(B7380,""en"",""hy"")"),"Վերածննդի դարաշրջանը սկսվել է 14-րդ դարում։")</f>
        <v>Վերածննդի դարաշրջանը սկսվել է 14-րդ դարում։</v>
      </c>
    </row>
    <row r="7381">
      <c r="A7381" s="5" t="s">
        <v>9447</v>
      </c>
      <c r="B7381" s="5" t="s">
        <v>1016</v>
      </c>
      <c r="C7381" s="5" t="str">
        <f>IFERROR(__xludf.DUMMYFUNCTION("GOOGLETRANSLATE(A7381,""en"",""hy"")"),"Ո՞վ է գրել հայտնի «Ռոմեո և Ջուլիետ» պիեսը:")</f>
        <v>Ո՞վ է գրել հայտնի «Ռոմեո և Ջուլիետ» պիեսը:</v>
      </c>
      <c r="D7381" s="6" t="str">
        <f>IFERROR(__xludf.DUMMYFUNCTION("GOOGLETRANSLATE(B7381,""en"",""hy"")"),"Ուիլյամ Շեքսպիր.")</f>
        <v>Ուիլյամ Շեքսպիր.</v>
      </c>
    </row>
    <row r="7382">
      <c r="A7382" s="5" t="s">
        <v>7461</v>
      </c>
      <c r="B7382" s="5" t="s">
        <v>7462</v>
      </c>
      <c r="C7382" s="5" t="str">
        <f>IFERROR(__xludf.DUMMYFUNCTION("GOOGLETRANSLATE(A7382,""en"",""hy"")"),"Ո՞րն է մարդու մարմնի ամենամեծ օրգանը:")</f>
        <v>Ո՞րն է մարդու մարմնի ամենամեծ օրգանը:</v>
      </c>
      <c r="D7382" s="6" t="str">
        <f>IFERROR(__xludf.DUMMYFUNCTION("GOOGLETRANSLATE(B7382,""en"",""hy"")"),"Մաշկը.")</f>
        <v>Մաշկը.</v>
      </c>
    </row>
    <row r="7383">
      <c r="A7383" s="5" t="s">
        <v>7450</v>
      </c>
      <c r="B7383" s="5" t="s">
        <v>7451</v>
      </c>
      <c r="C7383" s="5" t="str">
        <f>IFERROR(__xludf.DUMMYFUNCTION("GOOGLETRANSLATE(A7383,""en"",""hy"")"),"Ո՞րն է Ավստրալիայի մայրաքաղաքը:")</f>
        <v>Ո՞րն է Ավստրալիայի մայրաքաղաքը:</v>
      </c>
      <c r="D7383" s="6" t="str">
        <f>IFERROR(__xludf.DUMMYFUNCTION("GOOGLETRANSLATE(B7383,""en"",""hy"")"),"Կանբերա.")</f>
        <v>Կանբերա.</v>
      </c>
    </row>
    <row r="7384">
      <c r="A7384" s="5" t="s">
        <v>8012</v>
      </c>
      <c r="B7384" s="5" t="s">
        <v>7446</v>
      </c>
      <c r="C7384" s="5" t="str">
        <f>IFERROR(__xludf.DUMMYFUNCTION("GOOGLETRANSLATE(A7384,""en"",""hy"")"),"Ո՞ր մոլորակն է հայտնի որպես Կարմիր մոլորակ:")</f>
        <v>Ո՞ր մոլորակն է հայտնի որպես Կարմիր մոլորակ:</v>
      </c>
      <c r="D7384" s="6" t="str">
        <f>IFERROR(__xludf.DUMMYFUNCTION("GOOGLETRANSLATE(B7384,""en"",""hy"")"),"Մարս.")</f>
        <v>Մարս.</v>
      </c>
    </row>
    <row r="7385">
      <c r="A7385" s="5" t="s">
        <v>7447</v>
      </c>
      <c r="B7385" s="5" t="s">
        <v>7448</v>
      </c>
      <c r="C7385" s="5" t="str">
        <f>IFERROR(__xludf.DUMMYFUNCTION("GOOGLETRANSLATE(A7385,""en"",""hy"")"),"Ո՞վ է նկարել Մոնա Լիզան:")</f>
        <v>Ո՞վ է նկարել Մոնա Լիզան:</v>
      </c>
      <c r="D7385" s="6" t="str">
        <f>IFERROR(__xludf.DUMMYFUNCTION("GOOGLETRANSLATE(B7385,""en"",""hy"")"),"Լեոնարդո դա Վինչի.")</f>
        <v>Լեոնարդո դա Վինչի.</v>
      </c>
    </row>
    <row r="7386">
      <c r="A7386" s="5" t="s">
        <v>7452</v>
      </c>
      <c r="B7386" s="5" t="s">
        <v>7453</v>
      </c>
      <c r="C7386" s="5" t="str">
        <f>IFERROR(__xludf.DUMMYFUNCTION("GOOGLETRANSLATE(A7386,""en"",""hy"")"),"Ո՞րն է ոսկու քիմիական նշանը:")</f>
        <v>Ո՞րն է ոսկու քիմիական նշանը:</v>
      </c>
      <c r="D7386" s="6" t="str">
        <f>IFERROR(__xludf.DUMMYFUNCTION("GOOGLETRANSLATE(B7386,""en"",""hy"")"),"Ոսկու քիմիական նշանը Au-ն է:")</f>
        <v>Ոսկու քիմիական նշանը Au-ն է:</v>
      </c>
    </row>
    <row r="7387">
      <c r="A7387" s="5" t="s">
        <v>8161</v>
      </c>
      <c r="B7387" s="5" t="s">
        <v>8612</v>
      </c>
      <c r="C7387" s="5" t="str">
        <f>IFERROR(__xludf.DUMMYFUNCTION("GOOGLETRANSLATE(A7387,""en"",""hy"")"),"Ո՞րն է Ճապոնիայի ազգային ծաղիկը:")</f>
        <v>Ո՞րն է Ճապոնիայի ազգային ծաղիկը:</v>
      </c>
      <c r="D7387" s="6" t="str">
        <f>IFERROR(__xludf.DUMMYFUNCTION("GOOGLETRANSLATE(B7387,""en"",""hy"")"),"Բալի ծաղիկ.")</f>
        <v>Բալի ծաղիկ.</v>
      </c>
    </row>
    <row r="7388">
      <c r="A7388" s="5" t="s">
        <v>8694</v>
      </c>
      <c r="B7388" s="7">
        <v>1776.0</v>
      </c>
      <c r="C7388" s="5" t="str">
        <f>IFERROR(__xludf.DUMMYFUNCTION("GOOGLETRANSLATE(A7388,""en"",""hy"")"),"Ո՞ր թվականին է Միացյալ Նահանգները հռչակել իր անկախությունը Մեծ Բրիտանիայից.")</f>
        <v>Ո՞ր թվականին է Միացյալ Նահանգները հռչակել իր անկախությունը Մեծ Բրիտանիայից.</v>
      </c>
      <c r="D7388" s="6" t="str">
        <f>IFERROR(__xludf.DUMMYFUNCTION("GOOGLETRANSLATE(B7388,""en"",""hy"")"),"1776 թ")</f>
        <v>1776 թ</v>
      </c>
    </row>
    <row r="7389">
      <c r="A7389" s="5" t="s">
        <v>7485</v>
      </c>
      <c r="B7389" s="5" t="s">
        <v>7486</v>
      </c>
      <c r="C7389" s="5" t="str">
        <f>IFERROR(__xludf.DUMMYFUNCTION("GOOGLETRANSLATE(A7389,""en"",""hy"")"),"Ո՞վ է Հարի Փոթերի շարքի հեղինակը:")</f>
        <v>Ո՞վ է Հարի Փոթերի շարքի հեղինակը:</v>
      </c>
      <c r="D7389" s="6" t="str">
        <f>IFERROR(__xludf.DUMMYFUNCTION("GOOGLETRANSLATE(B7389,""en"",""hy"")"),"Ջ.Կ. Ռոուլինգ.")</f>
        <v>Ջ.Կ. Ռոուլինգ.</v>
      </c>
    </row>
    <row r="7390">
      <c r="A7390" s="5" t="s">
        <v>8297</v>
      </c>
      <c r="B7390" s="5" t="s">
        <v>7535</v>
      </c>
      <c r="C7390" s="5" t="str">
        <f>IFERROR(__xludf.DUMMYFUNCTION("GOOGLETRANSLATE(A7390,""en"",""hy"")"),"Ո՞ւմ է վերագրվում հեռախոսի հայտնագործությունը:")</f>
        <v>Ո՞ւմ է վերագրվում հեռախոսի հայտնագործությունը:</v>
      </c>
      <c r="D7390" s="6" t="str">
        <f>IFERROR(__xludf.DUMMYFUNCTION("GOOGLETRANSLATE(B7390,""en"",""hy"")"),"Ալեքսանդր Գրեհեմ Բել.")</f>
        <v>Ալեքսանդր Գրեհեմ Բել.</v>
      </c>
    </row>
    <row r="7391">
      <c r="A7391" s="5" t="s">
        <v>8583</v>
      </c>
      <c r="B7391" s="5" t="s">
        <v>7181</v>
      </c>
      <c r="C7391" s="5" t="str">
        <f>IFERROR(__xludf.DUMMYFUNCTION("GOOGLETRANSLATE(A7391,""en"",""hy"")"),"Ո՞ր երկրում է գտնվում Մեծ արգելախութը:")</f>
        <v>Ո՞ր երկրում է գտնվում Մեծ արգելախութը:</v>
      </c>
      <c r="D7391" s="6" t="str">
        <f>IFERROR(__xludf.DUMMYFUNCTION("GOOGLETRANSLATE(B7391,""en"",""hy"")"),"Ավստրալիա")</f>
        <v>Ավստրալիա</v>
      </c>
    </row>
    <row r="7392">
      <c r="A7392" s="5" t="s">
        <v>7566</v>
      </c>
      <c r="B7392" s="5" t="s">
        <v>7934</v>
      </c>
      <c r="C7392" s="5" t="str">
        <f>IFERROR(__xludf.DUMMYFUNCTION("GOOGLETRANSLATE(A7392,""en"",""hy"")"),"Ո՞վ է Կանադայի ներկայիս վարչապետը:")</f>
        <v>Ո՞վ է Կանադայի ներկայիս վարչապետը:</v>
      </c>
      <c r="D7392" s="6" t="str">
        <f>IFERROR(__xludf.DUMMYFUNCTION("GOOGLETRANSLATE(B7392,""en"",""hy"")"),"Ջասթին Թրյուդո.")</f>
        <v>Ջասթին Թրյուդո.</v>
      </c>
    </row>
    <row r="7393">
      <c r="A7393" s="5" t="s">
        <v>9448</v>
      </c>
      <c r="B7393" s="5" t="s">
        <v>7648</v>
      </c>
      <c r="C7393" s="5" t="str">
        <f>IFERROR(__xludf.DUMMYFUNCTION("GOOGLETRANSLATE(A7393,""en"",""hy"")"),"Ո՞վ է նկարել հայտնի արվեստի գործը՝ «Աստղային գիշերը»:")</f>
        <v>Ո՞վ է նկարել հայտնի արվեստի գործը՝ «Աստղային գիշերը»:</v>
      </c>
      <c r="D7393" s="6" t="str">
        <f>IFERROR(__xludf.DUMMYFUNCTION("GOOGLETRANSLATE(B7393,""en"",""hy"")"),"Վինսենթ վան Գոգ.")</f>
        <v>Վինսենթ վան Գոգ.</v>
      </c>
    </row>
    <row r="7394">
      <c r="A7394" s="5" t="s">
        <v>8108</v>
      </c>
      <c r="B7394" s="5" t="s">
        <v>7556</v>
      </c>
      <c r="C7394" s="5" t="str">
        <f>IFERROR(__xludf.DUMMYFUNCTION("GOOGLETRANSLATE(A7394,""en"",""hy"")"),"Ո՞ր հայտնի գիտնականն է մշակել հարաբերականության տեսությունը:")</f>
        <v>Ո՞ր հայտնի գիտնականն է մշակել հարաբերականության տեսությունը:</v>
      </c>
      <c r="D7394" s="6" t="str">
        <f>IFERROR(__xludf.DUMMYFUNCTION("GOOGLETRANSLATE(B7394,""en"",""hy"")"),"Albert Einstein.")</f>
        <v>Albert Einstein.</v>
      </c>
    </row>
    <row r="7395">
      <c r="A7395" s="5" t="s">
        <v>9449</v>
      </c>
      <c r="B7395" s="5" t="s">
        <v>7646</v>
      </c>
      <c r="C7395" s="5" t="str">
        <f>IFERROR(__xludf.DUMMYFUNCTION("GOOGLETRANSLATE(A7395,""en"",""hy"")"),"Ո՞ր օվկիանոսն է ամենամեծն աշխարհում:")</f>
        <v>Ո՞ր օվկիանոսն է ամենամեծն աշխարհում:</v>
      </c>
      <c r="D7395" s="6" t="str">
        <f>IFERROR(__xludf.DUMMYFUNCTION("GOOGLETRANSLATE(B7395,""en"",""hy"")"),"Խաղաղ օվկիանոս.")</f>
        <v>Խաղաղ օվկիանոս.</v>
      </c>
    </row>
    <row r="7396">
      <c r="A7396" s="5" t="s">
        <v>7463</v>
      </c>
      <c r="B7396" s="5" t="s">
        <v>7464</v>
      </c>
      <c r="C7396" s="5" t="str">
        <f>IFERROR(__xludf.DUMMYFUNCTION("GOOGLETRANSLATE(A7396,""en"",""hy"")"),"Ո՞րն է աշխարհի ամենաբարձր լեռը:")</f>
        <v>Ո՞րն է աշխարհի ամենաբարձր լեռը:</v>
      </c>
      <c r="D7396" s="6" t="str">
        <f>IFERROR(__xludf.DUMMYFUNCTION("GOOGLETRANSLATE(B7396,""en"",""hy"")"),"Էվերեստ լեռ.")</f>
        <v>Էվերեստ լեռ.</v>
      </c>
    </row>
    <row r="7397">
      <c r="A7397" s="5" t="s">
        <v>7789</v>
      </c>
      <c r="B7397" s="5" t="s">
        <v>7790</v>
      </c>
      <c r="C7397" s="5" t="str">
        <f>IFERROR(__xludf.DUMMYFUNCTION("GOOGLETRANSLATE(A7397,""en"",""hy"")"),"Ո՞վ է հունական ամպրոպի աստվածը:")</f>
        <v>Ո՞վ է հունական ամպրոպի աստվածը:</v>
      </c>
      <c r="D7397" s="6" t="str">
        <f>IFERROR(__xludf.DUMMYFUNCTION("GOOGLETRANSLATE(B7397,""en"",""hy"")"),"Հունական ամպրոպի աստվածը Զևսն է:")</f>
        <v>Հունական ամպրոպի աստվածը Զևսն է:</v>
      </c>
    </row>
    <row r="7398">
      <c r="A7398" s="5" t="s">
        <v>8206</v>
      </c>
      <c r="B7398" s="5" t="s">
        <v>1299</v>
      </c>
      <c r="C7398" s="5" t="str">
        <f>IFERROR(__xludf.DUMMYFUNCTION("GOOGLETRANSLATE(A7398,""en"",""hy"")"),"Ո՞րն է Երկրի ամենամեծ մայրցամաքը:")</f>
        <v>Ո՞րն է Երկրի ամենամեծ մայրցամաքը:</v>
      </c>
      <c r="D7398" s="6" t="str">
        <f>IFERROR(__xludf.DUMMYFUNCTION("GOOGLETRANSLATE(B7398,""en"",""hy"")"),"Ասիա.")</f>
        <v>Ասիա.</v>
      </c>
    </row>
    <row r="7399">
      <c r="A7399" s="5" t="s">
        <v>7926</v>
      </c>
      <c r="B7399" s="5" t="s">
        <v>7635</v>
      </c>
      <c r="C7399" s="5" t="str">
        <f>IFERROR(__xludf.DUMMYFUNCTION("GOOGLETRANSLATE(A7399,""en"",""hy"")"),"Ո՞վ էր առաջին մարդը, ով քայլեց լուսնի վրա:")</f>
        <v>Ո՞վ էր առաջին մարդը, ով քայլեց լուսնի վրա:</v>
      </c>
      <c r="D7399" s="6" t="str">
        <f>IFERROR(__xludf.DUMMYFUNCTION("GOOGLETRANSLATE(B7399,""en"",""hy"")"),"Նիլ Արմսթրոնգ.")</f>
        <v>Նիլ Արմսթրոնգ.</v>
      </c>
    </row>
    <row r="7400">
      <c r="A7400" s="5" t="s">
        <v>9450</v>
      </c>
      <c r="B7400" s="5" t="s">
        <v>8201</v>
      </c>
      <c r="C7400" s="5" t="str">
        <f>IFERROR(__xludf.DUMMYFUNCTION("GOOGLETRANSLATE(A7400,""en"",""hy"")"),"Ո՞ր երկիրն է համարվում ժողովրդավարության ծննդավայրը.")</f>
        <v>Ո՞ր երկիրն է համարվում ժողովրդավարության ծննդավայրը.</v>
      </c>
      <c r="D7400" s="6" t="str">
        <f>IFERROR(__xludf.DUMMYFUNCTION("GOOGLETRANSLATE(B7400,""en"",""hy"")"),"Հունաստան.")</f>
        <v>Հունաստան.</v>
      </c>
    </row>
    <row r="7401">
      <c r="A7401" s="5" t="s">
        <v>7592</v>
      </c>
      <c r="B7401" s="5" t="s">
        <v>7593</v>
      </c>
      <c r="C7401" s="5" t="str">
        <f>IFERROR(__xludf.DUMMYFUNCTION("GOOGLETRANSLATE(A7401,""en"",""hy"")"),"Ո՞րն է թթվածնի քիմիական նշանը:")</f>
        <v>Ո՞րն է թթվածնի քիմիական նշանը:</v>
      </c>
      <c r="D7401" s="6" t="str">
        <f>IFERROR(__xludf.DUMMYFUNCTION("GOOGLETRANSLATE(B7401,""en"",""hy"")"),"Թթվածնի քիմիական նշանը O է:")</f>
        <v>Թթվածնի քիմիական նշանը O է:</v>
      </c>
    </row>
    <row r="7402">
      <c r="A7402" s="5" t="s">
        <v>9451</v>
      </c>
      <c r="B7402" s="5" t="s">
        <v>9452</v>
      </c>
      <c r="C7402" s="5" t="str">
        <f>IFERROR(__xludf.DUMMYFUNCTION("GOOGLETRANSLATE(A7402,""en"",""hy"")"),"Ո՞վ էր Միացյալ Նահանգների 16-րդ նախագահը:")</f>
        <v>Ո՞վ էր Միացյալ Նահանգների 16-րդ նախագահը:</v>
      </c>
      <c r="D7402" s="6" t="str">
        <f>IFERROR(__xludf.DUMMYFUNCTION("GOOGLETRANSLATE(B7402,""en"",""hy"")"),"Աբրահամ Լինքոլն.")</f>
        <v>Աբրահամ Լինքոլն.</v>
      </c>
    </row>
    <row r="7403">
      <c r="A7403" s="5" t="s">
        <v>8011</v>
      </c>
      <c r="B7403" s="5" t="s">
        <v>9453</v>
      </c>
      <c r="C7403" s="5" t="str">
        <f>IFERROR(__xludf.DUMMYFUNCTION("GOOGLETRANSLATE(A7403,""en"",""hy"")"),"Ո՞ր թվականին ավարտվեց Երկրորդ համաշխարհային պատերազմը:")</f>
        <v>Ո՞ր թվականին ավարտվեց Երկրորդ համաշխարհային պատերազմը:</v>
      </c>
      <c r="D7403" s="6" t="str">
        <f>IFERROR(__xludf.DUMMYFUNCTION("GOOGLETRANSLATE(B7403,""en"",""hy"")"),"Երկրորդ համաշխարհային պատերազմն ավարտվեց 1945 թվականին։")</f>
        <v>Երկրորդ համաշխարհային պատերազմն ավարտվեց 1945 թվականին։</v>
      </c>
    </row>
    <row r="7404">
      <c r="A7404" s="5" t="s">
        <v>9454</v>
      </c>
      <c r="B7404" s="5" t="s">
        <v>9455</v>
      </c>
      <c r="C7404" s="5" t="str">
        <f>IFERROR(__xludf.DUMMYFUNCTION("GOOGLETRANSLATE(A7404,""en"",""hy"")"),"Ո՞ր կենդանին է երևում Ferrari-ի տարբերանշանի վրա:")</f>
        <v>Ո՞ր կենդանին է երևում Ferrari-ի տարբերանշանի վրա:</v>
      </c>
      <c r="D7404" s="6" t="str">
        <f>IFERROR(__xludf.DUMMYFUNCTION("GOOGLETRANSLATE(B7404,""en"",""hy"")"),"Ձի.")</f>
        <v>Ձի.</v>
      </c>
    </row>
    <row r="7405">
      <c r="A7405" s="5" t="s">
        <v>8151</v>
      </c>
      <c r="B7405" s="5" t="s">
        <v>8152</v>
      </c>
      <c r="C7405" s="5" t="str">
        <f>IFERROR(__xludf.DUMMYFUNCTION("GOOGLETRANSLATE(A7405,""en"",""hy"")"),"Ո՞րն է Հնդկաստանի ազգային կենդանին:")</f>
        <v>Ո՞րն է Հնդկաստանի ազգային կենդանին:</v>
      </c>
      <c r="D7405" s="6" t="str">
        <f>IFERROR(__xludf.DUMMYFUNCTION("GOOGLETRANSLATE(B7405,""en"",""hy"")"),"Հնդկաստանի ազգային կենդանին Բենգալյան վագրն է:")</f>
        <v>Հնդկաստանի ազգային կենդանին Բենգալյան վագրն է:</v>
      </c>
    </row>
    <row r="7406">
      <c r="A7406" s="5" t="s">
        <v>9456</v>
      </c>
      <c r="B7406" s="5" t="s">
        <v>7541</v>
      </c>
      <c r="C7406" s="5" t="str">
        <f>IFERROR(__xludf.DUMMYFUNCTION("GOOGLETRANSLATE(A7406,""en"",""hy"")"),"Ո՞վ է գրել հայտնի վեպը՝ «Սպանել ծաղրող թռչունին»:")</f>
        <v>Ո՞վ է գրել հայտնի վեպը՝ «Սպանել ծաղրող թռչունին»:</v>
      </c>
      <c r="D7406" s="6" t="str">
        <f>IFERROR(__xludf.DUMMYFUNCTION("GOOGLETRANSLATE(B7406,""en"",""hy"")"),"Հարփեր Լի.")</f>
        <v>Հարփեր Լի.</v>
      </c>
    </row>
    <row r="7407">
      <c r="A7407" s="5" t="s">
        <v>7770</v>
      </c>
      <c r="B7407" s="5" t="s">
        <v>9457</v>
      </c>
      <c r="C7407" s="5" t="str">
        <f>IFERROR(__xludf.DUMMYFUNCTION("GOOGLETRANSLATE(A7407,""en"",""hy"")"),"Ո՞ր գործիքն ունի 88 բանալի:")</f>
        <v>Ո՞ր գործիքն ունի 88 բանալի:</v>
      </c>
      <c r="D7407" s="6" t="str">
        <f>IFERROR(__xludf.DUMMYFUNCTION("GOOGLETRANSLATE(B7407,""en"",""hy"")"),"Դաշնամուր.")</f>
        <v>Դաշնամուր.</v>
      </c>
    </row>
    <row r="7408">
      <c r="A7408" s="5" t="s">
        <v>9458</v>
      </c>
      <c r="B7408" s="5" t="s">
        <v>7501</v>
      </c>
      <c r="C7408" s="5" t="str">
        <f>IFERROR(__xludf.DUMMYFUNCTION("GOOGLETRANSLATE(A7408,""en"",""hy"")"),"Ո՞ր քաղաքում կգտնեք Էյֆելյան աշտարակը:")</f>
        <v>Ո՞ր քաղաքում կգտնեք Էյֆելյան աշտարակը:</v>
      </c>
      <c r="D7408" s="6" t="str">
        <f>IFERROR(__xludf.DUMMYFUNCTION("GOOGLETRANSLATE(B7408,""en"",""hy"")"),"Փարիզ.")</f>
        <v>Փարիզ.</v>
      </c>
    </row>
    <row r="7409">
      <c r="A7409" s="5" t="s">
        <v>9356</v>
      </c>
      <c r="B7409" s="5" t="s">
        <v>7956</v>
      </c>
      <c r="C7409" s="5" t="str">
        <f>IFERROR(__xludf.DUMMYFUNCTION("GOOGLETRANSLATE(A7409,""en"",""hy"")"),"Ո՞ր հայտնի գիտնականն է հայտնաբերել գրավիտացիան:")</f>
        <v>Ո՞ր հայտնի գիտնականն է հայտնաբերել գրավիտացիան:</v>
      </c>
      <c r="D7409" s="6" t="str">
        <f>IFERROR(__xludf.DUMMYFUNCTION("GOOGLETRANSLATE(B7409,""en"",""hy"")"),"Իսահակ Նյուտոն.")</f>
        <v>Իսահակ Նյուտոն.</v>
      </c>
    </row>
    <row r="7410">
      <c r="A7410" s="5" t="s">
        <v>7842</v>
      </c>
      <c r="B7410" s="5" t="s">
        <v>9459</v>
      </c>
      <c r="C7410" s="5" t="str">
        <f>IFERROR(__xludf.DUMMYFUNCTION("GOOGLETRANSLATE(A7410,""en"",""hy"")"),"Ո՞րն է աշխարհի ամենաերկար գետը:")</f>
        <v>Ո՞րն է աշխարհի ամենաերկար գետը:</v>
      </c>
      <c r="D7410" s="6" t="str">
        <f>IFERROR(__xludf.DUMMYFUNCTION("GOOGLETRANSLATE(B7410,""en"",""hy"")"),"Նեղոս գետը աշխարհի ամենաերկար գետն է։")</f>
        <v>Նեղոս գետը աշխարհի ամենաերկար գետն է։</v>
      </c>
    </row>
    <row r="7411">
      <c r="A7411" s="5" t="s">
        <v>7903</v>
      </c>
      <c r="B7411" s="5" t="s">
        <v>8261</v>
      </c>
      <c r="C7411" s="5" t="str">
        <f>IFERROR(__xludf.DUMMYFUNCTION("GOOGLETRANSLATE(A7411,""en"",""hy"")"),"Ո՞րն է Մեքսիկայի մայրաքաղաքը:")</f>
        <v>Ո՞րն է Մեքսիկայի մայրաքաղաքը:</v>
      </c>
      <c r="D7411" s="6" t="str">
        <f>IFERROR(__xludf.DUMMYFUNCTION("GOOGLETRANSLATE(B7411,""en"",""hy"")"),"Մեխիկո Սիթի.")</f>
        <v>Մեխիկո Սիթի.</v>
      </c>
    </row>
    <row r="7412">
      <c r="A7412" s="5" t="s">
        <v>7804</v>
      </c>
      <c r="B7412" s="5" t="s">
        <v>7448</v>
      </c>
      <c r="C7412" s="5" t="str">
        <f>IFERROR(__xludf.DUMMYFUNCTION("GOOGLETRANSLATE(A7412,""en"",""hy"")"),"Ո՞վ է նկարել Վերջին ընթրիքը:")</f>
        <v>Ո՞վ է նկարել Վերջին ընթրիքը:</v>
      </c>
      <c r="D7412" s="6" t="str">
        <f>IFERROR(__xludf.DUMMYFUNCTION("GOOGLETRANSLATE(B7412,""en"",""hy"")"),"Լեոնարդո դա Վինչի.")</f>
        <v>Լեոնարդո դա Վինչի.</v>
      </c>
    </row>
    <row r="7413">
      <c r="A7413" s="5" t="s">
        <v>7513</v>
      </c>
      <c r="B7413" s="5" t="s">
        <v>7783</v>
      </c>
      <c r="C7413" s="5" t="str">
        <f>IFERROR(__xludf.DUMMYFUNCTION("GOOGLETRANSLATE(A7413,""en"",""hy"")"),"Ո՞րն է աշխարհի ամենամեծ անապատը:")</f>
        <v>Ո՞րն է աշխարհի ամենամեծ անապատը:</v>
      </c>
      <c r="D7413" s="6" t="str">
        <f>IFERROR(__xludf.DUMMYFUNCTION("GOOGLETRANSLATE(B7413,""en"",""hy"")"),"Սահարա անապատ.")</f>
        <v>Սահարա անապատ.</v>
      </c>
    </row>
    <row r="7414">
      <c r="A7414" s="5" t="s">
        <v>9460</v>
      </c>
      <c r="B7414" s="5" t="s">
        <v>9461</v>
      </c>
      <c r="C7414" s="5" t="str">
        <f>IFERROR(__xludf.DUMMYFUNCTION("GOOGLETRANSLATE(A7414,""en"",""hy"")"),"Ո՞վ էր Միացյալ Նահանգների 42-րդ նախագահը:")</f>
        <v>Ո՞վ էր Միացյալ Նահանգների 42-րդ նախագահը:</v>
      </c>
      <c r="D7414" s="6" t="str">
        <f>IFERROR(__xludf.DUMMYFUNCTION("GOOGLETRANSLATE(B7414,""en"",""hy"")"),"Բիլ Քլինթոն.")</f>
        <v>Բիլ Քլինթոն.</v>
      </c>
    </row>
    <row r="7415">
      <c r="A7415" s="5" t="s">
        <v>7480</v>
      </c>
      <c r="B7415" s="5" t="s">
        <v>7481</v>
      </c>
      <c r="C7415" s="5" t="str">
        <f>IFERROR(__xludf.DUMMYFUNCTION("GOOGLETRANSLATE(A7415,""en"",""hy"")"),"Ո՞րն է Միացյալ Նահանգների ազգային թռչունը:")</f>
        <v>Ո՞րն է Միացյալ Նահանգների ազգային թռչունը:</v>
      </c>
      <c r="D7415" s="6" t="str">
        <f>IFERROR(__xludf.DUMMYFUNCTION("GOOGLETRANSLATE(B7415,""en"",""hy"")"),"Միացյալ Նահանգների ազգային թռչունը ճաղատ արծիվն է։")</f>
        <v>Միացյալ Նահանգների ազգային թռչունը ճաղատ արծիվն է։</v>
      </c>
    </row>
    <row r="7416">
      <c r="A7416" s="5" t="s">
        <v>9068</v>
      </c>
      <c r="B7416" s="5" t="s">
        <v>3535</v>
      </c>
      <c r="C7416" s="5" t="str">
        <f>IFERROR(__xludf.DUMMYFUNCTION("GOOGLETRANSLATE(A7416,""en"",""hy"")"),"Ո՞ր երկիրն է հայտնի որպես Land Down Under:")</f>
        <v>Ո՞ր երկիրն է հայտնի որպես Land Down Under:</v>
      </c>
      <c r="D7416" s="6" t="str">
        <f>IFERROR(__xludf.DUMMYFUNCTION("GOOGLETRANSLATE(B7416,""en"",""hy"")"),"Ավստրալիա.")</f>
        <v>Ավստրալիա.</v>
      </c>
    </row>
    <row r="7417">
      <c r="A7417" s="5" t="s">
        <v>9462</v>
      </c>
      <c r="B7417" s="5" t="s">
        <v>7466</v>
      </c>
      <c r="C7417" s="5" t="str">
        <f>IFERROR(__xludf.DUMMYFUNCTION("GOOGLETRANSLATE(A7417,""en"",""hy"")"),"Ո՞վ է գրել «Հպարտություն և նախապաշարմունք» վեպը:")</f>
        <v>Ո՞վ է գրել «Հպարտություն և նախապաշարմունք» վեպը:</v>
      </c>
      <c r="D7417" s="6" t="str">
        <f>IFERROR(__xludf.DUMMYFUNCTION("GOOGLETRANSLATE(B7417,""en"",""hy"")"),"Ջեյն Օսթին")</f>
        <v>Ջեյն Օսթին</v>
      </c>
    </row>
    <row r="7418">
      <c r="A7418" s="5" t="s">
        <v>7557</v>
      </c>
      <c r="B7418" s="5" t="s">
        <v>7857</v>
      </c>
      <c r="C7418" s="5" t="str">
        <f>IFERROR(__xludf.DUMMYFUNCTION("GOOGLETRANSLATE(A7418,""en"",""hy"")"),"Ո՞րն է երկաթի քիմիական նշանը:")</f>
        <v>Ո՞րն է երկաթի քիմիական նշանը:</v>
      </c>
      <c r="D7418" s="6" t="str">
        <f>IFERROR(__xludf.DUMMYFUNCTION("GOOGLETRANSLATE(B7418,""en"",""hy"")"),"Երկաթի քիմիական նշանը Fe է:")</f>
        <v>Երկաթի քիմիական նշանը Fe է:</v>
      </c>
    </row>
    <row r="7419">
      <c r="A7419" s="5" t="s">
        <v>9463</v>
      </c>
      <c r="B7419" s="5" t="s">
        <v>9464</v>
      </c>
      <c r="C7419" s="5" t="str">
        <f>IFERROR(__xludf.DUMMYFUNCTION("GOOGLETRANSLATE(A7419,""en"",""hy"")"),"Ո՞վ է «Մատանիների տիրակալը» սերիալի գլխավոր հերոսը:")</f>
        <v>Ո՞վ է «Մատանիների տիրակալը» սերիալի գլխավոր հերոսը:</v>
      </c>
      <c r="D7419" s="6" t="str">
        <f>IFERROR(__xludf.DUMMYFUNCTION("GOOGLETRANSLATE(B7419,""en"",""hy"")"),"Մատանիների տիրակալը սերիալի գլխավոր հերոսը Ֆրոդո Բեգինսն է։")</f>
        <v>Մատանիների տիրակալը սերիալի գլխավոր հերոսը Ֆրոդո Բեգինսն է։</v>
      </c>
    </row>
    <row r="7420">
      <c r="A7420" s="5" t="s">
        <v>7793</v>
      </c>
      <c r="B7420" s="5" t="s">
        <v>9465</v>
      </c>
      <c r="C7420" s="5" t="str">
        <f>IFERROR(__xludf.DUMMYFUNCTION("GOOGLETRANSLATE(A7420,""en"",""hy"")"),"Ո՞ր երկիրն է հայտնի իր կակաչներով և հողմաղացներով:")</f>
        <v>Ո՞ր երկիրն է հայտնի իր կակաչներով և հողմաղացներով:</v>
      </c>
      <c r="D7420" s="6" t="str">
        <f>IFERROR(__xludf.DUMMYFUNCTION("GOOGLETRANSLATE(B7420,""en"",""hy"")"),"Նիդեռլանդներ")</f>
        <v>Նիդեռլանդներ</v>
      </c>
    </row>
    <row r="7421">
      <c r="A7421" s="5" t="s">
        <v>7528</v>
      </c>
      <c r="B7421" s="5" t="s">
        <v>9231</v>
      </c>
      <c r="C7421" s="5" t="str">
        <f>IFERROR(__xludf.DUMMYFUNCTION("GOOGLETRANSLATE(A7421,""en"",""hy"")"),"Ո՞վ է Գերմանիայի ներկայիս կանցլերը:")</f>
        <v>Ո՞վ է Գերմանիայի ներկայիս կանցլերը:</v>
      </c>
      <c r="D7421" s="6" t="str">
        <f>IFERROR(__xludf.DUMMYFUNCTION("GOOGLETRANSLATE(B7421,""en"",""hy"")"),"Գերմանիայի ներկայիս կանցլերն Անգելա Մերկելն է։")</f>
        <v>Գերմանիայի ներկայիս կանցլերն Անգելա Մերկելն է։</v>
      </c>
    </row>
    <row r="7422">
      <c r="A7422" s="5" t="s">
        <v>7515</v>
      </c>
      <c r="B7422" s="5" t="s">
        <v>7516</v>
      </c>
      <c r="C7422" s="5" t="str">
        <f>IFERROR(__xludf.DUMMYFUNCTION("GOOGLETRANSLATE(A7422,""en"",""hy"")"),"Ո՞րն է Բրազիլիայի մայրաքաղաքը:")</f>
        <v>Ո՞րն է Բրազիլիայի մայրաքաղաքը:</v>
      </c>
      <c r="D7422" s="6" t="str">
        <f>IFERROR(__xludf.DUMMYFUNCTION("GOOGLETRANSLATE(B7422,""en"",""hy"")"),"Բրազիլիա.")</f>
        <v>Բրազիլիա.</v>
      </c>
    </row>
    <row r="7423">
      <c r="A7423" s="5" t="s">
        <v>9466</v>
      </c>
      <c r="B7423" s="5" t="s">
        <v>7585</v>
      </c>
      <c r="C7423" s="5" t="str">
        <f>IFERROR(__xludf.DUMMYFUNCTION("GOOGLETRANSLATE(A7423,""en"",""hy"")"),"Ո՞վ է նկարել հայտնի արվեստի գործը՝ «Ճիչը»:")</f>
        <v>Ո՞վ է նկարել հայտնի արվեստի գործը՝ «Ճիչը»:</v>
      </c>
      <c r="D7423" s="6" t="str">
        <f>IFERROR(__xludf.DUMMYFUNCTION("GOOGLETRANSLATE(B7423,""en"",""hy"")"),"Էդվարդ Մունկ.")</f>
        <v>Էդվարդ Մունկ.</v>
      </c>
    </row>
    <row r="7424">
      <c r="A7424" s="5" t="s">
        <v>8243</v>
      </c>
      <c r="B7424" s="5" t="s">
        <v>7607</v>
      </c>
      <c r="C7424" s="5" t="str">
        <f>IFERROR(__xludf.DUMMYFUNCTION("GOOGLETRANSLATE(A7424,""en"",""hy"")"),"Ո՞ր հայտնի գիտնականն է մշակել էվոլյուցիայի տեսությունը:")</f>
        <v>Ո՞ր հայտնի գիտնականն է մշակել էվոլյուցիայի տեսությունը:</v>
      </c>
      <c r="D7424" s="6" t="str">
        <f>IFERROR(__xludf.DUMMYFUNCTION("GOOGLETRANSLATE(B7424,""en"",""hy"")"),"Չարլզ Դարվին.")</f>
        <v>Չարլզ Դարվին.</v>
      </c>
    </row>
    <row r="7425">
      <c r="A7425" s="5" t="s">
        <v>8388</v>
      </c>
      <c r="B7425" s="5" t="s">
        <v>9467</v>
      </c>
      <c r="C7425" s="5" t="str">
        <f>IFERROR(__xludf.DUMMYFUNCTION("GOOGLETRANSLATE(A7425,""en"",""hy"")"),"Ո՞րն է աշխարհի ամենաբարձր ծառատեսակը:")</f>
        <v>Ո՞րն է աշխարհի ամենաբարձր ծառատեսակը:</v>
      </c>
      <c r="D7425" s="6" t="str">
        <f>IFERROR(__xludf.DUMMYFUNCTION("GOOGLETRANSLATE(B7425,""en"",""hy"")"),"Ծովափնյա կարմիր փայտ.")</f>
        <v>Ծովափնյա կարմիր փայտ.</v>
      </c>
    </row>
    <row r="7426">
      <c r="A7426" s="5" t="s">
        <v>8028</v>
      </c>
      <c r="B7426" s="5" t="s">
        <v>9468</v>
      </c>
      <c r="C7426" s="5" t="str">
        <f>IFERROR(__xludf.DUMMYFUNCTION("GOOGLETRANSLATE(A7426,""en"",""hy"")"),"Ո՞րն է Կանադայի ազգային սպորտը:")</f>
        <v>Ո՞րն է Կանադայի ազգային սպորտը:</v>
      </c>
      <c r="D7426" s="6" t="str">
        <f>IFERROR(__xludf.DUMMYFUNCTION("GOOGLETRANSLATE(B7426,""en"",""hy"")"),"Հոկեյ")</f>
        <v>Հոկեյ</v>
      </c>
    </row>
    <row r="7427">
      <c r="A7427" s="5" t="s">
        <v>9469</v>
      </c>
      <c r="B7427" s="5" t="s">
        <v>7656</v>
      </c>
      <c r="C7427" s="5" t="str">
        <f>IFERROR(__xludf.DUMMYFUNCTION("GOOGLETRANSLATE(A7427,""en"",""hy"")"),"Ո՞վ է գրել «Ագռավը» բանաստեղծությունը:")</f>
        <v>Ո՞վ է գրել «Ագռավը» բանաստեղծությունը:</v>
      </c>
      <c r="D7427" s="6" t="str">
        <f>IFERROR(__xludf.DUMMYFUNCTION("GOOGLETRANSLATE(B7427,""en"",""hy"")"),"Էդգար Ալան Պո.")</f>
        <v>Էդգար Ալան Պո.</v>
      </c>
    </row>
    <row r="7428">
      <c r="A7428" s="5" t="s">
        <v>7511</v>
      </c>
      <c r="B7428" s="5" t="s">
        <v>7512</v>
      </c>
      <c r="C7428" s="5" t="str">
        <f>IFERROR(__xludf.DUMMYFUNCTION("GOOGLETRANSLATE(A7428,""en"",""hy"")"),"Ո՞ր երկիրն է հայտնի իր բուրգերով:")</f>
        <v>Ո՞ր երկիրն է հայտնի իր բուրգերով:</v>
      </c>
      <c r="D7428" s="6" t="str">
        <f>IFERROR(__xludf.DUMMYFUNCTION("GOOGLETRANSLATE(B7428,""en"",""hy"")"),"Եգիպտոս.")</f>
        <v>Եգիպտոս.</v>
      </c>
    </row>
    <row r="7429">
      <c r="A7429" s="5" t="s">
        <v>7601</v>
      </c>
      <c r="B7429" s="5" t="s">
        <v>9470</v>
      </c>
      <c r="C7429" s="5" t="str">
        <f>IFERROR(__xludf.DUMMYFUNCTION("GOOGLETRANSLATE(A7429,""en"",""hy"")"),"Ո՞վ է Ֆրանսիայի ներկայիս նախագահը.")</f>
        <v>Ո՞վ է Ֆրանսիայի ներկայիս նախագահը.</v>
      </c>
      <c r="D7429" s="6" t="str">
        <f>IFERROR(__xludf.DUMMYFUNCTION("GOOGLETRANSLATE(B7429,""en"",""hy"")"),"Ֆրանսիայի ներկայիս նախագահը Էմանուել Մակրոնն է։")</f>
        <v>Ֆրանսիայի ներկայիս նախագահը Էմանուել Մակրոնն է։</v>
      </c>
    </row>
    <row r="7430">
      <c r="A7430" s="5" t="s">
        <v>7665</v>
      </c>
      <c r="B7430" s="5" t="s">
        <v>7781</v>
      </c>
      <c r="C7430" s="5" t="str">
        <f>IFERROR(__xludf.DUMMYFUNCTION("GOOGLETRANSLATE(A7430,""en"",""hy"")"),"Ո՞րն է նատրիումի քիմիական նշանը:")</f>
        <v>Ո՞րն է նատրիումի քիմիական նշանը:</v>
      </c>
      <c r="D7430" s="6" t="str">
        <f>IFERROR(__xludf.DUMMYFUNCTION("GOOGLETRANSLATE(B7430,""en"",""hy"")"),"Նատրիումի քիմիական նշանը Na է:")</f>
        <v>Նատրիումի քիմիական նշանը Na է:</v>
      </c>
    </row>
    <row r="7431">
      <c r="A7431" s="5" t="s">
        <v>7773</v>
      </c>
      <c r="B7431" s="5" t="s">
        <v>7774</v>
      </c>
      <c r="C7431" s="5" t="str">
        <f>IFERROR(__xludf.DUMMYFUNCTION("GOOGLETRANSLATE(A7431,""en"",""hy"")"),"Ո՞վ է հայտնաբերել պենիցիլինը:")</f>
        <v>Ո՞վ է հայտնաբերել պենիցիլինը:</v>
      </c>
      <c r="D7431" s="6" t="str">
        <f>IFERROR(__xludf.DUMMYFUNCTION("GOOGLETRANSLATE(B7431,""en"",""hy"")"),"Ալեքսանդր Ֆլեմինգը հայտնաբերել է պենիցիլին:")</f>
        <v>Ալեքսանդր Ֆլեմինգը հայտնաբերել է պենիցիլին:</v>
      </c>
    </row>
    <row r="7432">
      <c r="A7432" s="5" t="s">
        <v>7553</v>
      </c>
      <c r="B7432" s="5" t="s">
        <v>7554</v>
      </c>
      <c r="C7432" s="5" t="str">
        <f>IFERROR(__xludf.DUMMYFUNCTION("GOOGLETRANSLATE(A7432,""en"",""hy"")"),"Ո՞րն է Հարավային Աֆրիկայի մայրաքաղաքը:")</f>
        <v>Ո՞րն է Հարավային Աֆրիկայի մայրաքաղաքը:</v>
      </c>
      <c r="D7432" s="6" t="str">
        <f>IFERROR(__xludf.DUMMYFUNCTION("GOOGLETRANSLATE(B7432,""en"",""hy"")"),"Պրետորիա.")</f>
        <v>Պրետորիա.</v>
      </c>
    </row>
    <row r="7433">
      <c r="A7433" s="5" t="s">
        <v>9471</v>
      </c>
      <c r="B7433" s="5" t="s">
        <v>7710</v>
      </c>
      <c r="C7433" s="5" t="str">
        <f>IFERROR(__xludf.DUMMYFUNCTION("GOOGLETRANSLATE(A7433,""en"",""hy"")"),"Ո՞վ է նկարել հայտնի արվեստի գործը՝ Գերնիկան:")</f>
        <v>Ո՞վ է նկարել հայտնի արվեստի գործը՝ Գերնիկան:</v>
      </c>
      <c r="D7433" s="6" t="str">
        <f>IFERROR(__xludf.DUMMYFUNCTION("GOOGLETRANSLATE(B7433,""en"",""hy"")"),"Պաբլո Պիկասո.")</f>
        <v>Պաբլո Պիկասո.</v>
      </c>
    </row>
    <row r="7434">
      <c r="A7434" s="5" t="s">
        <v>7526</v>
      </c>
      <c r="B7434" s="5" t="s">
        <v>7527</v>
      </c>
      <c r="C7434" s="5" t="str">
        <f>IFERROR(__xludf.DUMMYFUNCTION("GOOGLETRANSLATE(A7434,""en"",""hy"")"),"Ո՞րն է աշխարհի ամենամեծ կղզին:")</f>
        <v>Ո՞րն է աշխարհի ամենամեծ կղզին:</v>
      </c>
      <c r="D7434" s="6" t="str">
        <f>IFERROR(__xludf.DUMMYFUNCTION("GOOGLETRANSLATE(B7434,""en"",""hy"")"),"Գրենլանդիա.")</f>
        <v>Գրենլանդիա.</v>
      </c>
    </row>
    <row r="7435">
      <c r="A7435" s="5" t="s">
        <v>7966</v>
      </c>
      <c r="B7435" s="5" t="s">
        <v>7967</v>
      </c>
      <c r="C7435" s="5" t="str">
        <f>IFERROR(__xludf.DUMMYFUNCTION("GOOGLETRANSLATE(A7435,""en"",""hy"")"),"Ո՞վ է եղել առաջին կինը, ով Նոբելյան մրցանակ է ստացել:")</f>
        <v>Ո՞վ է եղել առաջին կինը, ով Նոբելյան մրցանակ է ստացել:</v>
      </c>
      <c r="D7435" s="6" t="str">
        <f>IFERROR(__xludf.DUMMYFUNCTION("GOOGLETRANSLATE(B7435,""en"",""hy"")"),"Մարի Կյուրի.")</f>
        <v>Մարի Կյուրի.</v>
      </c>
    </row>
    <row r="7436">
      <c r="A7436" s="5" t="s">
        <v>8622</v>
      </c>
      <c r="B7436" s="5" t="s">
        <v>8040</v>
      </c>
      <c r="C7436" s="5" t="str">
        <f>IFERROR(__xludf.DUMMYFUNCTION("GOOGLETRANSLATE(A7436,""en"",""hy"")"),"Ո՞ր երկրում է գտնվում Թաջ Մահալը:")</f>
        <v>Ո՞ր երկրում է գտնվում Թաջ Մահալը:</v>
      </c>
      <c r="D7436" s="6" t="str">
        <f>IFERROR(__xludf.DUMMYFUNCTION("GOOGLETRANSLATE(B7436,""en"",""hy"")"),"Հնդկաստան")</f>
        <v>Հնդկաստան</v>
      </c>
    </row>
    <row r="7437">
      <c r="A7437" s="5" t="s">
        <v>9472</v>
      </c>
      <c r="B7437" s="5" t="s">
        <v>7578</v>
      </c>
      <c r="C7437" s="5" t="str">
        <f>IFERROR(__xludf.DUMMYFUNCTION("GOOGLETRANSLATE(A7437,""en"",""hy"")"),"Ո՞վ է գրել հայտնի «Մոբի-Դիկ» վեպը:")</f>
        <v>Ո՞վ է գրել հայտնի «Մոբի-Դիկ» վեպը:</v>
      </c>
      <c r="D7437" s="6" t="str">
        <f>IFERROR(__xludf.DUMMYFUNCTION("GOOGLETRANSLATE(B7437,""en"",""hy"")"),"Հերման Մելվիլ.")</f>
        <v>Հերման Մելվիլ.</v>
      </c>
    </row>
    <row r="7438">
      <c r="A7438" s="5" t="s">
        <v>7791</v>
      </c>
      <c r="B7438" s="5" t="s">
        <v>8128</v>
      </c>
      <c r="C7438" s="5" t="str">
        <f>IFERROR(__xludf.DUMMYFUNCTION("GOOGLETRANSLATE(A7438,""en"",""hy"")"),"Ո՞րն է Ավստրալիայի ազգային կենդանին:")</f>
        <v>Ո՞րն է Ավստրալիայի ազգային կենդանին:</v>
      </c>
      <c r="D7438" s="6" t="str">
        <f>IFERROR(__xludf.DUMMYFUNCTION("GOOGLETRANSLATE(B7438,""en"",""hy"")"),"Կենգուրու.")</f>
        <v>Կենգուրու.</v>
      </c>
    </row>
    <row r="7439">
      <c r="A7439" s="5" t="s">
        <v>9473</v>
      </c>
      <c r="B7439" s="5" t="s">
        <v>7633</v>
      </c>
      <c r="C7439" s="5" t="str">
        <f>IFERROR(__xludf.DUMMYFUNCTION("GOOGLETRANSLATE(A7439,""en"",""hy"")"),"Ո՞ր մոլորակն է հայտնի որպես «մեր արեգակնային համակարգի հսկա»:")</f>
        <v>Ո՞ր մոլորակն է հայտնի որպես «մեր արեգակնային համակարգի հսկա»:</v>
      </c>
      <c r="D7439" s="6" t="str">
        <f>IFERROR(__xludf.DUMMYFUNCTION("GOOGLETRANSLATE(B7439,""en"",""hy"")"),"Յուպիտեր.")</f>
        <v>Յուպիտեր.</v>
      </c>
    </row>
    <row r="7440">
      <c r="A7440" s="5" t="s">
        <v>8031</v>
      </c>
      <c r="B7440" s="5" t="s">
        <v>8268</v>
      </c>
      <c r="C7440" s="5" t="str">
        <f>IFERROR(__xludf.DUMMYFUNCTION("GOOGLETRANSLATE(A7440,""en"",""hy"")"),"Ո՞րն է աշխարհի ամենամեծ թռչունը:")</f>
        <v>Ո՞րն է աշխարհի ամենամեծ թռչունը:</v>
      </c>
      <c r="D7440" s="6" t="str">
        <f>IFERROR(__xludf.DUMMYFUNCTION("GOOGLETRANSLATE(B7440,""en"",""hy"")"),"Աշխարհի ամենամեծ թռչունը ջայլամն է։")</f>
        <v>Աշխարհի ամենամեծ թռչունը ջայլամն է։</v>
      </c>
    </row>
    <row r="7441">
      <c r="A7441" s="5" t="s">
        <v>8325</v>
      </c>
      <c r="B7441" s="5" t="s">
        <v>9474</v>
      </c>
      <c r="C7441" s="5" t="str">
        <f>IFERROR(__xludf.DUMMYFUNCTION("GOOGLETRANSLATE(A7441,""en"",""hy"")"),"Ո՞վ է հունական սիրո և գեղեցկության աստվածուհին:")</f>
        <v>Ո՞վ է հունական սիրո և գեղեցկության աստվածուհին:</v>
      </c>
      <c r="D7441" s="6" t="str">
        <f>IFERROR(__xludf.DUMMYFUNCTION("GOOGLETRANSLATE(B7441,""en"",""hy"")"),"Աֆրոդիտե")</f>
        <v>Աֆրոդիտե</v>
      </c>
    </row>
    <row r="7442">
      <c r="A7442" s="5" t="s">
        <v>7509</v>
      </c>
      <c r="B7442" s="5" t="s">
        <v>7510</v>
      </c>
      <c r="C7442" s="5" t="str">
        <f>IFERROR(__xludf.DUMMYFUNCTION("GOOGLETRANSLATE(A7442,""en"",""hy"")"),"Ո՞րն է արծաթի քիմիական նշանը:")</f>
        <v>Ո՞րն է արծաթի քիմիական նշանը:</v>
      </c>
      <c r="D7442" s="6" t="str">
        <f>IFERROR(__xludf.DUMMYFUNCTION("GOOGLETRANSLATE(B7442,""en"",""hy"")"),"Ագ")</f>
        <v>Ագ</v>
      </c>
    </row>
    <row r="7443">
      <c r="A7443" s="5" t="s">
        <v>9475</v>
      </c>
      <c r="B7443" s="5" t="s">
        <v>3196</v>
      </c>
      <c r="C7443" s="5" t="str">
        <f>IFERROR(__xludf.DUMMYFUNCTION("GOOGLETRANSLATE(A7443,""en"",""hy"")"),"Ո՞վ է եղել Միացյալ Նահանգների առաջին աֆրոամերիկացի նախագահը:")</f>
        <v>Ո՞վ է եղել Միացյալ Նահանգների առաջին աֆրոամերիկացի նախագահը:</v>
      </c>
      <c r="D7443" s="6" t="str">
        <f>IFERROR(__xludf.DUMMYFUNCTION("GOOGLETRANSLATE(B7443,""en"",""hy"")"),"Բարաք Օբամա.")</f>
        <v>Բարաք Օբամա.</v>
      </c>
    </row>
    <row r="7444">
      <c r="A7444" s="5" t="s">
        <v>8327</v>
      </c>
      <c r="B7444" s="5" t="s">
        <v>7837</v>
      </c>
      <c r="C7444" s="5" t="str">
        <f>IFERROR(__xludf.DUMMYFUNCTION("GOOGLETRANSLATE(A7444,""en"",""hy"")"),"Ո՞ր թվականին սկսվեց Առաջին համաշխարհային պատերազմը:")</f>
        <v>Ո՞ր թվականին սկսվեց Առաջին համաշխարհային պատերազմը:</v>
      </c>
      <c r="D7444" s="6" t="str">
        <f>IFERROR(__xludf.DUMMYFUNCTION("GOOGLETRANSLATE(B7444,""en"",""hy"")"),"Առաջին համաշխարհային պատերազմը սկսվել է 1914 թ.")</f>
        <v>Առաջին համաշխարհային պատերազմը սկսվել է 1914 թ.</v>
      </c>
    </row>
    <row r="7445">
      <c r="A7445" s="5" t="s">
        <v>8055</v>
      </c>
      <c r="B7445" s="5" t="s">
        <v>9298</v>
      </c>
      <c r="C7445" s="5" t="str">
        <f>IFERROR(__xludf.DUMMYFUNCTION("GOOGLETRANSLATE(A7445,""en"",""hy"")"),"Ո՞րն է Ճապոնիայի ազգային սպորտը:")</f>
        <v>Ո՞րն է Ճապոնիայի ազգային սպորտը:</v>
      </c>
      <c r="D7445" s="6" t="str">
        <f>IFERROR(__xludf.DUMMYFUNCTION("GOOGLETRANSLATE(B7445,""en"",""hy"")"),"Ճապոնիայի ազգային սպորտը սումոն է։")</f>
        <v>Ճապոնիայի ազգային սպորտը սումոն է։</v>
      </c>
    </row>
    <row r="7446">
      <c r="A7446" s="5" t="s">
        <v>9476</v>
      </c>
      <c r="B7446" s="5" t="s">
        <v>1016</v>
      </c>
      <c r="C7446" s="5" t="str">
        <f>IFERROR(__xludf.DUMMYFUNCTION("GOOGLETRANSLATE(A7446,""en"",""hy"")"),"Ո՞վ է գրել պիեսը՝ Համլետը։")</f>
        <v>Ո՞վ է գրել պիեսը՝ Համլետը։</v>
      </c>
      <c r="D7446" s="6" t="str">
        <f>IFERROR(__xludf.DUMMYFUNCTION("GOOGLETRANSLATE(B7446,""en"",""hy"")"),"Ուիլյամ Շեքսպիր.")</f>
        <v>Ուիլյամ Շեքսպիր.</v>
      </c>
    </row>
    <row r="7447">
      <c r="A7447" s="5" t="s">
        <v>7897</v>
      </c>
      <c r="B7447" s="5" t="s">
        <v>7898</v>
      </c>
      <c r="C7447" s="5" t="str">
        <f>IFERROR(__xludf.DUMMYFUNCTION("GOOGLETRANSLATE(A7447,""en"",""hy"")"),"Ո՞րն է Արգենտինայի մայրաքաղաքը:")</f>
        <v>Ո՞րն է Արգենտինայի մայրաքաղաքը:</v>
      </c>
      <c r="D7447" s="6" t="str">
        <f>IFERROR(__xludf.DUMMYFUNCTION("GOOGLETRANSLATE(B7447,""en"",""hy"")"),"Բուենոս Այրես.")</f>
        <v>Բուենոս Այրես.</v>
      </c>
    </row>
    <row r="7448">
      <c r="A7448" s="5" t="s">
        <v>9477</v>
      </c>
      <c r="B7448" s="5" t="s">
        <v>7745</v>
      </c>
      <c r="C7448" s="5" t="str">
        <f>IFERROR(__xludf.DUMMYFUNCTION("GOOGLETRANSLATE(A7448,""en"",""hy"")"),"Ո՞վ է նկարել հայտնի արվեստի գործը՝ «Հիշողության համառությունը»:")</f>
        <v>Ո՞վ է նկարել հայտնի արվեստի գործը՝ «Հիշողության համառությունը»:</v>
      </c>
      <c r="D7448" s="6" t="str">
        <f>IFERROR(__xludf.DUMMYFUNCTION("GOOGLETRANSLATE(B7448,""en"",""hy"")"),"Սալվադոր Դալի.")</f>
        <v>Սալվադոր Դալի.</v>
      </c>
    </row>
    <row r="7449">
      <c r="A7449" s="5" t="s">
        <v>7618</v>
      </c>
      <c r="B7449" s="5" t="s">
        <v>7733</v>
      </c>
      <c r="C7449" s="5" t="str">
        <f>IFERROR(__xludf.DUMMYFUNCTION("GOOGLETRANSLATE(A7449,""en"",""hy"")"),"Ո՞րն է աշխարհի ամենամեծ ջրվեժը:")</f>
        <v>Ո՞րն է աշխարհի ամենամեծ ջրվեժը:</v>
      </c>
      <c r="D7449" s="6" t="str">
        <f>IFERROR(__xludf.DUMMYFUNCTION("GOOGLETRANSLATE(B7449,""en"",""hy"")"),"Angel Falls.")</f>
        <v>Angel Falls.</v>
      </c>
    </row>
    <row r="7450">
      <c r="A7450" s="5" t="s">
        <v>8987</v>
      </c>
      <c r="B7450" s="5" t="s">
        <v>8988</v>
      </c>
      <c r="C7450" s="5" t="str">
        <f>IFERROR(__xludf.DUMMYFUNCTION("GOOGLETRANSLATE(A7450,""en"",""hy"")"),"Ո՞վ էր առաջին կինը, ով միայնակ թռավ Ատլանտյան օվկիանոսով:")</f>
        <v>Ո՞վ էր առաջին կինը, ով միայնակ թռավ Ատլանտյան օվկիանոսով:</v>
      </c>
      <c r="D7450" s="6" t="str">
        <f>IFERROR(__xludf.DUMMYFUNCTION("GOOGLETRANSLATE(B7450,""en"",""hy"")"),"Ամելիա Էրհարթ.")</f>
        <v>Ամելիա Էրհարթ.</v>
      </c>
    </row>
    <row r="7451">
      <c r="A7451" s="5" t="s">
        <v>8078</v>
      </c>
      <c r="B7451" s="5" t="s">
        <v>7784</v>
      </c>
      <c r="C7451" s="5" t="str">
        <f>IFERROR(__xludf.DUMMYFUNCTION("GOOGLETRANSLATE(A7451,""en"",""hy"")"),"Ո՞ր երկիրն է հայտնի որպես Ծագող Արևի երկիր:")</f>
        <v>Ո՞ր երկիրն է հայտնի որպես Ծագող Արևի երկիր:</v>
      </c>
      <c r="D7451" s="6" t="str">
        <f>IFERROR(__xludf.DUMMYFUNCTION("GOOGLETRANSLATE(B7451,""en"",""hy"")"),"Ճապոնիա")</f>
        <v>Ճապոնիա</v>
      </c>
    </row>
    <row r="7452">
      <c r="A7452" s="5" t="s">
        <v>7479</v>
      </c>
      <c r="B7452" s="5" t="s">
        <v>1996</v>
      </c>
      <c r="C7452" s="5" t="str">
        <f>IFERROR(__xludf.DUMMYFUNCTION("GOOGLETRANSLATE(A7452,""en"",""hy"")"),"Ո՞վ է Միացյալ Թագավորության ներկայիս վարչապետը:")</f>
        <v>Ո՞վ է Միացյալ Թագավորության ներկայիս վարչապետը:</v>
      </c>
      <c r="D7452" s="6" t="str">
        <f>IFERROR(__xludf.DUMMYFUNCTION("GOOGLETRANSLATE(B7452,""en"",""hy"")"),"Բորիս Ջոնսոն.")</f>
        <v>Բորիս Ջոնսոն.</v>
      </c>
    </row>
    <row r="7453">
      <c r="A7453" s="5" t="s">
        <v>7699</v>
      </c>
      <c r="B7453" s="5" t="s">
        <v>8615</v>
      </c>
      <c r="C7453" s="5" t="str">
        <f>IFERROR(__xludf.DUMMYFUNCTION("GOOGLETRANSLATE(A7453,""en"",""hy"")"),"Ո՞րն է ածխածնի քիմիական նշանը:")</f>
        <v>Ո՞րն է ածխածնի քիմիական նշանը:</v>
      </c>
      <c r="D7453" s="6" t="str">
        <f>IFERROR(__xludf.DUMMYFUNCTION("GOOGLETRANSLATE(B7453,""en"",""hy"")"),"Գ")</f>
        <v>Գ</v>
      </c>
    </row>
    <row r="7454">
      <c r="A7454" s="5" t="s">
        <v>9478</v>
      </c>
      <c r="B7454" s="5" t="s">
        <v>7906</v>
      </c>
      <c r="C7454" s="5" t="str">
        <f>IFERROR(__xludf.DUMMYFUNCTION("GOOGLETRANSLATE(A7454,""en"",""hy"")"),"Ո՞վ է Նարնիայի քրոնիկները շարքի հեղինակը:")</f>
        <v>Ո՞վ է Նարնիայի քրոնիկները շարքի հեղինակը:</v>
      </c>
      <c r="D7454" s="6" t="str">
        <f>IFERROR(__xludf.DUMMYFUNCTION("GOOGLETRANSLATE(B7454,""en"",""hy"")"),"C.S. Լյուիս.")</f>
        <v>C.S. Լյուիս.</v>
      </c>
    </row>
    <row r="7455">
      <c r="A7455" s="5" t="s">
        <v>9174</v>
      </c>
      <c r="B7455" s="5" t="s">
        <v>9175</v>
      </c>
      <c r="C7455" s="5" t="str">
        <f>IFERROR(__xludf.DUMMYFUNCTION("GOOGLETRANSLATE(A7455,""en"",""hy"")"),"Ո՞րն է մեր արեգակնային համակարգի ամենամեծ լուսինը:")</f>
        <v>Ո՞րն է մեր արեգակնային համակարգի ամենամեծ լուսինը:</v>
      </c>
      <c r="D7455" s="6" t="str">
        <f>IFERROR(__xludf.DUMMYFUNCTION("GOOGLETRANSLATE(B7455,""en"",""hy"")"),"Գանիմեդ.")</f>
        <v>Գանիմեդ.</v>
      </c>
    </row>
    <row r="7456">
      <c r="A7456" s="5" t="s">
        <v>9479</v>
      </c>
      <c r="B7456" s="5" t="s">
        <v>9480</v>
      </c>
      <c r="C7456" s="5" t="str">
        <f>IFERROR(__xludf.DUMMYFUNCTION("GOOGLETRANSLATE(A7456,""en"",""hy"")"),"Ո՞րն է Իտալիայի ազգային ուտեստը:")</f>
        <v>Ո՞րն է Իտալիայի ազգային ուտեստը:</v>
      </c>
      <c r="D7456" s="6" t="str">
        <f>IFERROR(__xludf.DUMMYFUNCTION("GOOGLETRANSLATE(B7456,""en"",""hy"")"),"Իտալիայի ազգային ուտեստը մակարոնեղեն է։")</f>
        <v>Իտալիայի ազգային ուտեստը մակարոնեղեն է։</v>
      </c>
    </row>
    <row r="7457">
      <c r="A7457" s="5" t="s">
        <v>9481</v>
      </c>
      <c r="B7457" s="5" t="s">
        <v>7661</v>
      </c>
      <c r="C7457" s="5" t="str">
        <f>IFERROR(__xludf.DUMMYFUNCTION("GOOGLETRANSLATE(A7457,""en"",""hy"")"),"Ո՞վ է գրել «Մեծն Գեթսբի» վեպը:")</f>
        <v>Ո՞վ է գրել «Մեծն Գեթսբի» վեպը:</v>
      </c>
      <c r="D7457" s="6" t="str">
        <f>IFERROR(__xludf.DUMMYFUNCTION("GOOGLETRANSLATE(B7457,""en"",""hy"")"),"F. Scott Fitzgerald.")</f>
        <v>F. Scott Fitzgerald.</v>
      </c>
    </row>
    <row r="7458">
      <c r="A7458" s="5" t="s">
        <v>9482</v>
      </c>
      <c r="B7458" s="5" t="s">
        <v>7712</v>
      </c>
      <c r="C7458" s="5" t="str">
        <f>IFERROR(__xludf.DUMMYFUNCTION("GOOGLETRANSLATE(A7458,""en"",""hy"")"),"Ո՞ր քաղաքում կգտնեք Ազատության արձանը:")</f>
        <v>Ո՞ր քաղաքում կգտնեք Ազատության արձանը:</v>
      </c>
      <c r="D7458" s="6" t="str">
        <f>IFERROR(__xludf.DUMMYFUNCTION("GOOGLETRANSLATE(B7458,""en"",""hy"")"),"Նյու Յորք քաղաք.")</f>
        <v>Նյու Յորք քաղաք.</v>
      </c>
    </row>
    <row r="7459">
      <c r="A7459" s="5" t="s">
        <v>8260</v>
      </c>
      <c r="B7459" s="5" t="s">
        <v>8759</v>
      </c>
      <c r="C7459" s="5" t="str">
        <f>IFERROR(__xludf.DUMMYFUNCTION("GOOGLETRANSLATE(A7459,""en"",""hy"")"),"Ո՞ր հայտնի գիտնականն է մշակել ձգողության տեսությունը:")</f>
        <v>Ո՞ր հայտնի գիտնականն է մշակել ձգողության տեսությունը:</v>
      </c>
      <c r="D7459" s="6" t="str">
        <f>IFERROR(__xludf.DUMMYFUNCTION("GOOGLETRANSLATE(B7459,""en"",""hy"")"),"Սըր Իսահակ Նյուտոն.")</f>
        <v>Սըր Իսահակ Նյուտոն.</v>
      </c>
    </row>
    <row r="7460">
      <c r="A7460" s="5" t="s">
        <v>9483</v>
      </c>
      <c r="B7460" s="5" t="s">
        <v>9484</v>
      </c>
      <c r="C7460" s="5" t="str">
        <f>IFERROR(__xludf.DUMMYFUNCTION("GOOGLETRANSLATE(A7460,""en"",""hy"")"),"Ո՞րն է շնաձկան մարմնի ամենամեծ օրգանը:")</f>
        <v>Ո՞րն է շնաձկան մարմնի ամենամեծ օրգանը:</v>
      </c>
      <c r="D7460" s="6" t="str">
        <f>IFERROR(__xludf.DUMMYFUNCTION("GOOGLETRANSLATE(B7460,""en"",""hy"")"),"Շնաձկների մարմնի ամենամեծ օրգանը նրա լյարդն է։")</f>
        <v>Շնաձկների մարմնի ամենամեծ օրգանը նրա լյարդն է։</v>
      </c>
    </row>
    <row r="7461">
      <c r="A7461" s="5" t="s">
        <v>7674</v>
      </c>
      <c r="B7461" s="5" t="s">
        <v>7675</v>
      </c>
      <c r="C7461" s="5" t="str">
        <f>IFERROR(__xludf.DUMMYFUNCTION("GOOGLETRANSLATE(A7461,""en"",""hy"")"),"Ո՞վ է հունական ծովի աստվածը:")</f>
        <v>Ո՞վ է հունական ծովի աստվածը:</v>
      </c>
      <c r="D7461" s="6" t="str">
        <f>IFERROR(__xludf.DUMMYFUNCTION("GOOGLETRANSLATE(B7461,""en"",""hy"")"),"Պոսեյդոն.")</f>
        <v>Պոսեյդոն.</v>
      </c>
    </row>
    <row r="7462">
      <c r="A7462" s="5" t="s">
        <v>7893</v>
      </c>
      <c r="B7462" s="5" t="s">
        <v>7894</v>
      </c>
      <c r="C7462" s="5" t="str">
        <f>IFERROR(__xludf.DUMMYFUNCTION("GOOGLETRANSLATE(A7462,""en"",""hy"")"),"Ո՞րն է կալիումի քիմիական նշանը:")</f>
        <v>Ո՞րն է կալիումի քիմիական նշանը:</v>
      </c>
      <c r="D7462" s="6" t="str">
        <f>IFERROR(__xludf.DUMMYFUNCTION("GOOGLETRANSLATE(B7462,""en"",""hy"")"),"Կալիումի քիմիական նշանը Կ.")</f>
        <v>Կալիումի քիմիական նշանը Կ.</v>
      </c>
    </row>
    <row r="7463">
      <c r="A7463" s="5" t="s">
        <v>7998</v>
      </c>
      <c r="B7463" s="5" t="s">
        <v>7999</v>
      </c>
      <c r="C7463" s="5" t="str">
        <f>IFERROR(__xludf.DUMMYFUNCTION("GOOGLETRANSLATE(A7463,""en"",""hy"")"),"Ո՞վ էր առաջին կինը, ով արժանացավ ֆիզիկայի Նոբելյան մրցանակի:")</f>
        <v>Ո՞վ էր առաջին կինը, ով արժանացավ ֆիզիկայի Նոբելյան մրցանակի:</v>
      </c>
      <c r="D7463" s="6" t="str">
        <f>IFERROR(__xludf.DUMMYFUNCTION("GOOGLETRANSLATE(B7463,""en"",""hy"")"),"Մարի Կյուրի")</f>
        <v>Մարի Կյուրի</v>
      </c>
    </row>
    <row r="7464">
      <c r="A7464" s="5" t="s">
        <v>9485</v>
      </c>
      <c r="B7464" s="5" t="s">
        <v>8471</v>
      </c>
      <c r="C7464" s="5" t="str">
        <f>IFERROR(__xludf.DUMMYFUNCTION("GOOGLETRANSLATE(A7464,""en"",""hy"")"),"Ո՞ր երկրում է գտնվում հինավուրց Մաչու Պիկչուն քաղաքը:")</f>
        <v>Ո՞ր երկրում է գտնվում հինավուրց Մաչու Պիկչուն քաղաքը:</v>
      </c>
      <c r="D7464" s="6" t="str">
        <f>IFERROR(__xludf.DUMMYFUNCTION("GOOGLETRANSLATE(B7464,""en"",""hy"")"),"Պերու.")</f>
        <v>Պերու.</v>
      </c>
    </row>
    <row r="7465">
      <c r="A7465" s="5" t="s">
        <v>9486</v>
      </c>
      <c r="B7465" s="5" t="s">
        <v>9487</v>
      </c>
      <c r="C7465" s="5" t="str">
        <f>IFERROR(__xludf.DUMMYFUNCTION("GOOGLETRANSLATE(A7465,""en"",""hy"")"),"Ո՞վ է գրել «Օդ բլբուլին» բանաստեղծությունը:")</f>
        <v>Ո՞վ է գրել «Օդ բլբուլին» բանաստեղծությունը:</v>
      </c>
      <c r="D7465" s="6" t="str">
        <f>IFERROR(__xludf.DUMMYFUNCTION("GOOGLETRANSLATE(B7465,""en"",""hy"")"),"Ջոն Քիթս.")</f>
        <v>Ջոն Քիթս.</v>
      </c>
    </row>
    <row r="7466">
      <c r="A7466" s="5" t="s">
        <v>7872</v>
      </c>
      <c r="B7466" s="5" t="s">
        <v>1307</v>
      </c>
      <c r="C7466" s="5" t="str">
        <f>IFERROR(__xludf.DUMMYFUNCTION("GOOGLETRANSLATE(A7466,""en"",""hy"")"),"Ո՞րն է Իսպանիայի մայրաքաղաքը:")</f>
        <v>Ո՞րն է Իսպանիայի մայրաքաղաքը:</v>
      </c>
      <c r="D7466" s="6" t="str">
        <f>IFERROR(__xludf.DUMMYFUNCTION("GOOGLETRANSLATE(B7466,""en"",""hy"")"),"Մադրիդ.")</f>
        <v>Մադրիդ.</v>
      </c>
    </row>
    <row r="7467">
      <c r="A7467" s="5" t="s">
        <v>9488</v>
      </c>
      <c r="B7467" s="5" t="s">
        <v>7832</v>
      </c>
      <c r="C7467" s="5" t="str">
        <f>IFERROR(__xludf.DUMMYFUNCTION("GOOGLETRANSLATE(A7467,""en"",""hy"")"),"Ո՞վ է նկարել հայտնի արվեստի գործը՝ «Վեներայի ծնունդը»:")</f>
        <v>Ո՞վ է նկարել հայտնի արվեստի գործը՝ «Վեներայի ծնունդը»:</v>
      </c>
      <c r="D7467" s="6" t="str">
        <f>IFERROR(__xludf.DUMMYFUNCTION("GOOGLETRANSLATE(B7467,""en"",""hy"")"),"Սանդրո Բոտիչելի")</f>
        <v>Սանդրո Բոտիչելի</v>
      </c>
    </row>
    <row r="7468">
      <c r="A7468" s="5" t="s">
        <v>7632</v>
      </c>
      <c r="B7468" s="5" t="s">
        <v>7633</v>
      </c>
      <c r="C7468" s="5" t="str">
        <f>IFERROR(__xludf.DUMMYFUNCTION("GOOGLETRANSLATE(A7468,""en"",""hy"")"),"Ո՞րն է մեր արեգակնային համակարգի ամենամեծ մոլորակը:")</f>
        <v>Ո՞րն է մեր արեգակնային համակարգի ամենամեծ մոլորակը:</v>
      </c>
      <c r="D7468" s="6" t="str">
        <f>IFERROR(__xludf.DUMMYFUNCTION("GOOGLETRANSLATE(B7468,""en"",""hy"")"),"Յուպիտեր.")</f>
        <v>Յուպիտեր.</v>
      </c>
    </row>
    <row r="7469">
      <c r="A7469" s="5" t="s">
        <v>7654</v>
      </c>
      <c r="B7469" s="5" t="s">
        <v>7556</v>
      </c>
      <c r="C7469" s="5" t="str">
        <f>IFERROR(__xludf.DUMMYFUNCTION("GOOGLETRANSLATE(A7469,""en"",""hy"")"),"Ո՞վ է հայտնի որպես «Ժամանակակից ֆիզիկայի հայր»:")</f>
        <v>Ո՞վ է հայտնի որպես «Ժամանակակից ֆիզիկայի հայր»:</v>
      </c>
      <c r="D7469" s="6" t="str">
        <f>IFERROR(__xludf.DUMMYFUNCTION("GOOGLETRANSLATE(B7469,""en"",""hy"")"),"Albert Einstein.")</f>
        <v>Albert Einstein.</v>
      </c>
    </row>
    <row r="7470">
      <c r="A7470" s="5" t="s">
        <v>7817</v>
      </c>
      <c r="B7470" s="5" t="s">
        <v>7818</v>
      </c>
      <c r="C7470" s="5" t="str">
        <f>IFERROR(__xludf.DUMMYFUNCTION("GOOGLETRANSLATE(A7470,""en"",""hy"")"),"Ո՞րն է Կանադայի ազգային կենդանին:")</f>
        <v>Ո՞րն է Կանադայի ազգային կենդանին:</v>
      </c>
      <c r="D7470" s="6" t="str">
        <f>IFERROR(__xludf.DUMMYFUNCTION("GOOGLETRANSLATE(B7470,""en"",""hy"")"),"Կանադայի ազգային կենդանին կեղևն է:")</f>
        <v>Կանադայի ազգային կենդանին կեղևն է:</v>
      </c>
    </row>
    <row r="7471">
      <c r="A7471" s="5" t="s">
        <v>8450</v>
      </c>
      <c r="B7471" s="5" t="s">
        <v>7824</v>
      </c>
      <c r="C7471" s="5" t="str">
        <f>IFERROR(__xludf.DUMMYFUNCTION("GOOGLETRANSLATE(A7471,""en"",""hy"")"),"Ո՞ր երկիրն է հայտնի որպես Կրակի և Սառույցի երկիր:")</f>
        <v>Ո՞ր երկիրն է հայտնի որպես Կրակի և Սառույցի երկիր:</v>
      </c>
      <c r="D7471" s="6" t="str">
        <f>IFERROR(__xludf.DUMMYFUNCTION("GOOGLETRANSLATE(B7471,""en"",""hy"")"),"Իսլանդիա.")</f>
        <v>Իսլանդիա.</v>
      </c>
    </row>
    <row r="7472">
      <c r="A7472" s="5" t="s">
        <v>9489</v>
      </c>
      <c r="B7472" s="5" t="s">
        <v>1016</v>
      </c>
      <c r="C7472" s="5" t="str">
        <f>IFERROR(__xludf.DUMMYFUNCTION("GOOGLETRANSLATE(A7472,""en"",""hy"")"),"Ո՞վ է գրել պիեսը՝ Մակբեթ։")</f>
        <v>Ո՞վ է գրել պիեսը՝ Մակբեթ։</v>
      </c>
      <c r="D7472" s="6" t="str">
        <f>IFERROR(__xludf.DUMMYFUNCTION("GOOGLETRANSLATE(B7472,""en"",""hy"")"),"Ուիլյամ Շեքսպիր.")</f>
        <v>Ուիլյամ Շեքսպիր.</v>
      </c>
    </row>
    <row r="7473">
      <c r="A7473" s="5" t="s">
        <v>7536</v>
      </c>
      <c r="B7473" s="5" t="s">
        <v>8364</v>
      </c>
      <c r="C7473" s="5" t="str">
        <f>IFERROR(__xludf.DUMMYFUNCTION("GOOGLETRANSLATE(A7473,""en"",""hy"")"),"Ո՞րն է Ռուսաստանի մայրաքաղաքը:")</f>
        <v>Ո՞րն է Ռուսաստանի մայրաքաղաքը:</v>
      </c>
      <c r="D7473" s="6" t="str">
        <f>IFERROR(__xludf.DUMMYFUNCTION("GOOGLETRANSLATE(B7473,""en"",""hy"")"),"Ռուսաստանի մայրաքաղաքը Մոսկվան է։")</f>
        <v>Ռուսաստանի մայրաքաղաքը Մոսկվան է։</v>
      </c>
    </row>
    <row r="7474">
      <c r="A7474" s="5" t="s">
        <v>9490</v>
      </c>
      <c r="B7474" s="5" t="s">
        <v>7474</v>
      </c>
      <c r="C7474" s="5" t="str">
        <f>IFERROR(__xludf.DUMMYFUNCTION("GOOGLETRANSLATE(A7474,""en"",""hy"")"),"Ո՞վ է նկարել հայտնի արվեստի գործը՝ «Ադամի ստեղծումը»:")</f>
        <v>Ո՞վ է նկարել հայտնի արվեստի գործը՝ «Ադամի ստեղծումը»:</v>
      </c>
      <c r="D7474" s="6" t="str">
        <f>IFERROR(__xludf.DUMMYFUNCTION("GOOGLETRANSLATE(B7474,""en"",""hy"")"),"Միքելանջելո.")</f>
        <v>Միքելանջելո.</v>
      </c>
    </row>
    <row r="7475">
      <c r="A7475" s="5" t="s">
        <v>8260</v>
      </c>
      <c r="B7475" s="5" t="s">
        <v>8192</v>
      </c>
      <c r="C7475" s="5" t="str">
        <f>IFERROR(__xludf.DUMMYFUNCTION("GOOGLETRANSLATE(A7475,""en"",""hy"")"),"Ո՞ր հայտնի գիտնականն է մշակել ձգողության տեսությունը:")</f>
        <v>Ո՞ր հայտնի գիտնականն է մշակել ձգողության տեսությունը:</v>
      </c>
      <c r="D7475" s="6" t="str">
        <f>IFERROR(__xludf.DUMMYFUNCTION("GOOGLETRANSLATE(B7475,""en"",""hy"")"),"Իսահակ Նյուտոն")</f>
        <v>Իսահակ Նյուտոն</v>
      </c>
    </row>
    <row r="7476">
      <c r="A7476" s="5" t="s">
        <v>9491</v>
      </c>
      <c r="B7476" s="5" t="s">
        <v>9492</v>
      </c>
      <c r="C7476" s="5" t="str">
        <f>IFERROR(__xludf.DUMMYFUNCTION("GOOGLETRANSLATE(A7476,""en"",""hy"")"),"Ո՞րն է Հարավային Ամերիկայի ամենամեծ գետը:")</f>
        <v>Ո՞րն է Հարավային Ամերիկայի ամենամեծ գետը:</v>
      </c>
      <c r="D7476" s="6" t="str">
        <f>IFERROR(__xludf.DUMMYFUNCTION("GOOGLETRANSLATE(B7476,""en"",""hy"")"),"Ամազոն գետը.")</f>
        <v>Ամազոն գետը.</v>
      </c>
    </row>
    <row r="7477">
      <c r="A7477" s="5" t="s">
        <v>8073</v>
      </c>
      <c r="B7477" s="5" t="s">
        <v>7967</v>
      </c>
      <c r="C7477" s="5" t="str">
        <f>IFERROR(__xludf.DUMMYFUNCTION("GOOGLETRANSLATE(A7477,""en"",""hy"")"),"Ո՞վ է եղել առաջին կինը, ով Նոբելյան մրցանակ է ստացել քիմիայի բնագավառում:")</f>
        <v>Ո՞վ է եղել առաջին կինը, ով Նոբելյան մրցանակ է ստացել քիմիայի բնագավառում:</v>
      </c>
      <c r="D7477" s="6" t="str">
        <f>IFERROR(__xludf.DUMMYFUNCTION("GOOGLETRANSLATE(B7477,""en"",""hy"")"),"Մարի Կյուրի.")</f>
        <v>Մարի Կյուրի.</v>
      </c>
    </row>
    <row r="7478">
      <c r="A7478" s="5" t="s">
        <v>9493</v>
      </c>
      <c r="B7478" s="5" t="s">
        <v>6824</v>
      </c>
      <c r="C7478" s="5" t="str">
        <f>IFERROR(__xludf.DUMMYFUNCTION("GOOGLETRANSLATE(A7478,""en"",""hy"")"),"Ո՞ր երկիրն է հայտնի իր ֆլամենկո պարերով և ցլամարտով:")</f>
        <v>Ո՞ր երկիրն է հայտնի իր ֆլամենկո պարերով և ցլամարտով:</v>
      </c>
      <c r="D7478" s="6" t="str">
        <f>IFERROR(__xludf.DUMMYFUNCTION("GOOGLETRANSLATE(B7478,""en"",""hy"")"),"Իսպանիա.")</f>
        <v>Իսպանիա.</v>
      </c>
    </row>
    <row r="7479">
      <c r="A7479" s="5" t="s">
        <v>9494</v>
      </c>
      <c r="B7479" s="5" t="s">
        <v>7444</v>
      </c>
      <c r="C7479" s="5" t="str">
        <f>IFERROR(__xludf.DUMMYFUNCTION("GOOGLETRANSLATE(A7479,""en"",""hy"")"),"Ո՞վ է գրել վեպը, 1984 թ.")</f>
        <v>Ո՞վ է գրել վեպը, 1984 թ.</v>
      </c>
      <c r="D7479" s="6" t="str">
        <f>IFERROR(__xludf.DUMMYFUNCTION("GOOGLETRANSLATE(B7479,""en"",""hy"")"),"Ջորջ Օրուել.")</f>
        <v>Ջորջ Օրուել.</v>
      </c>
    </row>
    <row r="7480">
      <c r="A7480" s="5" t="s">
        <v>7809</v>
      </c>
      <c r="B7480" s="5" t="s">
        <v>7810</v>
      </c>
      <c r="C7480" s="5" t="str">
        <f>IFERROR(__xludf.DUMMYFUNCTION("GOOGLETRANSLATE(A7480,""en"",""hy"")"),"Ո՞րն է հելիումի քիմիական նշանը:")</f>
        <v>Ո՞րն է հելիումի քիմիական նշանը:</v>
      </c>
      <c r="D7480" s="6" t="str">
        <f>IFERROR(__xludf.DUMMYFUNCTION("GOOGLETRANSLATE(B7480,""en"",""hy"")"),"Նա")</f>
        <v>Նա</v>
      </c>
    </row>
    <row r="7481">
      <c r="A7481" s="5" t="s">
        <v>7500</v>
      </c>
      <c r="B7481" s="5" t="s">
        <v>7501</v>
      </c>
      <c r="C7481" s="5" t="str">
        <f>IFERROR(__xludf.DUMMYFUNCTION("GOOGLETRANSLATE(A7481,""en"",""hy"")"),"Ո՞րն է Ֆրանսիայի մայրաքաղաքը:")</f>
        <v>Ո՞րն է Ֆրանսիայի մայրաքաղաքը:</v>
      </c>
      <c r="D7481" s="6" t="str">
        <f>IFERROR(__xludf.DUMMYFUNCTION("GOOGLETRANSLATE(B7481,""en"",""hy"")"),"Փարիզ.")</f>
        <v>Փարիզ.</v>
      </c>
    </row>
    <row r="7482">
      <c r="A7482" s="5" t="s">
        <v>7534</v>
      </c>
      <c r="B7482" s="5" t="s">
        <v>7535</v>
      </c>
      <c r="C7482" s="5" t="str">
        <f>IFERROR(__xludf.DUMMYFUNCTION("GOOGLETRANSLATE(A7482,""en"",""hy"")"),"Ո՞վ է հորինել հեռախոսը:")</f>
        <v>Ո՞վ է հորինել հեռախոսը:</v>
      </c>
      <c r="D7482" s="6" t="str">
        <f>IFERROR(__xludf.DUMMYFUNCTION("GOOGLETRANSLATE(B7482,""en"",""hy"")"),"Ալեքսանդր Գրեհեմ Բել.")</f>
        <v>Ալեքսանդր Գրեհեմ Բել.</v>
      </c>
    </row>
    <row r="7483">
      <c r="A7483" s="5" t="s">
        <v>7461</v>
      </c>
      <c r="B7483" s="5" t="s">
        <v>7639</v>
      </c>
      <c r="C7483" s="5" t="str">
        <f>IFERROR(__xludf.DUMMYFUNCTION("GOOGLETRANSLATE(A7483,""en"",""hy"")"),"Ո՞րն է մարդու մարմնի ամենամեծ օրգանը:")</f>
        <v>Ո՞րն է մարդու մարմնի ամենամեծ օրգանը:</v>
      </c>
      <c r="D7483" s="6" t="str">
        <f>IFERROR(__xludf.DUMMYFUNCTION("GOOGLETRANSLATE(B7483,""en"",""hy"")"),"Մարդու մարմնի ամենամեծ օրգանը մաշկն է։")</f>
        <v>Մարդու մարմնի ամենամեծ օրգանը մաշկն է։</v>
      </c>
    </row>
    <row r="7484">
      <c r="A7484" s="5" t="s">
        <v>7779</v>
      </c>
      <c r="B7484" s="5" t="s">
        <v>7446</v>
      </c>
      <c r="C7484" s="5" t="str">
        <f>IFERROR(__xludf.DUMMYFUNCTION("GOOGLETRANSLATE(A7484,""en"",""hy"")"),"Ո՞ր մոլորակն է հայտնի որպես «Կարմիր մոլորակ»:")</f>
        <v>Ո՞ր մոլորակն է հայտնի որպես «Կարմիր մոլորակ»:</v>
      </c>
      <c r="D7484" s="6" t="str">
        <f>IFERROR(__xludf.DUMMYFUNCTION("GOOGLETRANSLATE(B7484,""en"",""hy"")"),"Մարս.")</f>
        <v>Մարս.</v>
      </c>
    </row>
    <row r="7485">
      <c r="A7485" s="5" t="s">
        <v>7849</v>
      </c>
      <c r="B7485" s="5" t="s">
        <v>7541</v>
      </c>
      <c r="C7485" s="5" t="str">
        <f>IFERROR(__xludf.DUMMYFUNCTION("GOOGLETRANSLATE(A7485,""en"",""hy"")"),"Ո՞վ է գրել «Սպանել ծաղրող թռչունին» վեպը:")</f>
        <v>Ո՞վ է գրել «Սպանել ծաղրող թռչունին» վեպը:</v>
      </c>
      <c r="D7485" s="6" t="str">
        <f>IFERROR(__xludf.DUMMYFUNCTION("GOOGLETRANSLATE(B7485,""en"",""hy"")"),"Հարփեր Լի.")</f>
        <v>Հարփեր Լի.</v>
      </c>
    </row>
    <row r="7486">
      <c r="A7486" s="5" t="s">
        <v>7452</v>
      </c>
      <c r="B7486" s="5" t="s">
        <v>7453</v>
      </c>
      <c r="C7486" s="5" t="str">
        <f>IFERROR(__xludf.DUMMYFUNCTION("GOOGLETRANSLATE(A7486,""en"",""hy"")"),"Ո՞րն է ոսկու քիմիական նշանը:")</f>
        <v>Ո՞րն է ոսկու քիմիական նշանը:</v>
      </c>
      <c r="D7486" s="6" t="str">
        <f>IFERROR(__xludf.DUMMYFUNCTION("GOOGLETRANSLATE(B7486,""en"",""hy"")"),"Ոսկու քիմիական նշանը Au-ն է:")</f>
        <v>Ոսկու քիմիական նշանը Au-ն է:</v>
      </c>
    </row>
    <row r="7487">
      <c r="A7487" s="5" t="s">
        <v>7469</v>
      </c>
      <c r="B7487" s="7">
        <v>1945.0</v>
      </c>
      <c r="C7487" s="5" t="str">
        <f>IFERROR(__xludf.DUMMYFUNCTION("GOOGLETRANSLATE(A7487,""en"",""hy"")"),"Ո՞ր տարում ավարտվեց Երկրորդ համաշխարհային պատերազմը:")</f>
        <v>Ո՞ր տարում ավարտվեց Երկրորդ համաշխարհային պատերազմը:</v>
      </c>
      <c r="D7487" s="6" t="str">
        <f>IFERROR(__xludf.DUMMYFUNCTION("GOOGLETRANSLATE(B7487,""en"",""hy"")"),"1945 թ")</f>
        <v>1945 թ</v>
      </c>
    </row>
    <row r="7488">
      <c r="A7488" s="5" t="s">
        <v>7480</v>
      </c>
      <c r="B7488" s="5" t="s">
        <v>7481</v>
      </c>
      <c r="C7488" s="5" t="str">
        <f>IFERROR(__xludf.DUMMYFUNCTION("GOOGLETRANSLATE(A7488,""en"",""hy"")"),"Ո՞րն է Միացյալ Նահանգների ազգային թռչունը:")</f>
        <v>Ո՞րն է Միացյալ Նահանգների ազգային թռչունը:</v>
      </c>
      <c r="D7488" s="6" t="str">
        <f>IFERROR(__xludf.DUMMYFUNCTION("GOOGLETRANSLATE(B7488,""en"",""hy"")"),"Միացյալ Նահանգների ազգային թռչունը ճաղատ արծիվն է։")</f>
        <v>Միացյալ Նահանգների ազգային թռչունը ճաղատ արծիվն է։</v>
      </c>
    </row>
    <row r="7489">
      <c r="A7489" s="5" t="s">
        <v>7447</v>
      </c>
      <c r="B7489" s="5" t="s">
        <v>7448</v>
      </c>
      <c r="C7489" s="5" t="str">
        <f>IFERROR(__xludf.DUMMYFUNCTION("GOOGLETRANSLATE(A7489,""en"",""hy"")"),"Ո՞վ է նկարել Մոնա Լիզան:")</f>
        <v>Ո՞վ է նկարել Մոնա Լիզան:</v>
      </c>
      <c r="D7489" s="6" t="str">
        <f>IFERROR(__xludf.DUMMYFUNCTION("GOOGLETRANSLATE(B7489,""en"",""hy"")"),"Լեոնարդո դա Վինչի.")</f>
        <v>Լեոնարդո դա Վինչի.</v>
      </c>
    </row>
    <row r="7490">
      <c r="A7490" s="5" t="s">
        <v>7455</v>
      </c>
      <c r="B7490" s="5" t="s">
        <v>7646</v>
      </c>
      <c r="C7490" s="5" t="str">
        <f>IFERROR(__xludf.DUMMYFUNCTION("GOOGLETRANSLATE(A7490,""en"",""hy"")"),"Ո՞րն է աշխարհի ամենամեծ օվկիանոսը:")</f>
        <v>Ո՞րն է աշխարհի ամենամեծ օվկիանոսը:</v>
      </c>
      <c r="D7490" s="6" t="str">
        <f>IFERROR(__xludf.DUMMYFUNCTION("GOOGLETRANSLATE(B7490,""en"",""hy"")"),"Խաղաղ օվկիանոս.")</f>
        <v>Խաղաղ օվկիանոս.</v>
      </c>
    </row>
    <row r="7491">
      <c r="A7491" s="5" t="s">
        <v>7463</v>
      </c>
      <c r="B7491" s="5" t="s">
        <v>7464</v>
      </c>
      <c r="C7491" s="5" t="str">
        <f>IFERROR(__xludf.DUMMYFUNCTION("GOOGLETRANSLATE(A7491,""en"",""hy"")"),"Ո՞րն է աշխարհի ամենաբարձր լեռը:")</f>
        <v>Ո՞րն է աշխարհի ամենաբարձր լեռը:</v>
      </c>
      <c r="D7491" s="6" t="str">
        <f>IFERROR(__xludf.DUMMYFUNCTION("GOOGLETRANSLATE(B7491,""en"",""hy"")"),"Էվերեստ լեռ.")</f>
        <v>Էվերեստ լեռ.</v>
      </c>
    </row>
    <row r="7492">
      <c r="A7492" s="5" t="s">
        <v>8959</v>
      </c>
      <c r="B7492" s="5" t="s">
        <v>2790</v>
      </c>
      <c r="C7492" s="5" t="str">
        <f>IFERROR(__xludf.DUMMYFUNCTION("GOOGLETRANSLATE(A7492,""en"",""hy"")"),"Ո՞ր երկրում կգտնեք Մեծ պատը:")</f>
        <v>Ո՞ր երկրում կգտնեք Մեծ պատը:</v>
      </c>
      <c r="D7492" s="6" t="str">
        <f>IFERROR(__xludf.DUMMYFUNCTION("GOOGLETRANSLATE(B7492,""en"",""hy"")"),"Չինաստան.")</f>
        <v>Չինաստան.</v>
      </c>
    </row>
    <row r="7493">
      <c r="A7493" s="5" t="s">
        <v>8161</v>
      </c>
      <c r="B7493" s="5" t="s">
        <v>8162</v>
      </c>
      <c r="C7493" s="5" t="str">
        <f>IFERROR(__xludf.DUMMYFUNCTION("GOOGLETRANSLATE(A7493,""en"",""hy"")"),"Ո՞րն է Ճապոնիայի ազգային ծաղիկը:")</f>
        <v>Ո՞րն է Ճապոնիայի ազգային ծաղիկը:</v>
      </c>
      <c r="D7493" s="6" t="str">
        <f>IFERROR(__xludf.DUMMYFUNCTION("GOOGLETRANSLATE(B7493,""en"",""hy"")"),"Ճապոնիայի ազգային ծաղիկը բալի ծաղիկն է:")</f>
        <v>Ճապոնիայի ազգային ծաղիկը բալի ծաղիկն է:</v>
      </c>
    </row>
    <row r="7494">
      <c r="A7494" s="5" t="s">
        <v>8637</v>
      </c>
      <c r="B7494" s="5" t="s">
        <v>7607</v>
      </c>
      <c r="C7494" s="5" t="str">
        <f>IFERROR(__xludf.DUMMYFUNCTION("GOOGLETRANSLATE(A7494,""en"",""hy"")"),"Ո՞վ է հայտնի որպես «Էվոլյուցիայի հայր»:")</f>
        <v>Ո՞վ է հայտնի որպես «Էվոլյուցիայի հայր»:</v>
      </c>
      <c r="D7494" s="6" t="str">
        <f>IFERROR(__xludf.DUMMYFUNCTION("GOOGLETRANSLATE(B7494,""en"",""hy"")"),"Չարլզ Դարվին.")</f>
        <v>Չարլզ Դարվին.</v>
      </c>
    </row>
    <row r="7495">
      <c r="A7495" s="5" t="s">
        <v>7915</v>
      </c>
      <c r="B7495" s="5" t="s">
        <v>7916</v>
      </c>
      <c r="C7495" s="5" t="str">
        <f>IFERROR(__xludf.DUMMYFUNCTION("GOOGLETRANSLATE(A7495,""en"",""hy"")"),"Քանի՞ ոսկոր կա մարդու մարմնում:")</f>
        <v>Քանի՞ ոսկոր կա մարդու մարմնում:</v>
      </c>
      <c r="D7495" s="6" t="str">
        <f>IFERROR(__xludf.DUMMYFUNCTION("GOOGLETRANSLATE(B7495,""en"",""hy"")"),"Մարդու մարմնում կա 206 ոսկոր։")</f>
        <v>Մարդու մարմնում կա 206 ոսկոր։</v>
      </c>
    </row>
    <row r="7496">
      <c r="A7496" s="5" t="s">
        <v>7588</v>
      </c>
      <c r="B7496" s="5" t="s">
        <v>1958</v>
      </c>
      <c r="C7496" s="5" t="str">
        <f>IFERROR(__xludf.DUMMYFUNCTION("GOOGLETRANSLATE(A7496,""en"",""hy"")"),"Ո՞ր երկիրն է հայտնի իր կակաչներով:")</f>
        <v>Ո՞ր երկիրն է հայտնի իր կակաչներով:</v>
      </c>
      <c r="D7496" s="6" t="str">
        <f>IFERROR(__xludf.DUMMYFUNCTION("GOOGLETRANSLATE(B7496,""en"",""hy"")"),"Նիդեռլանդներ.")</f>
        <v>Նիդեռլանդներ.</v>
      </c>
    </row>
    <row r="7497">
      <c r="A7497" s="5" t="s">
        <v>7966</v>
      </c>
      <c r="B7497" s="5" t="s">
        <v>7967</v>
      </c>
      <c r="C7497" s="5" t="str">
        <f>IFERROR(__xludf.DUMMYFUNCTION("GOOGLETRANSLATE(A7497,""en"",""hy"")"),"Ո՞վ է եղել առաջին կինը, ով Նոբելյան մրցանակ է ստացել:")</f>
        <v>Ո՞վ է եղել առաջին կինը, ով Նոբելյան մրցանակ է ստացել:</v>
      </c>
      <c r="D7497" s="6" t="str">
        <f>IFERROR(__xludf.DUMMYFUNCTION("GOOGLETRANSLATE(B7497,""en"",""hy"")"),"Մարի Կյուրի.")</f>
        <v>Մարի Կյուրի.</v>
      </c>
    </row>
    <row r="7498">
      <c r="A7498" s="5" t="s">
        <v>7450</v>
      </c>
      <c r="B7498" s="5" t="s">
        <v>9096</v>
      </c>
      <c r="C7498" s="5" t="str">
        <f>IFERROR(__xludf.DUMMYFUNCTION("GOOGLETRANSLATE(A7498,""en"",""hy"")"),"Ո՞րն է Ավստրալիայի մայրաքաղաքը:")</f>
        <v>Ո՞րն է Ավստրալիայի մայրաքաղաքը:</v>
      </c>
      <c r="D7498" s="6" t="str">
        <f>IFERROR(__xludf.DUMMYFUNCTION("GOOGLETRANSLATE(B7498,""en"",""hy"")"),"Կանբերա")</f>
        <v>Կանբերա</v>
      </c>
    </row>
    <row r="7499">
      <c r="A7499" s="5" t="s">
        <v>7592</v>
      </c>
      <c r="B7499" s="5" t="s">
        <v>7593</v>
      </c>
      <c r="C7499" s="5" t="str">
        <f>IFERROR(__xludf.DUMMYFUNCTION("GOOGLETRANSLATE(A7499,""en"",""hy"")"),"Ո՞րն է թթվածնի քիմիական նշանը:")</f>
        <v>Ո՞րն է թթվածնի քիմիական նշանը:</v>
      </c>
      <c r="D7499" s="6" t="str">
        <f>IFERROR(__xludf.DUMMYFUNCTION("GOOGLETRANSLATE(B7499,""en"",""hy"")"),"Թթվածնի քիմիական նշանը O է:")</f>
        <v>Թթվածնի քիմիական նշանը O է:</v>
      </c>
    </row>
    <row r="7500">
      <c r="A7500" s="5" t="s">
        <v>9495</v>
      </c>
      <c r="B7500" s="5" t="s">
        <v>9496</v>
      </c>
      <c r="C7500" s="5" t="str">
        <f>IFERROR(__xludf.DUMMYFUNCTION("GOOGLETRANSLATE(A7500,""en"",""hy"")"),"Ո՞ր երկու գույներն են սովորաբար կապված Միավորված ազգերի կազմակերպության հետ:")</f>
        <v>Ո՞ր երկու գույներն են սովորաբար կապված Միավորված ազգերի կազմակերպության հետ:</v>
      </c>
      <c r="D7500" s="6" t="str">
        <f>IFERROR(__xludf.DUMMYFUNCTION("GOOGLETRANSLATE(B7500,""en"",""hy"")"),"Կապույտ և սպիտակ")</f>
        <v>Կապույտ և սպիտակ</v>
      </c>
    </row>
    <row r="7501">
      <c r="A7501" s="5" t="s">
        <v>7640</v>
      </c>
      <c r="B7501" s="5" t="s">
        <v>1016</v>
      </c>
      <c r="C7501" s="5" t="str">
        <f>IFERROR(__xludf.DUMMYFUNCTION("GOOGLETRANSLATE(A7501,""en"",""hy"")"),"Ո՞վ է գրել «Ռոմեո և Ջուլիետ» պիեսը:")</f>
        <v>Ո՞վ է գրել «Ռոմեո և Ջուլիետ» պիեսը:</v>
      </c>
      <c r="D7501" s="6" t="str">
        <f>IFERROR(__xludf.DUMMYFUNCTION("GOOGLETRANSLATE(B7501,""en"",""hy"")"),"Ուիլյամ Շեքսպիր.")</f>
        <v>Ուիլյամ Շեքսպիր.</v>
      </c>
    </row>
    <row r="7502">
      <c r="A7502" s="5" t="s">
        <v>7632</v>
      </c>
      <c r="B7502" s="5" t="s">
        <v>7912</v>
      </c>
      <c r="C7502" s="5" t="str">
        <f>IFERROR(__xludf.DUMMYFUNCTION("GOOGLETRANSLATE(A7502,""en"",""hy"")"),"Ո՞րն է մեր արեգակնային համակարգի ամենամեծ մոլորակը:")</f>
        <v>Ո՞րն է մեր արեգակնային համակարգի ամենամեծ մոլորակը:</v>
      </c>
      <c r="D7502" s="6" t="str">
        <f>IFERROR(__xludf.DUMMYFUNCTION("GOOGLETRANSLATE(B7502,""en"",""hy"")"),"Յուպիտեր")</f>
        <v>Յուպիտեր</v>
      </c>
    </row>
    <row r="7503">
      <c r="A7503" s="5" t="s">
        <v>9497</v>
      </c>
      <c r="B7503" s="5" t="s">
        <v>9498</v>
      </c>
      <c r="C7503" s="5" t="str">
        <f>IFERROR(__xludf.DUMMYFUNCTION("GOOGLETRANSLATE(A7503,""en"",""hy"")"),"Ո՞ր երկրում է հայտնագործվել խոշորացույցը.")</f>
        <v>Ո՞ր երկրում է հայտնագործվել խոշորացույցը.</v>
      </c>
      <c r="D7503" s="6" t="str">
        <f>IFERROR(__xludf.DUMMYFUNCTION("GOOGLETRANSLATE(B7503,""en"",""hy"")"),"Խոշորացույցը հայտնագործվել է Իտալիայում։")</f>
        <v>Խոշորացույցը հայտնագործվել է Իտալիայում։</v>
      </c>
    </row>
    <row r="7504">
      <c r="A7504" s="5" t="s">
        <v>8351</v>
      </c>
      <c r="B7504" s="5" t="s">
        <v>9499</v>
      </c>
      <c r="C7504" s="5" t="str">
        <f>IFERROR(__xludf.DUMMYFUNCTION("GOOGLETRANSLATE(A7504,""en"",""hy"")"),"Ո՞րն է Հնդկաստանի ազգային պտուղը:")</f>
        <v>Ո՞րն է Հնդկաստանի ազգային պտուղը:</v>
      </c>
      <c r="D7504" s="6" t="str">
        <f>IFERROR(__xludf.DUMMYFUNCTION("GOOGLETRANSLATE(B7504,""en"",""hy"")"),"Մանգո.")</f>
        <v>Մանգո.</v>
      </c>
    </row>
    <row r="7505">
      <c r="A7505" s="5" t="s">
        <v>9500</v>
      </c>
      <c r="B7505" s="5" t="s">
        <v>9214</v>
      </c>
      <c r="C7505" s="5" t="str">
        <f>IFERROR(__xludf.DUMMYFUNCTION("GOOGLETRANSLATE(A7505,""en"",""hy"")"),"Ո՞ւմ է վերագրվում էլեկտրաէներգիայի հայտնաբերումը:")</f>
        <v>Ո՞ւմ է վերագրվում էլեկտրաէներգիայի հայտնաբերումը:</v>
      </c>
      <c r="D7505" s="6" t="str">
        <f>IFERROR(__xludf.DUMMYFUNCTION("GOOGLETRANSLATE(B7505,""en"",""hy"")"),"Բենջամին Ֆրանկլին.")</f>
        <v>Բենջամին Ֆրանկլին.</v>
      </c>
    </row>
    <row r="7506">
      <c r="A7506" s="5" t="s">
        <v>7506</v>
      </c>
      <c r="B7506" s="5" t="s">
        <v>7507</v>
      </c>
      <c r="C7506" s="5" t="str">
        <f>IFERROR(__xludf.DUMMYFUNCTION("GOOGLETRANSLATE(A7506,""en"",""hy"")"),"Ո՞րն է աշխարհի ամենափոքր երկիրը:")</f>
        <v>Ո՞րն է աշխարհի ամենափոքր երկիրը:</v>
      </c>
      <c r="D7506" s="6" t="str">
        <f>IFERROR(__xludf.DUMMYFUNCTION("GOOGLETRANSLATE(B7506,""en"",""hy"")"),"Քաղաք Վատիկան.")</f>
        <v>Քաղաք Վատիկան.</v>
      </c>
    </row>
    <row r="7507">
      <c r="A7507" s="5" t="s">
        <v>9501</v>
      </c>
      <c r="B7507" s="5" t="s">
        <v>551</v>
      </c>
      <c r="C7507" s="5" t="str">
        <f>IFERROR(__xludf.DUMMYFUNCTION("GOOGLETRANSLATE(A7507,""en"",""hy"")"),"Ո՞ր պատերազմն է եղել ԱՄՆ-ում 1861-1865 թվականներին:")</f>
        <v>Ո՞ր պատերազմն է եղել ԱՄՆ-ում 1861-1865 թվականներին:</v>
      </c>
      <c r="D7507" s="6" t="str">
        <f>IFERROR(__xludf.DUMMYFUNCTION("GOOGLETRANSLATE(B7507,""en"",""hy"")"),"Ամերիկյան քաղաքացիական պատերազմ.")</f>
        <v>Ամերիկյան քաղաքացիական պատերազմ.</v>
      </c>
    </row>
    <row r="7508">
      <c r="A7508" s="5" t="s">
        <v>7757</v>
      </c>
      <c r="B7508" s="5" t="s">
        <v>7648</v>
      </c>
      <c r="C7508" s="5" t="str">
        <f>IFERROR(__xludf.DUMMYFUNCTION("GOOGLETRANSLATE(A7508,""en"",""hy"")"),"Ո՞վ է նկարել հայտնի «Աստղային գիշեր» արվեստի գործը:")</f>
        <v>Ո՞վ է նկարել հայտնի «Աստղային գիշեր» արվեստի գործը:</v>
      </c>
      <c r="D7508" s="6" t="str">
        <f>IFERROR(__xludf.DUMMYFUNCTION("GOOGLETRANSLATE(B7508,""en"",""hy"")"),"Վինսենթ վան Գոգ.")</f>
        <v>Վինսենթ վան Գոգ.</v>
      </c>
    </row>
    <row r="7509">
      <c r="A7509" s="5" t="s">
        <v>8187</v>
      </c>
      <c r="B7509" s="5" t="s">
        <v>8188</v>
      </c>
      <c r="C7509" s="5" t="str">
        <f>IFERROR(__xludf.DUMMYFUNCTION("GOOGLETRANSLATE(A7509,""en"",""hy"")"),"Քանի՞ խցիկ ունի մարդու սիրտը:")</f>
        <v>Քանի՞ խցիկ ունի մարդու սիրտը:</v>
      </c>
      <c r="D7509" s="6" t="str">
        <f>IFERROR(__xludf.DUMMYFUNCTION("GOOGLETRANSLATE(B7509,""en"",""hy"")"),"Մարդու սիրտն ունի չորս խցիկ.")</f>
        <v>Մարդու սիրտն ունի չորս խցիկ.</v>
      </c>
    </row>
    <row r="7510">
      <c r="A7510" s="5" t="s">
        <v>7780</v>
      </c>
      <c r="B7510" s="5" t="s">
        <v>2951</v>
      </c>
      <c r="C7510" s="5" t="str">
        <f>IFERROR(__xludf.DUMMYFUNCTION("GOOGLETRANSLATE(A7510,""en"",""hy"")"),"Ո՞րն է Կանադայի մայրաքաղաքը:")</f>
        <v>Ո՞րն է Կանադայի մայրաքաղաքը:</v>
      </c>
      <c r="D7510" s="6" t="str">
        <f>IFERROR(__xludf.DUMMYFUNCTION("GOOGLETRANSLATE(B7510,""en"",""hy"")"),"Օտտավա.")</f>
        <v>Օտտավա.</v>
      </c>
    </row>
    <row r="7511">
      <c r="A7511" s="5" t="s">
        <v>7699</v>
      </c>
      <c r="B7511" s="5" t="s">
        <v>7700</v>
      </c>
      <c r="C7511" s="5" t="str">
        <f>IFERROR(__xludf.DUMMYFUNCTION("GOOGLETRANSLATE(A7511,""en"",""hy"")"),"Ո՞րն է ածխածնի քիմիական նշանը:")</f>
        <v>Ո՞րն է ածխածնի քիմիական նշանը:</v>
      </c>
      <c r="D7511" s="6" t="str">
        <f>IFERROR(__xludf.DUMMYFUNCTION("GOOGLETRANSLATE(B7511,""en"",""hy"")"),"Ածխածնի քիմիական նշանը C է:")</f>
        <v>Ածխածնի քիմիական նշանը C է:</v>
      </c>
    </row>
    <row r="7512">
      <c r="A7512" s="5" t="s">
        <v>8023</v>
      </c>
      <c r="B7512" s="5" t="s">
        <v>8632</v>
      </c>
      <c r="C7512" s="5" t="str">
        <f>IFERROR(__xludf.DUMMYFUNCTION("GOOGLETRANSLATE(A7512,""en"",""hy"")"),"Ո՞րն է աշխարհի ամենաբարձր կենդանին:")</f>
        <v>Ո՞րն է աշխարհի ամենաբարձր կենդանին:</v>
      </c>
      <c r="D7512" s="6" t="str">
        <f>IFERROR(__xludf.DUMMYFUNCTION("GOOGLETRANSLATE(B7512,""en"",""hy"")"),"Ընձուղտն աշխարհի ամենաբարձր կենդանին է։")</f>
        <v>Ընձուղտն աշխարհի ամենաբարձր կենդանին է։</v>
      </c>
    </row>
    <row r="7513">
      <c r="A7513" s="5" t="s">
        <v>9502</v>
      </c>
      <c r="B7513" s="5" t="s">
        <v>7512</v>
      </c>
      <c r="C7513" s="5" t="str">
        <f>IFERROR(__xludf.DUMMYFUNCTION("GOOGLETRANSLATE(A7513,""en"",""hy"")"),"Ո՞ր երկրում կգտնեք Նեղոս գետը:")</f>
        <v>Ո՞ր երկրում կգտնեք Նեղոս գետը:</v>
      </c>
      <c r="D7513" s="6" t="str">
        <f>IFERROR(__xludf.DUMMYFUNCTION("GOOGLETRANSLATE(B7513,""en"",""hy"")"),"Եգիպտոս.")</f>
        <v>Եգիպտոս.</v>
      </c>
    </row>
    <row r="7514">
      <c r="A7514" s="5" t="s">
        <v>7485</v>
      </c>
      <c r="B7514" s="5" t="s">
        <v>7486</v>
      </c>
      <c r="C7514" s="5" t="str">
        <f>IFERROR(__xludf.DUMMYFUNCTION("GOOGLETRANSLATE(A7514,""en"",""hy"")"),"Ո՞վ է Հարի Փոթերի շարքի հեղինակը:")</f>
        <v>Ո՞վ է Հարի Փոթերի շարքի հեղինակը:</v>
      </c>
      <c r="D7514" s="6" t="str">
        <f>IFERROR(__xludf.DUMMYFUNCTION("GOOGLETRANSLATE(B7514,""en"",""hy"")"),"Ջ.Կ. Ռոուլինգ.")</f>
        <v>Ջ.Կ. Ռոուլինգ.</v>
      </c>
    </row>
    <row r="7515">
      <c r="A7515" s="5" t="s">
        <v>7513</v>
      </c>
      <c r="B7515" s="5" t="s">
        <v>7783</v>
      </c>
      <c r="C7515" s="5" t="str">
        <f>IFERROR(__xludf.DUMMYFUNCTION("GOOGLETRANSLATE(A7515,""en"",""hy"")"),"Ո՞րն է աշխարհի ամենամեծ անապատը:")</f>
        <v>Ո՞րն է աշխարհի ամենամեծ անապատը:</v>
      </c>
      <c r="D7515" s="6" t="str">
        <f>IFERROR(__xludf.DUMMYFUNCTION("GOOGLETRANSLATE(B7515,""en"",""hy"")"),"Սահարա անապատ.")</f>
        <v>Սահարա անապատ.</v>
      </c>
    </row>
    <row r="7516">
      <c r="A7516" s="5" t="s">
        <v>8198</v>
      </c>
      <c r="B7516" s="5" t="s">
        <v>8199</v>
      </c>
      <c r="C7516" s="5" t="str">
        <f>IFERROR(__xludf.DUMMYFUNCTION("GOOGLETRANSLATE(A7516,""en"",""hy"")"),"Ո՞րն է Չինաստանի ազգային կենդանին:")</f>
        <v>Ո՞րն է Չինաստանի ազգային կենդանին:</v>
      </c>
      <c r="D7516" s="6" t="str">
        <f>IFERROR(__xludf.DUMMYFUNCTION("GOOGLETRANSLATE(B7516,""en"",""hy"")"),"Չինաստանի ազգային կենդանին հսկա պանդան է։")</f>
        <v>Չինաստանի ազգային կենդանին հսկա պանդան է։</v>
      </c>
    </row>
    <row r="7517">
      <c r="A7517" s="5" t="s">
        <v>9503</v>
      </c>
      <c r="B7517" s="5" t="s">
        <v>9504</v>
      </c>
      <c r="C7517" s="5" t="str">
        <f>IFERROR(__xludf.DUMMYFUNCTION("GOOGLETRANSLATE(A7517,""en"",""hy"")"),"Որքա՞ն է եռանկյան անկյունների գումարը:")</f>
        <v>Որքա՞ն է եռանկյան անկյունների գումարը:</v>
      </c>
      <c r="D7517" s="6" t="str">
        <f>IFERROR(__xludf.DUMMYFUNCTION("GOOGLETRANSLATE(B7517,""en"",""hy"")"),"Եռանկյան անկյունների գումարը 180 աստիճան է։")</f>
        <v>Եռանկյան անկյունների գումարը 180 աստիճան է։</v>
      </c>
    </row>
    <row r="7518">
      <c r="A7518" s="5" t="s">
        <v>8307</v>
      </c>
      <c r="B7518" s="5" t="s">
        <v>7921</v>
      </c>
      <c r="C7518" s="5" t="str">
        <f>IFERROR(__xludf.DUMMYFUNCTION("GOOGLETRANSLATE(A7518,""en"",""hy"")"),"Ո՞ր երկրում է հորինվել շախմատի խաղը.")</f>
        <v>Ո՞ր երկրում է հորինվել շախմատի խաղը.</v>
      </c>
      <c r="D7518" s="6" t="str">
        <f>IFERROR(__xludf.DUMMYFUNCTION("GOOGLETRANSLATE(B7518,""en"",""hy"")"),"Հնդկաստան.")</f>
        <v>Հնդկաստան.</v>
      </c>
    </row>
    <row r="7519">
      <c r="A7519" s="5" t="s">
        <v>9505</v>
      </c>
      <c r="B7519" s="5" t="s">
        <v>7458</v>
      </c>
      <c r="C7519" s="5" t="str">
        <f>IFERROR(__xludf.DUMMYFUNCTION("GOOGLETRANSLATE(A7519,""en"",""hy"")"),"Ո՞վ է եղել Ամերիկայի առաջին նախագահը:")</f>
        <v>Ո՞վ է եղել Ամերիկայի առաջին նախագահը:</v>
      </c>
      <c r="D7519" s="6" t="str">
        <f>IFERROR(__xludf.DUMMYFUNCTION("GOOGLETRANSLATE(B7519,""en"",""hy"")"),"Ջորջ Վաշինգտոն.")</f>
        <v>Ջորջ Վաշինգտոն.</v>
      </c>
    </row>
    <row r="7520">
      <c r="A7520" s="5" t="s">
        <v>7574</v>
      </c>
      <c r="B7520" s="5" t="s">
        <v>7525</v>
      </c>
      <c r="C7520" s="5" t="str">
        <f>IFERROR(__xludf.DUMMYFUNCTION("GOOGLETRANSLATE(A7520,""en"",""hy"")"),"Ո՞րն է Չինաստանի մայրաքաղաքը:")</f>
        <v>Ո՞րն է Չինաստանի մայրաքաղաքը:</v>
      </c>
      <c r="D7520" s="6" t="str">
        <f>IFERROR(__xludf.DUMMYFUNCTION("GOOGLETRANSLATE(B7520,""en"",""hy"")"),"Պեկին.")</f>
        <v>Պեկին.</v>
      </c>
    </row>
    <row r="7521">
      <c r="A7521" s="5" t="s">
        <v>9506</v>
      </c>
      <c r="B7521" s="5" t="s">
        <v>9507</v>
      </c>
      <c r="C7521" s="5" t="str">
        <f>IFERROR(__xludf.DUMMYFUNCTION("GOOGLETRANSLATE(A7521,""en"",""hy"")"),"Ո՞ր տարրն է սովորաբար օգտագործվում լամպերի մեջ:")</f>
        <v>Ո՞ր տարրն է սովորաբար օգտագործվում լամպերի մեջ:</v>
      </c>
      <c r="D7521" s="6" t="str">
        <f>IFERROR(__xludf.DUMMYFUNCTION("GOOGLETRANSLATE(B7521,""en"",""hy"")"),"Վոլֆրամ.")</f>
        <v>Վոլֆրամ.</v>
      </c>
    </row>
    <row r="7522">
      <c r="A7522" s="5" t="s">
        <v>8941</v>
      </c>
      <c r="B7522" s="5" t="s">
        <v>9508</v>
      </c>
      <c r="C7522" s="5" t="str">
        <f>IFERROR(__xludf.DUMMYFUNCTION("GOOGLETRANSLATE(A7522,""en"",""hy"")"),"Ինչպե՞ս է կոչվում հայտնի նավը, որը խորտակվել է 1912թ.")</f>
        <v>Ինչպե՞ս է կոչվում հայտնի նավը, որը խորտակվել է 1912թ.</v>
      </c>
      <c r="D7522" s="6" t="str">
        <f>IFERROR(__xludf.DUMMYFUNCTION("GOOGLETRANSLATE(B7522,""en"",""hy"")"),"1912 թվականին խորտակված հայտնի նավի անունը Տիտանիկ է։")</f>
        <v>1912 թվականին խորտակված հայտնի նավի անունը Տիտանիկ է։</v>
      </c>
    </row>
    <row r="7523">
      <c r="A7523" s="5" t="s">
        <v>7473</v>
      </c>
      <c r="B7523" s="5" t="s">
        <v>7474</v>
      </c>
      <c r="C7523" s="5" t="str">
        <f>IFERROR(__xludf.DUMMYFUNCTION("GOOGLETRANSLATE(A7523,""en"",""hy"")"),"Ո՞վ է նկարել Սիքստինյան կապելլայի առաստաղը:")</f>
        <v>Ո՞վ է նկարել Սիքստինյան կապելլայի առաստաղը:</v>
      </c>
      <c r="D7523" s="6" t="str">
        <f>IFERROR(__xludf.DUMMYFUNCTION("GOOGLETRANSLATE(B7523,""en"",""hy"")"),"Միքելանջելո.")</f>
        <v>Միքելանջելո.</v>
      </c>
    </row>
    <row r="7524">
      <c r="A7524" s="5" t="s">
        <v>7791</v>
      </c>
      <c r="B7524" s="5" t="s">
        <v>8128</v>
      </c>
      <c r="C7524" s="5" t="str">
        <f>IFERROR(__xludf.DUMMYFUNCTION("GOOGLETRANSLATE(A7524,""en"",""hy"")"),"Ո՞րն է Ավստրալիայի ազգային կենդանին:")</f>
        <v>Ո՞րն է Ավստրալիայի ազգային կենդանին:</v>
      </c>
      <c r="D7524" s="6" t="str">
        <f>IFERROR(__xludf.DUMMYFUNCTION("GOOGLETRANSLATE(B7524,""en"",""hy"")"),"Կենգուրու.")</f>
        <v>Կենգուրու.</v>
      </c>
    </row>
    <row r="7525">
      <c r="A7525" s="5" t="s">
        <v>7761</v>
      </c>
      <c r="B7525" s="5" t="s">
        <v>7762</v>
      </c>
      <c r="C7525" s="5" t="str">
        <f>IFERROR(__xludf.DUMMYFUNCTION("GOOGLETRANSLATE(A7525,""en"",""hy"")"),"Ո՞րն է ջրածնի քիմիական նշանը:")</f>
        <v>Ո՞րն է ջրածնի քիմիական նշանը:</v>
      </c>
      <c r="D7525" s="6" t="str">
        <f>IFERROR(__xludf.DUMMYFUNCTION("GOOGLETRANSLATE(B7525,""en"",""hy"")"),"Հ")</f>
        <v>Հ</v>
      </c>
    </row>
    <row r="7526">
      <c r="A7526" s="5" t="s">
        <v>9509</v>
      </c>
      <c r="B7526" s="5" t="s">
        <v>2641</v>
      </c>
      <c r="C7526" s="5" t="str">
        <f>IFERROR(__xludf.DUMMYFUNCTION("GOOGLETRANSLATE(A7526,""en"",""hy"")"),"Ո՞ր երկիրն է հայտնի իր հայտնի Oktoberfest տոնակատարությամբ:")</f>
        <v>Ո՞ր երկիրն է հայտնի իր հայտնի Oktoberfest տոնակատարությամբ:</v>
      </c>
      <c r="D7526" s="6" t="str">
        <f>IFERROR(__xludf.DUMMYFUNCTION("GOOGLETRANSLATE(B7526,""en"",""hy"")"),"Գերմանիա.")</f>
        <v>Գերմանիա.</v>
      </c>
    </row>
    <row r="7527">
      <c r="A7527" s="5" t="s">
        <v>7698</v>
      </c>
      <c r="B7527" s="5" t="s">
        <v>7630</v>
      </c>
      <c r="C7527" s="5" t="str">
        <f>IFERROR(__xludf.DUMMYFUNCTION("GOOGLETRANSLATE(A7527,""en"",""hy"")"),"Ո՞վ է գրել «Հպարտություն և նախապաշարմունք» վեպը:")</f>
        <v>Ո՞վ է գրել «Հպարտություն և նախապաշարմունք» վեպը:</v>
      </c>
      <c r="D7527" s="6" t="str">
        <f>IFERROR(__xludf.DUMMYFUNCTION("GOOGLETRANSLATE(B7527,""en"",""hy"")"),"Ջեյն Օսթին.")</f>
        <v>Ջեյն Օսթին.</v>
      </c>
    </row>
    <row r="7528">
      <c r="A7528" s="5" t="s">
        <v>7497</v>
      </c>
      <c r="B7528" s="5" t="s">
        <v>1299</v>
      </c>
      <c r="C7528" s="5" t="str">
        <f>IFERROR(__xludf.DUMMYFUNCTION("GOOGLETRANSLATE(A7528,""en"",""hy"")"),"Ո՞րն է աշխարհի ամենամեծ մայրցամաքը:")</f>
        <v>Ո՞րն է աշխարհի ամենամեծ մայրցամաքը:</v>
      </c>
      <c r="D7528" s="6" t="str">
        <f>IFERROR(__xludf.DUMMYFUNCTION("GOOGLETRANSLATE(B7528,""en"",""hy"")"),"Ասիա.")</f>
        <v>Ասիա.</v>
      </c>
    </row>
    <row r="7529">
      <c r="A7529" s="5" t="s">
        <v>8410</v>
      </c>
      <c r="B7529" s="5" t="s">
        <v>8411</v>
      </c>
      <c r="C7529" s="5" t="str">
        <f>IFERROR(__xludf.DUMMYFUNCTION("GOOGLETRANSLATE(A7529,""en"",""hy"")"),"Ո՞րն է բոլոր ժամանակների ամենաշատ եկամուտ ստացած ֆիլմը:")</f>
        <v>Ո՞րն է բոլոր ժամանակների ամենաշատ եկամուտ ստացած ֆիլմը:</v>
      </c>
      <c r="D7529" s="6" t="str">
        <f>IFERROR(__xludf.DUMMYFUNCTION("GOOGLETRANSLATE(B7529,""en"",""hy"")"),"Անձնանշան.")</f>
        <v>Անձնանշան.</v>
      </c>
    </row>
    <row r="7530">
      <c r="A7530" s="5" t="s">
        <v>8609</v>
      </c>
      <c r="B7530" s="5" t="s">
        <v>8899</v>
      </c>
      <c r="C7530" s="5" t="str">
        <f>IFERROR(__xludf.DUMMYFUNCTION("GOOGLETRANSLATE(A7530,""en"",""hy"")"),"Ո՞րն է Հնդկաստանի ազգային սպորտը:")</f>
        <v>Ո՞րն է Հնդկաստանի ազգային սպորտը:</v>
      </c>
      <c r="D7530" s="6" t="str">
        <f>IFERROR(__xludf.DUMMYFUNCTION("GOOGLETRANSLATE(B7530,""en"",""hy"")"),"Հնդկաստանի ազգային սպորտը խոտի հոկեյն է։")</f>
        <v>Հնդկաստանի ազգային սպորտը խոտի հոկեյն է։</v>
      </c>
    </row>
    <row r="7531">
      <c r="A7531" s="5" t="s">
        <v>9510</v>
      </c>
      <c r="B7531" s="5" t="s">
        <v>7512</v>
      </c>
      <c r="C7531" s="5" t="str">
        <f>IFERROR(__xludf.DUMMYFUNCTION("GOOGLETRANSLATE(A7531,""en"",""hy"")"),"Ո՞ր երկրում կգտնեք Գիզայի բուրգերը:")</f>
        <v>Ո՞ր երկրում կգտնեք Գիզայի բուրգերը:</v>
      </c>
      <c r="D7531" s="6" t="str">
        <f>IFERROR(__xludf.DUMMYFUNCTION("GOOGLETRANSLATE(B7531,""en"",""hy"")"),"Եգիպտոս.")</f>
        <v>Եգիպտոս.</v>
      </c>
    </row>
    <row r="7532">
      <c r="A7532" s="5" t="s">
        <v>9511</v>
      </c>
      <c r="B7532" s="5" t="s">
        <v>7556</v>
      </c>
      <c r="C7532" s="5" t="str">
        <f>IFERROR(__xludf.DUMMYFUNCTION("GOOGLETRANSLATE(A7532,""en"",""hy"")"),"Ո՞ւմ է վերագրվում հարաբերականության տեսության բացահայտումը:")</f>
        <v>Ո՞ւմ է վերագրվում հարաբերականության տեսության բացահայտումը:</v>
      </c>
      <c r="D7532" s="6" t="str">
        <f>IFERROR(__xludf.DUMMYFUNCTION("GOOGLETRANSLATE(B7532,""en"",""hy"")"),"Albert Einstein.")</f>
        <v>Albert Einstein.</v>
      </c>
    </row>
    <row r="7533">
      <c r="A7533" s="5" t="s">
        <v>7626</v>
      </c>
      <c r="B7533" s="5" t="s">
        <v>8066</v>
      </c>
      <c r="C7533" s="5" t="str">
        <f>IFERROR(__xludf.DUMMYFUNCTION("GOOGLETRANSLATE(A7533,""en"",""hy"")"),"Ո՞րն է Գերմանիայի մայրաքաղաքը:")</f>
        <v>Ո՞րն է Գերմանիայի մայրաքաղաքը:</v>
      </c>
      <c r="D7533" s="6" t="str">
        <f>IFERROR(__xludf.DUMMYFUNCTION("GOOGLETRANSLATE(B7533,""en"",""hy"")"),"Բեռլին.")</f>
        <v>Բեռլին.</v>
      </c>
    </row>
    <row r="7534">
      <c r="A7534" s="5" t="s">
        <v>7509</v>
      </c>
      <c r="B7534" s="5" t="s">
        <v>7510</v>
      </c>
      <c r="C7534" s="5" t="str">
        <f>IFERROR(__xludf.DUMMYFUNCTION("GOOGLETRANSLATE(A7534,""en"",""hy"")"),"Ո՞րն է արծաթի քիմիական նշանը:")</f>
        <v>Ո՞րն է արծաթի քիմիական նշանը:</v>
      </c>
      <c r="D7534" s="6" t="str">
        <f>IFERROR(__xludf.DUMMYFUNCTION("GOOGLETRANSLATE(B7534,""en"",""hy"")"),"Ագ")</f>
        <v>Ագ</v>
      </c>
    </row>
    <row r="7535">
      <c r="A7535" s="5" t="s">
        <v>7805</v>
      </c>
      <c r="B7535" s="5" t="s">
        <v>7806</v>
      </c>
      <c r="C7535" s="5" t="str">
        <f>IFERROR(__xludf.DUMMYFUNCTION("GOOGLETRANSLATE(A7535,""en"",""hy"")"),"Ո՞ր մոլորակն է հայտնի որպես «Կապույտ մոլորակ»:")</f>
        <v>Ո՞ր մոլորակն է հայտնի որպես «Կապույտ մոլորակ»:</v>
      </c>
      <c r="D7535" s="6" t="str">
        <f>IFERROR(__xludf.DUMMYFUNCTION("GOOGLETRANSLATE(B7535,""en"",""hy"")"),"Երկիր.")</f>
        <v>Երկիր.</v>
      </c>
    </row>
    <row r="7536">
      <c r="A7536" s="5" t="s">
        <v>7443</v>
      </c>
      <c r="B7536" s="5" t="s">
        <v>7444</v>
      </c>
      <c r="C7536" s="5" t="str">
        <f>IFERROR(__xludf.DUMMYFUNCTION("GOOGLETRANSLATE(A7536,""en"",""hy"")"),"Ո՞վ է գրել «1984» վեպը։")</f>
        <v>Ո՞վ է գրել «1984» վեպը։</v>
      </c>
      <c r="D7536" s="6" t="str">
        <f>IFERROR(__xludf.DUMMYFUNCTION("GOOGLETRANSLATE(B7536,""en"",""hy"")"),"Ջորջ Օրուել.")</f>
        <v>Ջորջ Օրուել.</v>
      </c>
    </row>
    <row r="7537">
      <c r="A7537" s="5" t="s">
        <v>7618</v>
      </c>
      <c r="B7537" s="5" t="s">
        <v>7733</v>
      </c>
      <c r="C7537" s="5" t="str">
        <f>IFERROR(__xludf.DUMMYFUNCTION("GOOGLETRANSLATE(A7537,""en"",""hy"")"),"Ո՞րն է աշխարհի ամենամեծ ջրվեժը:")</f>
        <v>Ո՞րն է աշխարհի ամենամեծ ջրվեժը:</v>
      </c>
      <c r="D7537" s="6" t="str">
        <f>IFERROR(__xludf.DUMMYFUNCTION("GOOGLETRANSLATE(B7537,""en"",""hy"")"),"Angel Falls.")</f>
        <v>Angel Falls.</v>
      </c>
    </row>
    <row r="7538">
      <c r="A7538" s="5" t="s">
        <v>8028</v>
      </c>
      <c r="B7538" s="5" t="s">
        <v>8882</v>
      </c>
      <c r="C7538" s="5" t="str">
        <f>IFERROR(__xludf.DUMMYFUNCTION("GOOGLETRANSLATE(A7538,""en"",""hy"")"),"Ո՞րն է Կանադայի ազգային սպորտը:")</f>
        <v>Ո՞րն է Կանադայի ազգային սպորտը:</v>
      </c>
      <c r="D7538" s="6" t="str">
        <f>IFERROR(__xludf.DUMMYFUNCTION("GOOGLETRANSLATE(B7538,""en"",""hy"")"),"Հոկեյ")</f>
        <v>Հոկեյ</v>
      </c>
    </row>
    <row r="7539">
      <c r="A7539" s="5" t="s">
        <v>8753</v>
      </c>
      <c r="B7539" s="5" t="s">
        <v>8113</v>
      </c>
      <c r="C7539" s="5" t="str">
        <f>IFERROR(__xludf.DUMMYFUNCTION("GOOGLETRANSLATE(A7539,""en"",""hy"")"),"Ո՞րն է Հյուսիսային Ամերիկայի ամենաբարձր լեռը:")</f>
        <v>Ո՞րն է Հյուսիսային Ամերիկայի ամենաբարձր լեռը:</v>
      </c>
      <c r="D7539" s="6" t="str">
        <f>IFERROR(__xludf.DUMMYFUNCTION("GOOGLETRANSLATE(B7539,""en"",""hy"")"),"Դենալի.")</f>
        <v>Դենալի.</v>
      </c>
    </row>
    <row r="7540">
      <c r="A7540" s="5" t="s">
        <v>9512</v>
      </c>
      <c r="B7540" s="5" t="s">
        <v>9513</v>
      </c>
      <c r="C7540" s="5" t="str">
        <f>IFERROR(__xludf.DUMMYFUNCTION("GOOGLETRANSLATE(A7540,""en"",""hy"")"),"Ո՞ր երկրում է հայտնագործվել աստղադիտակը:")</f>
        <v>Ո՞ր երկրում է հայտնագործվել աստղադիտակը:</v>
      </c>
      <c r="D7540" s="6" t="str">
        <f>IFERROR(__xludf.DUMMYFUNCTION("GOOGLETRANSLATE(B7540,""en"",""hy"")"),"Աստղադիտակը հայտնագործվել է Նիդեռլանդներում։")</f>
        <v>Աստղադիտակը հայտնագործվել է Նիդեռլանդներում։</v>
      </c>
    </row>
    <row r="7541">
      <c r="A7541" s="5" t="s">
        <v>8016</v>
      </c>
      <c r="B7541" s="5" t="s">
        <v>8017</v>
      </c>
      <c r="C7541" s="5" t="str">
        <f>IFERROR(__xludf.DUMMYFUNCTION("GOOGLETRANSLATE(A7541,""en"",""hy"")"),"Ո՞րն է Անգլիայի ազգային ծաղիկը:")</f>
        <v>Ո՞րն է Անգլիայի ազգային ծաղիկը:</v>
      </c>
      <c r="D7541" s="6" t="str">
        <f>IFERROR(__xludf.DUMMYFUNCTION("GOOGLETRANSLATE(B7541,""en"",""hy"")"),"Անգլիայի ազգային ծաղիկը վարդն է։")</f>
        <v>Անգլիայի ազգային ծաղիկը վարդն է։</v>
      </c>
    </row>
    <row r="7542">
      <c r="A7542" s="5" t="s">
        <v>8556</v>
      </c>
      <c r="B7542" s="5" t="s">
        <v>8557</v>
      </c>
      <c r="C7542" s="5" t="str">
        <f>IFERROR(__xludf.DUMMYFUNCTION("GOOGLETRANSLATE(A7542,""en"",""hy"")"),"Ո՞վ է հայտնի որպես «երկրաչափության հայր»:")</f>
        <v>Ո՞վ է հայտնի որպես «երկրաչափության հայր»:</v>
      </c>
      <c r="D7542" s="6" t="str">
        <f>IFERROR(__xludf.DUMMYFUNCTION("GOOGLETRANSLATE(B7542,""en"",""hy"")"),"Էվկլիդես.")</f>
        <v>Էվկլիդես.</v>
      </c>
    </row>
    <row r="7543">
      <c r="A7543" s="5" t="s">
        <v>8440</v>
      </c>
      <c r="B7543" s="5" t="s">
        <v>8111</v>
      </c>
      <c r="C7543" s="5" t="str">
        <f>IFERROR(__xludf.DUMMYFUNCTION("GOOGLETRANSLATE(A7543,""en"",""hy"")"),"Քանի՞ խաղացող կա ֆուտբոլային թիմում:")</f>
        <v>Քանի՞ խաղացող կա ֆուտբոլային թիմում:</v>
      </c>
      <c r="D7543" s="6" t="str">
        <f>IFERROR(__xludf.DUMMYFUNCTION("GOOGLETRANSLATE(B7543,""en"",""hy"")"),"Ֆուտբոլային թիմում կա 11 խաղացող։")</f>
        <v>Ֆուտբոլային թիմում կա 11 խաղացող։</v>
      </c>
    </row>
    <row r="7544">
      <c r="A7544" s="5" t="s">
        <v>7589</v>
      </c>
      <c r="B7544" s="5" t="s">
        <v>7545</v>
      </c>
      <c r="C7544" s="5" t="str">
        <f>IFERROR(__xludf.DUMMYFUNCTION("GOOGLETRANSLATE(A7544,""en"",""hy"")"),"Ո՞րն է Իտալիայի մայրաքաղաքը:")</f>
        <v>Ո՞րն է Իտալիայի մայրաքաղաքը:</v>
      </c>
      <c r="D7544" s="6" t="str">
        <f>IFERROR(__xludf.DUMMYFUNCTION("GOOGLETRANSLATE(B7544,""en"",""hy"")"),"Հռոմ.")</f>
        <v>Հռոմ.</v>
      </c>
    </row>
    <row r="7545">
      <c r="A7545" s="5" t="s">
        <v>7557</v>
      </c>
      <c r="B7545" s="5" t="s">
        <v>7857</v>
      </c>
      <c r="C7545" s="5" t="str">
        <f>IFERROR(__xludf.DUMMYFUNCTION("GOOGLETRANSLATE(A7545,""en"",""hy"")"),"Ո՞րն է երկաթի քիմիական նշանը:")</f>
        <v>Ո՞րն է երկաթի քիմիական նշանը:</v>
      </c>
      <c r="D7545" s="6" t="str">
        <f>IFERROR(__xludf.DUMMYFUNCTION("GOOGLETRANSLATE(B7545,""en"",""hy"")"),"Երկաթի քիմիական նշանը Fe է:")</f>
        <v>Երկաթի քիմիական նշանը Fe է:</v>
      </c>
    </row>
    <row r="7546">
      <c r="A7546" s="5" t="s">
        <v>9514</v>
      </c>
      <c r="B7546" s="5" t="s">
        <v>9515</v>
      </c>
      <c r="C7546" s="5" t="str">
        <f>IFERROR(__xludf.DUMMYFUNCTION("GOOGLETRANSLATE(A7546,""en"",""hy"")"),"Ո՞ր երկիրն է հայտնի իր շոկոլադով.")</f>
        <v>Ո՞ր երկիրն է հայտնի իր շոկոլադով.</v>
      </c>
      <c r="D7546" s="6" t="str">
        <f>IFERROR(__xludf.DUMMYFUNCTION("GOOGLETRANSLATE(B7546,""en"",""hy"")"),"Բելգիա.")</f>
        <v>Բելգիա.</v>
      </c>
    </row>
    <row r="7547">
      <c r="A7547" s="5" t="s">
        <v>7683</v>
      </c>
      <c r="B7547" s="5" t="s">
        <v>1016</v>
      </c>
      <c r="C7547" s="5" t="str">
        <f>IFERROR(__xludf.DUMMYFUNCTION("GOOGLETRANSLATE(A7547,""en"",""hy"")"),"Ո՞վ է գրել «Համլետ» պիեսը։")</f>
        <v>Ո՞վ է գրել «Համլետ» պիեսը։</v>
      </c>
      <c r="D7547" s="6" t="str">
        <f>IFERROR(__xludf.DUMMYFUNCTION("GOOGLETRANSLATE(B7547,""en"",""hy"")"),"Ուիլյամ Շեքսպիր.")</f>
        <v>Ուիլյամ Շեքսպիր.</v>
      </c>
    </row>
    <row r="7548">
      <c r="A7548" s="5" t="s">
        <v>7691</v>
      </c>
      <c r="B7548" s="5" t="s">
        <v>7692</v>
      </c>
      <c r="C7548" s="5" t="str">
        <f>IFERROR(__xludf.DUMMYFUNCTION("GOOGLETRANSLATE(A7548,""en"",""hy"")"),"Ո՞րն է Աֆրիկայի ամենամեծ լիճը:")</f>
        <v>Ո՞րն է Աֆրիկայի ամենամեծ լիճը:</v>
      </c>
      <c r="D7548" s="6" t="str">
        <f>IFERROR(__xludf.DUMMYFUNCTION("GOOGLETRANSLATE(B7548,""en"",""hy"")"),"Վիկտորիա լիճ.")</f>
        <v>Վիկտորիա լիճ.</v>
      </c>
    </row>
    <row r="7549">
      <c r="A7549" s="5" t="s">
        <v>7602</v>
      </c>
      <c r="B7549" s="5" t="s">
        <v>7603</v>
      </c>
      <c r="C7549" s="5" t="str">
        <f>IFERROR(__xludf.DUMMYFUNCTION("GOOGLETRANSLATE(A7549,""en"",""hy"")"),"Ո՞րն է Կանադայի ազգային թռչունը:")</f>
        <v>Ո՞րն է Կանադայի ազգային թռչունը:</v>
      </c>
      <c r="D7549" s="6" t="str">
        <f>IFERROR(__xludf.DUMMYFUNCTION("GOOGLETRANSLATE(B7549,""en"",""hy"")"),"Կանադայի ազգային թռչունը սովորական ձագն է:")</f>
        <v>Կանադայի ազգային թռչունը սովորական ձագն է:</v>
      </c>
    </row>
    <row r="7550">
      <c r="A7550" s="5" t="s">
        <v>8312</v>
      </c>
      <c r="B7550" s="5" t="s">
        <v>9516</v>
      </c>
      <c r="C7550" s="5" t="str">
        <f>IFERROR(__xludf.DUMMYFUNCTION("GOOGLETRANSLATE(A7550,""en"",""hy"")"),"Ո՞ւմ է վերագրվում լամպի հայտնագործությունը:")</f>
        <v>Ո՞ւմ է վերագրվում լամպի հայտնագործությունը:</v>
      </c>
      <c r="D7550" s="6" t="str">
        <f>IFERROR(__xludf.DUMMYFUNCTION("GOOGLETRANSLATE(B7550,""en"",""hy"")"),"Թոմաս Էդիսոնը վերագրվում է լույսի լամպի հայտնագործմանը:")</f>
        <v>Թոմաս Էդիսոնը վերագրվում է լույսի լամպի հայտնագործմանը:</v>
      </c>
    </row>
    <row r="7551">
      <c r="A7551" s="5" t="s">
        <v>7850</v>
      </c>
      <c r="B7551" s="5" t="s">
        <v>8301</v>
      </c>
      <c r="C7551" s="5" t="str">
        <f>IFERROR(__xludf.DUMMYFUNCTION("GOOGLETRANSLATE(A7551,""en"",""hy"")"),"Ո՞րն է մեր արեգակնային համակարգի ամենափոքր մոլորակը:")</f>
        <v>Ո՞րն է մեր արեգակնային համակարգի ամենափոքր մոլորակը:</v>
      </c>
      <c r="D7551" s="6" t="str">
        <f>IFERROR(__xludf.DUMMYFUNCTION("GOOGLETRANSLATE(B7551,""en"",""hy"")"),"Մերկուրի.")</f>
        <v>Մերկուրի.</v>
      </c>
    </row>
    <row r="7552">
      <c r="A7552" s="5" t="s">
        <v>8672</v>
      </c>
      <c r="B7552" s="5" t="s">
        <v>8040</v>
      </c>
      <c r="C7552" s="5" t="str">
        <f>IFERROR(__xludf.DUMMYFUNCTION("GOOGLETRANSLATE(A7552,""en"",""hy"")"),"Ո՞ր երկրում կգտնեք Թաջ Մահալը:")</f>
        <v>Ո՞ր երկրում կգտնեք Թաջ Մահալը:</v>
      </c>
      <c r="D7552" s="6" t="str">
        <f>IFERROR(__xludf.DUMMYFUNCTION("GOOGLETRANSLATE(B7552,""en"",""hy"")"),"Հնդկաստան")</f>
        <v>Հնդկաստան</v>
      </c>
    </row>
    <row r="7553">
      <c r="A7553" s="5" t="s">
        <v>9517</v>
      </c>
      <c r="B7553" s="5" t="s">
        <v>9518</v>
      </c>
      <c r="C7553" s="5" t="str">
        <f>IFERROR(__xludf.DUMMYFUNCTION("GOOGLETRANSLATE(A7553,""en"",""hy"")"),"Ո՞րն է Ֆրանսիայի ազգային պտուղը:")</f>
        <v>Ո՞րն է Ֆրանսիայի ազգային պտուղը:</v>
      </c>
      <c r="D7553" s="6" t="str">
        <f>IFERROR(__xludf.DUMMYFUNCTION("GOOGLETRANSLATE(B7553,""en"",""hy"")"),"Ֆրանսիայի ազգային միրգը խնձորն է։")</f>
        <v>Ֆրանսիայի ազգային միրգը խնձորն է։</v>
      </c>
    </row>
    <row r="7554">
      <c r="A7554" s="5" t="s">
        <v>9173</v>
      </c>
      <c r="B7554" s="5" t="s">
        <v>9079</v>
      </c>
      <c r="C7554" s="5" t="str">
        <f>IFERROR(__xludf.DUMMYFUNCTION("GOOGLETRANSLATE(A7554,""en"",""hy"")"),"Ո՞վ է հայտնի որպես «բժշկության հայր»:")</f>
        <v>Ո՞վ է հայտնի որպես «բժշկության հայր»:</v>
      </c>
      <c r="D7554" s="6" t="str">
        <f>IFERROR(__xludf.DUMMYFUNCTION("GOOGLETRANSLATE(B7554,""en"",""hy"")"),"Հիպոկրատ.")</f>
        <v>Հիպոկրատ.</v>
      </c>
    </row>
    <row r="7555">
      <c r="A7555" s="5" t="s">
        <v>8181</v>
      </c>
      <c r="B7555" s="5" t="s">
        <v>8100</v>
      </c>
      <c r="C7555" s="5" t="str">
        <f>IFERROR(__xludf.DUMMYFUNCTION("GOOGLETRANSLATE(A7555,""en"",""hy"")"),"Քանի՞ մոլորակ կա մեր արեգակնային համակարգում:")</f>
        <v>Քանի՞ մոլորակ կա մեր արեգակնային համակարգում:</v>
      </c>
      <c r="D7555" s="6" t="str">
        <f>IFERROR(__xludf.DUMMYFUNCTION("GOOGLETRANSLATE(B7555,""en"",""hy"")"),"Մեր Արեգակնային համակարգում կա ութ մոլորակ:")</f>
        <v>Մեր Արեգակնային համակարգում կա ութ մոլորակ:</v>
      </c>
    </row>
    <row r="7556">
      <c r="A7556" s="5" t="s">
        <v>7515</v>
      </c>
      <c r="B7556" s="5" t="s">
        <v>7516</v>
      </c>
      <c r="C7556" s="5" t="str">
        <f>IFERROR(__xludf.DUMMYFUNCTION("GOOGLETRANSLATE(A7556,""en"",""hy"")"),"Ո՞րն է Բրազիլիայի մայրաքաղաքը:")</f>
        <v>Ո՞րն է Բրազիլիայի մայրաքաղաքը:</v>
      </c>
      <c r="D7556" s="6" t="str">
        <f>IFERROR(__xludf.DUMMYFUNCTION("GOOGLETRANSLATE(B7556,""en"",""hy"")"),"Բրազիլիա.")</f>
        <v>Բրազիլիա.</v>
      </c>
    </row>
    <row r="7557">
      <c r="A7557" s="5" t="s">
        <v>7665</v>
      </c>
      <c r="B7557" s="5" t="s">
        <v>7781</v>
      </c>
      <c r="C7557" s="5" t="str">
        <f>IFERROR(__xludf.DUMMYFUNCTION("GOOGLETRANSLATE(A7557,""en"",""hy"")"),"Ո՞րն է նատրիումի քիմիական նշանը:")</f>
        <v>Ո՞րն է նատրիումի քիմիական նշանը:</v>
      </c>
      <c r="D7557" s="6" t="str">
        <f>IFERROR(__xludf.DUMMYFUNCTION("GOOGLETRANSLATE(B7557,""en"",""hy"")"),"Նատրիումի քիմիական նշանը Na է:")</f>
        <v>Նատրիումի քիմիական նշանը Na է:</v>
      </c>
    </row>
    <row r="7558">
      <c r="A7558" s="5" t="s">
        <v>9519</v>
      </c>
      <c r="B7558" s="5" t="s">
        <v>9520</v>
      </c>
      <c r="C7558" s="5" t="str">
        <f>IFERROR(__xludf.DUMMYFUNCTION("GOOGLETRANSLATE(A7558,""en"",""hy"")"),"Ո՞ր երկու գույներն են կազմում Ֆրանսիայի դրոշը:")</f>
        <v>Ո՞ր երկու գույներն են կազմում Ֆրանսիայի դրոշը:</v>
      </c>
      <c r="D7558" s="6" t="str">
        <f>IFERROR(__xludf.DUMMYFUNCTION("GOOGLETRANSLATE(B7558,""en"",""hy"")"),"Կապույտ և կարմիր:")</f>
        <v>Կապույտ և կարմիր:</v>
      </c>
    </row>
    <row r="7559">
      <c r="A7559" s="5" t="s">
        <v>7890</v>
      </c>
      <c r="B7559" s="5" t="s">
        <v>7661</v>
      </c>
      <c r="C7559" s="5" t="str">
        <f>IFERROR(__xludf.DUMMYFUNCTION("GOOGLETRANSLATE(A7559,""en"",""hy"")"),"Ո՞վ է գրել «Մեծն Գեթսբի» վեպը:")</f>
        <v>Ո՞վ է գրել «Մեծն Գեթսբի» վեպը:</v>
      </c>
      <c r="D7559" s="6" t="str">
        <f>IFERROR(__xludf.DUMMYFUNCTION("GOOGLETRANSLATE(B7559,""en"",""hy"")"),"F. Scott Fitzgerald.")</f>
        <v>F. Scott Fitzgerald.</v>
      </c>
    </row>
    <row r="7560">
      <c r="A7560" s="5" t="s">
        <v>8132</v>
      </c>
      <c r="B7560" s="5" t="s">
        <v>4457</v>
      </c>
      <c r="C7560" s="5" t="str">
        <f>IFERROR(__xludf.DUMMYFUNCTION("GOOGLETRANSLATE(A7560,""en"",""hy"")"),"Ո՞րն է բնակչության թվով աշխարհի ամենամեծ քաղաքը:")</f>
        <v>Ո՞րն է բնակչության թվով աշխարհի ամենամեծ քաղաքը:</v>
      </c>
      <c r="D7560" s="6" t="str">
        <f>IFERROR(__xludf.DUMMYFUNCTION("GOOGLETRANSLATE(B7560,""en"",""hy"")"),"Տոկիո, Ճապոնիա.")</f>
        <v>Տոկիո, Ճապոնիա.</v>
      </c>
    </row>
    <row r="7561">
      <c r="A7561" s="5" t="s">
        <v>9283</v>
      </c>
      <c r="B7561" s="5" t="s">
        <v>9521</v>
      </c>
      <c r="C7561" s="5" t="str">
        <f>IFERROR(__xludf.DUMMYFUNCTION("GOOGLETRANSLATE(A7561,""en"",""hy"")"),"Ո՞րն է Միացյալ Նահանգների ազգային կենդանին:")</f>
        <v>Ո՞րն է Միացյալ Նահանգների ազգային կենդանին:</v>
      </c>
      <c r="D7561" s="6" t="str">
        <f>IFERROR(__xludf.DUMMYFUNCTION("GOOGLETRANSLATE(B7561,""en"",""hy"")"),"Ճաղատ արծիվ.")</f>
        <v>Ճաղատ արծիվ.</v>
      </c>
    </row>
    <row r="7562">
      <c r="A7562" s="5" t="s">
        <v>7960</v>
      </c>
      <c r="B7562" s="5" t="s">
        <v>7961</v>
      </c>
      <c r="C7562" s="5" t="str">
        <f>IFERROR(__xludf.DUMMYFUNCTION("GOOGLETRANSLATE(A7562,""en"",""hy"")"),"Ո՞ր տարում է խորտակվել Տիտանիկը:")</f>
        <v>Ո՞ր տարում է խորտակվել Տիտանիկը:</v>
      </c>
      <c r="D7562" s="6" t="str">
        <f>IFERROR(__xludf.DUMMYFUNCTION("GOOGLETRANSLATE(B7562,""en"",""hy"")"),"Տիտանիկը խորտակվել է 1912 թվականին։")</f>
        <v>Տիտանիկը խորտակվել է 1912 թվականին։</v>
      </c>
    </row>
    <row r="7563">
      <c r="A7563" s="5" t="s">
        <v>8123</v>
      </c>
      <c r="B7563" s="5" t="s">
        <v>7448</v>
      </c>
      <c r="C7563" s="5" t="str">
        <f>IFERROR(__xludf.DUMMYFUNCTION("GOOGLETRANSLATE(A7563,""en"",""hy"")"),"Ո՞վ է նկարել հայտնի «Վերջին ընթրիքը» ստեղծագործությունը:")</f>
        <v>Ո՞վ է նկարել հայտնի «Վերջին ընթրիքը» ստեղծագործությունը:</v>
      </c>
      <c r="D7563" s="6" t="str">
        <f>IFERROR(__xludf.DUMMYFUNCTION("GOOGLETRANSLATE(B7563,""en"",""hy"")"),"Լեոնարդո դա Վինչի.")</f>
        <v>Լեոնարդո դա Վինչի.</v>
      </c>
    </row>
    <row r="7564">
      <c r="A7564" s="5" t="s">
        <v>8213</v>
      </c>
      <c r="B7564" s="5" t="s">
        <v>8214</v>
      </c>
      <c r="C7564" s="5" t="str">
        <f>IFERROR(__xludf.DUMMYFUNCTION("GOOGLETRANSLATE(A7564,""en"",""hy"")"),"Ո՞րն է Ռուսաստանի ազգային կենդանին:")</f>
        <v>Ո՞րն է Ռուսաստանի ազգային կենդանին:</v>
      </c>
      <c r="D7564" s="6" t="str">
        <f>IFERROR(__xludf.DUMMYFUNCTION("GOOGLETRANSLATE(B7564,""en"",""hy"")"),"Ռուսաստանի ազգային կենդանին գորշ արջն է։")</f>
        <v>Ռուսաստանի ազգային կենդանին գորշ արջն է։</v>
      </c>
    </row>
    <row r="7565">
      <c r="A7565" s="5" t="s">
        <v>7875</v>
      </c>
      <c r="B7565" s="5" t="s">
        <v>7876</v>
      </c>
      <c r="C7565" s="5" t="str">
        <f>IFERROR(__xludf.DUMMYFUNCTION("GOOGLETRANSLATE(A7565,""en"",""hy"")"),"Ո՞րն է ազոտի քիմիական նշանը:")</f>
        <v>Ո՞րն է ազոտի քիմիական նշանը:</v>
      </c>
      <c r="D7565" s="6" t="str">
        <f>IFERROR(__xludf.DUMMYFUNCTION("GOOGLETRANSLATE(B7565,""en"",""hy"")"),"Ազոտի քիմիական նշանն է N.")</f>
        <v>Ազոտի քիմիական նշանն է N.</v>
      </c>
    </row>
    <row r="7566">
      <c r="A7566" s="5" t="s">
        <v>9522</v>
      </c>
      <c r="B7566" s="5" t="s">
        <v>998</v>
      </c>
      <c r="C7566" s="5" t="str">
        <f>IFERROR(__xludf.DUMMYFUNCTION("GOOGLETRANSLATE(A7566,""en"",""hy"")"),"Ո՞ր երկիրն է հայտնի իր հողմաղացներով:")</f>
        <v>Ո՞ր երկիրն է հայտնի իր հողմաղացներով:</v>
      </c>
      <c r="D7566" s="6" t="str">
        <f>IFERROR(__xludf.DUMMYFUNCTION("GOOGLETRANSLATE(B7566,""en"",""hy"")"),"Նիդերլանդներ.")</f>
        <v>Նիդերլանդներ.</v>
      </c>
    </row>
    <row r="7567">
      <c r="A7567" s="5" t="s">
        <v>9523</v>
      </c>
      <c r="B7567" s="5" t="s">
        <v>8253</v>
      </c>
      <c r="C7567" s="5" t="str">
        <f>IFERROR(__xludf.DUMMYFUNCTION("GOOGLETRANSLATE(A7567,""en"",""hy"")"),"Ո՞ւմ է վերագրվում պենիցիլինի հայտնաբերումը:")</f>
        <v>Ո՞ւմ է վերագրվում պենիցիլինի հայտնաբերումը:</v>
      </c>
      <c r="D7567" s="6" t="str">
        <f>IFERROR(__xludf.DUMMYFUNCTION("GOOGLETRANSLATE(B7567,""en"",""hy"")"),"Ալեքսանդր Ֆլեմինգ.")</f>
        <v>Ալեքսանդր Ֆլեմինգ.</v>
      </c>
    </row>
    <row r="7568">
      <c r="A7568" s="5" t="s">
        <v>9524</v>
      </c>
      <c r="B7568" s="5" t="s">
        <v>9525</v>
      </c>
      <c r="C7568" s="5" t="str">
        <f>IFERROR(__xludf.DUMMYFUNCTION("GOOGLETRANSLATE(A7568,""en"",""hy"")"),"Ո՞րն է ԱՄՆ-ի ամենափոքր նահանգը:")</f>
        <v>Ո՞րն է ԱՄՆ-ի ամենափոքր նահանգը:</v>
      </c>
      <c r="D7568" s="6" t="str">
        <f>IFERROR(__xludf.DUMMYFUNCTION("GOOGLETRANSLATE(B7568,""en"",""hy"")"),"Ռոդ Այլենդ.")</f>
        <v>Ռոդ Այլենդ.</v>
      </c>
    </row>
    <row r="7569">
      <c r="A7569" s="5" t="s">
        <v>8055</v>
      </c>
      <c r="B7569" s="5" t="s">
        <v>8056</v>
      </c>
      <c r="C7569" s="5" t="str">
        <f>IFERROR(__xludf.DUMMYFUNCTION("GOOGLETRANSLATE(A7569,""en"",""hy"")"),"Ո՞րն է Ճապոնիայի ազգային սպորտը:")</f>
        <v>Ո՞րն է Ճապոնիայի ազգային սպորտը:</v>
      </c>
      <c r="D7569" s="6" t="str">
        <f>IFERROR(__xludf.DUMMYFUNCTION("GOOGLETRANSLATE(B7569,""en"",""hy"")"),"Սումո ըմբշամարտ.")</f>
        <v>Սումո ըմբշամարտ.</v>
      </c>
    </row>
    <row r="7570">
      <c r="A7570" s="5" t="s">
        <v>7872</v>
      </c>
      <c r="B7570" s="5" t="s">
        <v>6011</v>
      </c>
      <c r="C7570" s="5" t="str">
        <f>IFERROR(__xludf.DUMMYFUNCTION("GOOGLETRANSLATE(A7570,""en"",""hy"")"),"Ո՞րն է Իսպանիայի մայրաքաղաքը:")</f>
        <v>Ո՞րն է Իսպանիայի մայրաքաղաքը:</v>
      </c>
      <c r="D7570" s="6" t="str">
        <f>IFERROR(__xludf.DUMMYFUNCTION("GOOGLETRANSLATE(B7570,""en"",""hy"")"),"Մադրիդ")</f>
        <v>Մադրիդ</v>
      </c>
    </row>
    <row r="7571">
      <c r="A7571" s="5" t="s">
        <v>7738</v>
      </c>
      <c r="B7571" s="5" t="s">
        <v>7739</v>
      </c>
      <c r="C7571" s="5" t="str">
        <f>IFERROR(__xludf.DUMMYFUNCTION("GOOGLETRANSLATE(A7571,""en"",""hy"")"),"Ո՞րն է կալցիումի քիմիական նշանը:")</f>
        <v>Ո՞րն է կալցիումի քիմիական նշանը:</v>
      </c>
      <c r="D7571" s="6" t="str">
        <f>IFERROR(__xludf.DUMMYFUNCTION("GOOGLETRANSLATE(B7571,""en"",""hy"")"),"Կալցիումի քիմիական նշանը Ca է:")</f>
        <v>Կալցիումի քիմիական նշանը Ca է:</v>
      </c>
    </row>
    <row r="7572">
      <c r="A7572" s="5" t="s">
        <v>9526</v>
      </c>
      <c r="B7572" s="5" t="s">
        <v>9527</v>
      </c>
      <c r="C7572" s="5" t="str">
        <f>IFERROR(__xludf.DUMMYFUNCTION("GOOGLETRANSLATE(A7572,""en"",""hy"")"),"Ո՞ր երկու գույներն են կազմում Միացյալ Թագավորության դրոշը:")</f>
        <v>Ո՞ր երկու գույներն են կազմում Միացյալ Թագավորության դրոշը:</v>
      </c>
      <c r="D7572" s="6" t="str">
        <f>IFERROR(__xludf.DUMMYFUNCTION("GOOGLETRANSLATE(B7572,""en"",""hy"")"),"Միացյալ Թագավորության դրոշը կազմված է երկու գույներից՝ կարմիր և սպիտակ։")</f>
        <v>Միացյալ Թագավորության դրոշը կազմված է երկու գույներից՝ կարմիր և սպիտակ։</v>
      </c>
    </row>
    <row r="7573">
      <c r="A7573" s="5" t="s">
        <v>7737</v>
      </c>
      <c r="B7573" s="5" t="s">
        <v>7560</v>
      </c>
      <c r="C7573" s="5" t="str">
        <f>IFERROR(__xludf.DUMMYFUNCTION("GOOGLETRANSLATE(A7573,""en"",""hy"")"),"Ո՞վ է գրել «Շորայի մեջ բռնողը» վեպը:")</f>
        <v>Ո՞վ է գրել «Շորայի մեջ բռնողը» վեպը:</v>
      </c>
      <c r="D7573" s="6" t="str">
        <f>IFERROR(__xludf.DUMMYFUNCTION("GOOGLETRANSLATE(B7573,""en"",""hy"")"),"Ջ.Դ.Սելինջեր.")</f>
        <v>Ջ.Դ.Սելինջեր.</v>
      </c>
    </row>
    <row r="7574">
      <c r="A7574" s="5" t="s">
        <v>7526</v>
      </c>
      <c r="B7574" s="5" t="s">
        <v>7527</v>
      </c>
      <c r="C7574" s="5" t="str">
        <f>IFERROR(__xludf.DUMMYFUNCTION("GOOGLETRANSLATE(A7574,""en"",""hy"")"),"Ո՞րն է աշխարհի ամենամեծ կղզին:")</f>
        <v>Ո՞րն է աշխարհի ամենամեծ կղզին:</v>
      </c>
      <c r="D7574" s="6" t="str">
        <f>IFERROR(__xludf.DUMMYFUNCTION("GOOGLETRANSLATE(B7574,""en"",""hy"")"),"Գրենլանդիա.")</f>
        <v>Գրենլանդիա.</v>
      </c>
    </row>
    <row r="7575">
      <c r="A7575" s="5" t="s">
        <v>8343</v>
      </c>
      <c r="B7575" s="5" t="s">
        <v>8344</v>
      </c>
      <c r="C7575" s="5" t="str">
        <f>IFERROR(__xludf.DUMMYFUNCTION("GOOGLETRANSLATE(A7575,""en"",""hy"")"),"Ո՞րն է Շոտլանդիայի ազգային ծաղիկը:")</f>
        <v>Ո՞րն է Շոտլանդիայի ազգային ծաղիկը:</v>
      </c>
      <c r="D7575" s="6" t="str">
        <f>IFERROR(__xludf.DUMMYFUNCTION("GOOGLETRANSLATE(B7575,""en"",""hy"")"),"Շոտլանդիայի ազգային ծաղիկը տատասկափուշն է:")</f>
        <v>Շոտլանդիայի ազգային ծաղիկը տատասկափուշն է:</v>
      </c>
    </row>
    <row r="7576">
      <c r="A7576" s="5" t="s">
        <v>9528</v>
      </c>
      <c r="B7576" s="5" t="s">
        <v>9529</v>
      </c>
      <c r="C7576" s="5" t="str">
        <f>IFERROR(__xludf.DUMMYFUNCTION("GOOGLETRANSLATE(A7576,""en"",""hy"")"),"Ո՞վ է հայտնի որպես «Հանրահաշվի հայր»:")</f>
        <v>Ո՞վ է հայտնի որպես «Հանրահաշվի հայր»:</v>
      </c>
      <c r="D7576" s="6" t="str">
        <f>IFERROR(__xludf.DUMMYFUNCTION("GOOGLETRANSLATE(B7576,""en"",""hy"")"),"Մուհամմադ իբն Մուսա ալ-Խվարիզմի.")</f>
        <v>Մուհամմադ իբն Մուսա ալ-Խվարիզմի.</v>
      </c>
    </row>
    <row r="7577">
      <c r="A7577" s="5" t="s">
        <v>7502</v>
      </c>
      <c r="B7577" s="5" t="s">
        <v>7503</v>
      </c>
      <c r="C7577" s="5" t="str">
        <f>IFERROR(__xludf.DUMMYFUNCTION("GOOGLETRANSLATE(A7577,""en"",""hy"")"),"Քանի՞ կողմ ունի վեցանկյունը:")</f>
        <v>Քանի՞ կողմ ունի վեցանկյունը:</v>
      </c>
      <c r="D7577" s="6" t="str">
        <f>IFERROR(__xludf.DUMMYFUNCTION("GOOGLETRANSLATE(B7577,""en"",""hy"")"),"Վեցանկյունն ունի վեց կողմ:")</f>
        <v>Վեցանկյունն ունի վեց կողմ:</v>
      </c>
    </row>
    <row r="7578">
      <c r="A7578" s="5" t="s">
        <v>7553</v>
      </c>
      <c r="B7578" s="5" t="s">
        <v>7554</v>
      </c>
      <c r="C7578" s="5" t="str">
        <f>IFERROR(__xludf.DUMMYFUNCTION("GOOGLETRANSLATE(A7578,""en"",""hy"")"),"Ո՞րն է Հարավային Աֆրիկայի մայրաքաղաքը:")</f>
        <v>Ո՞րն է Հարավային Աֆրիկայի մայրաքաղաքը:</v>
      </c>
      <c r="D7578" s="6" t="str">
        <f>IFERROR(__xludf.DUMMYFUNCTION("GOOGLETRANSLATE(B7578,""en"",""hy"")"),"Պրետորիա.")</f>
        <v>Պրետորիա.</v>
      </c>
    </row>
    <row r="7579">
      <c r="A7579" s="5" t="s">
        <v>7809</v>
      </c>
      <c r="B7579" s="5" t="s">
        <v>8061</v>
      </c>
      <c r="C7579" s="5" t="str">
        <f>IFERROR(__xludf.DUMMYFUNCTION("GOOGLETRANSLATE(A7579,""en"",""hy"")"),"Ո՞րն է հելիումի քիմիական նշանը:")</f>
        <v>Ո՞րն է հելիումի քիմիական նշանը:</v>
      </c>
      <c r="D7579" s="6" t="str">
        <f>IFERROR(__xludf.DUMMYFUNCTION("GOOGLETRANSLATE(B7579,""en"",""hy"")"),"Հելիումի քիմիական նշանը Նա է:")</f>
        <v>Հելիումի քիմիական նշանը Նա է:</v>
      </c>
    </row>
    <row r="7580">
      <c r="A7580" s="5" t="s">
        <v>9530</v>
      </c>
      <c r="B7580" s="5" t="s">
        <v>7972</v>
      </c>
      <c r="C7580" s="5" t="str">
        <f>IFERROR(__xludf.DUMMYFUNCTION("GOOGLETRANSLATE(A7580,""en"",""hy"")"),"Ո՞ր երկիրն է հայտնի իր պանրով:")</f>
        <v>Ո՞ր երկիրն է հայտնի իր պանրով:</v>
      </c>
      <c r="D7580" s="6" t="str">
        <f>IFERROR(__xludf.DUMMYFUNCTION("GOOGLETRANSLATE(B7580,""en"",""hy"")"),"Ֆրանսիա.")</f>
        <v>Ֆրանսիա.</v>
      </c>
    </row>
    <row r="7581">
      <c r="A7581" s="5" t="s">
        <v>7678</v>
      </c>
      <c r="B7581" s="5" t="s">
        <v>7451</v>
      </c>
      <c r="C7581" s="5" t="str">
        <f>IFERROR(__xludf.DUMMYFUNCTION("GOOGLETRANSLATE(A7581,""en"",""hy"")"),"Ո՞րն է Ավստրալիայի մայրաքաղաքը:")</f>
        <v>Ո՞րն է Ավստրալիայի մայրաքաղաքը:</v>
      </c>
      <c r="D7581" s="6" t="str">
        <f>IFERROR(__xludf.DUMMYFUNCTION("GOOGLETRANSLATE(B7581,""en"",""hy"")"),"Կանբերա.")</f>
        <v>Կանբերա.</v>
      </c>
    </row>
    <row r="7582">
      <c r="A7582" s="5" t="s">
        <v>7447</v>
      </c>
      <c r="B7582" s="5" t="s">
        <v>7448</v>
      </c>
      <c r="C7582" s="5" t="str">
        <f>IFERROR(__xludf.DUMMYFUNCTION("GOOGLETRANSLATE(A7582,""en"",""hy"")"),"Ո՞վ է նկարել Մոնա Լիզան:")</f>
        <v>Ո՞վ է նկարել Մոնա Լիզան:</v>
      </c>
      <c r="D7582" s="6" t="str">
        <f>IFERROR(__xludf.DUMMYFUNCTION("GOOGLETRANSLATE(B7582,""en"",""hy"")"),"Լեոնարդո դա Վինչի.")</f>
        <v>Լեոնարդո դա Վինչի.</v>
      </c>
    </row>
    <row r="7583">
      <c r="A7583" s="5" t="s">
        <v>7455</v>
      </c>
      <c r="B7583" s="5" t="s">
        <v>7646</v>
      </c>
      <c r="C7583" s="5" t="str">
        <f>IFERROR(__xludf.DUMMYFUNCTION("GOOGLETRANSLATE(A7583,""en"",""hy"")"),"Ո՞րն է աշխարհի ամենամեծ օվկիանոսը:")</f>
        <v>Ո՞րն է աշխարհի ամենամեծ օվկիանոսը:</v>
      </c>
      <c r="D7583" s="6" t="str">
        <f>IFERROR(__xludf.DUMMYFUNCTION("GOOGLETRANSLATE(B7583,""en"",""hy"")"),"Խաղաղ օվկիանոս.")</f>
        <v>Խաղաղ օվկիանոս.</v>
      </c>
    </row>
    <row r="7584">
      <c r="A7584" s="5" t="s">
        <v>7698</v>
      </c>
      <c r="B7584" s="5" t="s">
        <v>7466</v>
      </c>
      <c r="C7584" s="5" t="str">
        <f>IFERROR(__xludf.DUMMYFUNCTION("GOOGLETRANSLATE(A7584,""en"",""hy"")"),"Ո՞վ է գրել «Հպարտություն և նախապաշարմունք» վեպը:")</f>
        <v>Ո՞վ է գրել «Հպարտություն և նախապաշարմունք» վեպը:</v>
      </c>
      <c r="D7584" s="6" t="str">
        <f>IFERROR(__xludf.DUMMYFUNCTION("GOOGLETRANSLATE(B7584,""en"",""hy"")"),"Ջեյն Օսթին")</f>
        <v>Ջեյն Օսթին</v>
      </c>
    </row>
    <row r="7585">
      <c r="A7585" s="5" t="s">
        <v>7452</v>
      </c>
      <c r="B7585" s="5" t="s">
        <v>7453</v>
      </c>
      <c r="C7585" s="5" t="str">
        <f>IFERROR(__xludf.DUMMYFUNCTION("GOOGLETRANSLATE(A7585,""en"",""hy"")"),"Ո՞րն է ոսկու քիմիական նշանը:")</f>
        <v>Ո՞րն է ոսկու քիմիական նշանը:</v>
      </c>
      <c r="D7585" s="6" t="str">
        <f>IFERROR(__xludf.DUMMYFUNCTION("GOOGLETRANSLATE(B7585,""en"",""hy"")"),"Ոսկու քիմիական նշանը Au-ն է:")</f>
        <v>Ոսկու քիմիական նշանը Au-ն է:</v>
      </c>
    </row>
    <row r="7586">
      <c r="A7586" s="5" t="s">
        <v>7845</v>
      </c>
      <c r="B7586" s="5" t="s">
        <v>3533</v>
      </c>
      <c r="C7586" s="5" t="str">
        <f>IFERROR(__xludf.DUMMYFUNCTION("GOOGLETRANSLATE(A7586,""en"",""hy"")"),"Ո՞րն է Բրազիլիայի պաշտոնական լեզուն:")</f>
        <v>Ո՞րն է Բրազիլիայի պաշտոնական լեզուն:</v>
      </c>
      <c r="D7586" s="6" t="str">
        <f>IFERROR(__xludf.DUMMYFUNCTION("GOOGLETRANSLATE(B7586,""en"",""hy"")"),"Բրազիլիայի պաշտոնական լեզուն պորտուգալերենն է։")</f>
        <v>Բրազիլիայի պաշտոնական լեզուն պորտուգալերենն է։</v>
      </c>
    </row>
    <row r="7587">
      <c r="A7587" s="5" t="s">
        <v>7722</v>
      </c>
      <c r="B7587" s="5" t="s">
        <v>7723</v>
      </c>
      <c r="C7587" s="5" t="str">
        <f>IFERROR(__xludf.DUMMYFUNCTION("GOOGLETRANSLATE(A7587,""en"",""hy"")"),"Ո՞րն է Աֆրիկայի ամենաբարձր լեռը:")</f>
        <v>Ո՞րն է Աֆրիկայի ամենաբարձր լեռը:</v>
      </c>
      <c r="D7587" s="6" t="str">
        <f>IFERROR(__xludf.DUMMYFUNCTION("GOOGLETRANSLATE(B7587,""en"",""hy"")"),"Կիլիմանջարո լեռ.")</f>
        <v>Կիլիմանջարո լեռ.</v>
      </c>
    </row>
    <row r="7588">
      <c r="A7588" s="5" t="s">
        <v>7457</v>
      </c>
      <c r="B7588" s="5" t="s">
        <v>7458</v>
      </c>
      <c r="C7588" s="5" t="str">
        <f>IFERROR(__xludf.DUMMYFUNCTION("GOOGLETRANSLATE(A7588,""en"",""hy"")"),"Ո՞վ է եղել Միացյալ Նահանգների առաջին նախագահը:")</f>
        <v>Ո՞վ է եղել Միացյալ Նահանգների առաջին նախագահը:</v>
      </c>
      <c r="D7588" s="6" t="str">
        <f>IFERROR(__xludf.DUMMYFUNCTION("GOOGLETRANSLATE(B7588,""en"",""hy"")"),"Ջորջ Վաշինգտոն.")</f>
        <v>Ջորջ Վաշինգտոն.</v>
      </c>
    </row>
    <row r="7589">
      <c r="A7589" s="5" t="s">
        <v>9531</v>
      </c>
      <c r="B7589" s="5" t="s">
        <v>9532</v>
      </c>
      <c r="C7589" s="5" t="str">
        <f>IFERROR(__xludf.DUMMYFUNCTION("GOOGLETRANSLATE(A7589,""en"",""hy"")"),"Ո՞րն է Ճապոնիայի պաշտոնական արժույթը:")</f>
        <v>Ո՞րն է Ճապոնիայի պաշտոնական արժույթը:</v>
      </c>
      <c r="D7589" s="6" t="str">
        <f>IFERROR(__xludf.DUMMYFUNCTION("GOOGLETRANSLATE(B7589,""en"",""hy"")"),"Ճապոնիայի պաշտոնական արժույթը ճապոնական իենն է։")</f>
        <v>Ճապոնիայի պաշտոնական արժույթը ճապոնական իենն է։</v>
      </c>
    </row>
    <row r="7590">
      <c r="A7590" s="5" t="s">
        <v>7469</v>
      </c>
      <c r="B7590" s="5" t="s">
        <v>7470</v>
      </c>
      <c r="C7590" s="5" t="str">
        <f>IFERROR(__xludf.DUMMYFUNCTION("GOOGLETRANSLATE(A7590,""en"",""hy"")"),"Ո՞ր տարում ավարտվեց Երկրորդ համաշխարհային պատերազմը:")</f>
        <v>Ո՞ր տարում ավարտվեց Երկրորդ համաշխարհային պատերազմը:</v>
      </c>
      <c r="D7590" s="6" t="str">
        <f>IFERROR(__xludf.DUMMYFUNCTION("GOOGLETRANSLATE(B7590,""en"",""hy"")"),"Երկրորդ համաշխարհային պատերազմն ավարտվեց 1945 թվականին։")</f>
        <v>Երկրորդ համաշխարհային պատերազմն ավարտվեց 1945 թվականին։</v>
      </c>
    </row>
    <row r="7591">
      <c r="A7591" s="5" t="s">
        <v>8106</v>
      </c>
      <c r="B7591" s="5" t="s">
        <v>7916</v>
      </c>
      <c r="C7591" s="5" t="str">
        <f>IFERROR(__xludf.DUMMYFUNCTION("GOOGLETRANSLATE(A7591,""en"",""hy"")"),"Քանի՞ ոսկոր կա մարդու մարմնում:")</f>
        <v>Քանի՞ ոսկոր կա մարդու մարմնում:</v>
      </c>
      <c r="D7591" s="6" t="str">
        <f>IFERROR(__xludf.DUMMYFUNCTION("GOOGLETRANSLATE(B7591,""en"",""hy"")"),"Մարդու մարմնում կա 206 ոսկոր։")</f>
        <v>Մարդու մարմնում կա 206 ոսկոր։</v>
      </c>
    </row>
    <row r="7592">
      <c r="A7592" s="5" t="s">
        <v>7483</v>
      </c>
      <c r="B7592" s="5" t="s">
        <v>8295</v>
      </c>
      <c r="C7592" s="5" t="str">
        <f>IFERROR(__xludf.DUMMYFUNCTION("GOOGLETRANSLATE(A7592,""en"",""hy"")"),"Ո՞րն է ջրի քիմիական բանաձևը:")</f>
        <v>Ո՞րն է ջրի քիմիական բանաձևը:</v>
      </c>
      <c r="D7592" s="6" t="str">
        <f>IFERROR(__xludf.DUMMYFUNCTION("GOOGLETRANSLATE(B7592,""en"",""hy"")"),"H2O")</f>
        <v>H2O</v>
      </c>
    </row>
    <row r="7593">
      <c r="A7593" s="5" t="s">
        <v>8120</v>
      </c>
      <c r="B7593" s="5" t="s">
        <v>9533</v>
      </c>
      <c r="C7593" s="5" t="str">
        <f>IFERROR(__xludf.DUMMYFUNCTION("GOOGLETRANSLATE(A7593,""en"",""hy"")"),"Ո՞վ էր հունական ծովի աստվածը:")</f>
        <v>Ո՞վ էր հունական ծովի աստվածը:</v>
      </c>
      <c r="D7593" s="6" t="str">
        <f>IFERROR(__xludf.DUMMYFUNCTION("GOOGLETRANSLATE(B7593,""en"",""hy"")"),"Պոսեյդոն")</f>
        <v>Պոսեյդոն</v>
      </c>
    </row>
    <row r="7594">
      <c r="A7594" s="5" t="s">
        <v>7842</v>
      </c>
      <c r="B7594" s="5" t="s">
        <v>7671</v>
      </c>
      <c r="C7594" s="5" t="str">
        <f>IFERROR(__xludf.DUMMYFUNCTION("GOOGLETRANSLATE(A7594,""en"",""hy"")"),"Ո՞րն է աշխարհի ամենաերկար գետը:")</f>
        <v>Ո՞րն է աշխարհի ամենաերկար գետը:</v>
      </c>
      <c r="D7594" s="6" t="str">
        <f>IFERROR(__xludf.DUMMYFUNCTION("GOOGLETRANSLATE(B7594,""en"",""hy"")"),"Նեղոս գետ.")</f>
        <v>Նեղոս գետ.</v>
      </c>
    </row>
    <row r="7595">
      <c r="A7595" s="5" t="s">
        <v>7640</v>
      </c>
      <c r="B7595" s="5" t="s">
        <v>1016</v>
      </c>
      <c r="C7595" s="5" t="str">
        <f>IFERROR(__xludf.DUMMYFUNCTION("GOOGLETRANSLATE(A7595,""en"",""hy"")"),"Ո՞վ է գրել «Ռոմեո և Ջուլիետ» պիեսը:")</f>
        <v>Ո՞վ է գրել «Ռոմեո և Ջուլիետ» պիեսը:</v>
      </c>
      <c r="D7595" s="6" t="str">
        <f>IFERROR(__xludf.DUMMYFUNCTION("GOOGLETRANSLATE(B7595,""en"",""hy"")"),"Ուիլյամ Շեքսպիր.")</f>
        <v>Ուիլյամ Շեքսպիր.</v>
      </c>
    </row>
    <row r="7596">
      <c r="A7596" s="5" t="s">
        <v>7642</v>
      </c>
      <c r="B7596" s="5" t="s">
        <v>2951</v>
      </c>
      <c r="C7596" s="5" t="str">
        <f>IFERROR(__xludf.DUMMYFUNCTION("GOOGLETRANSLATE(A7596,""en"",""hy"")"),"Ո՞րն է Կանադայի մայրաքաղաքը:")</f>
        <v>Ո՞րն է Կանադայի մայրաքաղաքը:</v>
      </c>
      <c r="D7596" s="6" t="str">
        <f>IFERROR(__xludf.DUMMYFUNCTION("GOOGLETRANSLATE(B7596,""en"",""hy"")"),"Օտտավա.")</f>
        <v>Օտտավա.</v>
      </c>
    </row>
    <row r="7597">
      <c r="A7597" s="5" t="s">
        <v>7632</v>
      </c>
      <c r="B7597" s="5" t="s">
        <v>7633</v>
      </c>
      <c r="C7597" s="5" t="str">
        <f>IFERROR(__xludf.DUMMYFUNCTION("GOOGLETRANSLATE(A7597,""en"",""hy"")"),"Ո՞րն է մեր արեգակնային համակարգի ամենամեծ մոլորակը:")</f>
        <v>Ո՞րն է մեր արեգակնային համակարգի ամենամեծ մոլորակը:</v>
      </c>
      <c r="D7597" s="6" t="str">
        <f>IFERROR(__xludf.DUMMYFUNCTION("GOOGLETRANSLATE(B7597,""en"",""hy"")"),"Յուպիտեր.")</f>
        <v>Յուպիտեր.</v>
      </c>
    </row>
    <row r="7598">
      <c r="A7598" s="5" t="s">
        <v>7473</v>
      </c>
      <c r="B7598" s="5" t="s">
        <v>7474</v>
      </c>
      <c r="C7598" s="5" t="str">
        <f>IFERROR(__xludf.DUMMYFUNCTION("GOOGLETRANSLATE(A7598,""en"",""hy"")"),"Ո՞վ է նկարել Սիքստինյան կապելլայի առաստաղը:")</f>
        <v>Ո՞վ է նկարել Սիքստինյան կապելլայի առաստաղը:</v>
      </c>
      <c r="D7598" s="6" t="str">
        <f>IFERROR(__xludf.DUMMYFUNCTION("GOOGLETRANSLATE(B7598,""en"",""hy"")"),"Միքելանջելո.")</f>
        <v>Միքելանջելո.</v>
      </c>
    </row>
    <row r="7599">
      <c r="A7599" s="5" t="s">
        <v>8025</v>
      </c>
      <c r="B7599" s="5" t="s">
        <v>8026</v>
      </c>
      <c r="C7599" s="5" t="str">
        <f>IFERROR(__xludf.DUMMYFUNCTION("GOOGLETRANSLATE(A7599,""en"",""hy"")"),"Ո՞րն է Չինաստանի պաշտոնական լեզուն:")</f>
        <v>Ո՞րն է Չինաստանի պաշտոնական լեզուն:</v>
      </c>
      <c r="D7599" s="6" t="str">
        <f>IFERROR(__xludf.DUMMYFUNCTION("GOOGLETRANSLATE(B7599,""en"",""hy"")"),"Չինաստանի պաշտոնական լեզուն մանդարին չինարենն է։")</f>
        <v>Չինաստանի պաշտոնական լեզուն մանդարին չինարենն է։</v>
      </c>
    </row>
    <row r="7600">
      <c r="A7600" s="5" t="s">
        <v>7506</v>
      </c>
      <c r="B7600" s="5" t="s">
        <v>7507</v>
      </c>
      <c r="C7600" s="5" t="str">
        <f>IFERROR(__xludf.DUMMYFUNCTION("GOOGLETRANSLATE(A7600,""en"",""hy"")"),"Ո՞րն է աշխարհի ամենափոքր երկիրը:")</f>
        <v>Ո՞րն է աշխարհի ամենափոքր երկիրը:</v>
      </c>
      <c r="D7600" s="6" t="str">
        <f>IFERROR(__xludf.DUMMYFUNCTION("GOOGLETRANSLATE(B7600,""en"",""hy"")"),"Քաղաք Վատիկան.")</f>
        <v>Քաղաք Վատիկան.</v>
      </c>
    </row>
    <row r="7601">
      <c r="A7601" s="5" t="s">
        <v>7919</v>
      </c>
      <c r="B7601" s="5" t="s">
        <v>7556</v>
      </c>
      <c r="C7601" s="5" t="str">
        <f>IFERROR(__xludf.DUMMYFUNCTION("GOOGLETRANSLATE(A7601,""en"",""hy"")"),"Ո՞վ է հայտնաբերել հարաբերականության տեսությունը:")</f>
        <v>Ո՞վ է հայտնաբերել հարաբերականության տեսությունը:</v>
      </c>
      <c r="D7601" s="6" t="str">
        <f>IFERROR(__xludf.DUMMYFUNCTION("GOOGLETRANSLATE(B7601,""en"",""hy"")"),"Albert Einstein.")</f>
        <v>Albert Einstein.</v>
      </c>
    </row>
    <row r="7602">
      <c r="A7602" s="5" t="s">
        <v>8950</v>
      </c>
      <c r="B7602" s="5" t="s">
        <v>8951</v>
      </c>
      <c r="C7602" s="5" t="str">
        <f>IFERROR(__xludf.DUMMYFUNCTION("GOOGLETRANSLATE(A7602,""en"",""hy"")"),"Ո՞րն է Հնդկաստանի պաշտոնական լեզուն:")</f>
        <v>Ո՞րն է Հնդկաստանի պաշտոնական լեզուն:</v>
      </c>
      <c r="D7602" s="6" t="str">
        <f>IFERROR(__xludf.DUMMYFUNCTION("GOOGLETRANSLATE(B7602,""en"",""hy"")"),"Հնդկաստանի պաշտոնական լեզուն հինդին է։")</f>
        <v>Հնդկաստանի պաշտոնական լեզուն հինդին է։</v>
      </c>
    </row>
    <row r="7603">
      <c r="A7603" s="5" t="s">
        <v>7497</v>
      </c>
      <c r="B7603" s="5" t="s">
        <v>1299</v>
      </c>
      <c r="C7603" s="5" t="str">
        <f>IFERROR(__xludf.DUMMYFUNCTION("GOOGLETRANSLATE(A7603,""en"",""hy"")"),"Ո՞րն է աշխարհի ամենամեծ մայրցամաքը:")</f>
        <v>Ո՞րն է աշխարհի ամենամեծ մայրցամաքը:</v>
      </c>
      <c r="D7603" s="6" t="str">
        <f>IFERROR(__xludf.DUMMYFUNCTION("GOOGLETRANSLATE(B7603,""en"",""hy"")"),"Ասիա.")</f>
        <v>Ասիա.</v>
      </c>
    </row>
    <row r="7604">
      <c r="A7604" s="5" t="s">
        <v>7849</v>
      </c>
      <c r="B7604" s="5" t="s">
        <v>7541</v>
      </c>
      <c r="C7604" s="5" t="str">
        <f>IFERROR(__xludf.DUMMYFUNCTION("GOOGLETRANSLATE(A7604,""en"",""hy"")"),"Ո՞վ է գրել «Սպանել ծաղրող թռչունին» վեպը:")</f>
        <v>Ո՞վ է գրել «Սպանել ծաղրող թռչունին» վեպը:</v>
      </c>
      <c r="D7604" s="6" t="str">
        <f>IFERROR(__xludf.DUMMYFUNCTION("GOOGLETRANSLATE(B7604,""en"",""hy"")"),"Հարփեր Լի.")</f>
        <v>Հարփեր Լի.</v>
      </c>
    </row>
    <row r="7605">
      <c r="A7605" s="5" t="s">
        <v>7592</v>
      </c>
      <c r="B7605" s="5" t="s">
        <v>7593</v>
      </c>
      <c r="C7605" s="5" t="str">
        <f>IFERROR(__xludf.DUMMYFUNCTION("GOOGLETRANSLATE(A7605,""en"",""hy"")"),"Ո՞րն է թթվածնի քիմիական նշանը:")</f>
        <v>Ո՞րն է թթվածնի քիմիական նշանը:</v>
      </c>
      <c r="D7605" s="6" t="str">
        <f>IFERROR(__xludf.DUMMYFUNCTION("GOOGLETRANSLATE(B7605,""en"",""hy"")"),"Թթվածնի քիմիական նշանը O է:")</f>
        <v>Թթվածնի քիմիական նշանը O է:</v>
      </c>
    </row>
    <row r="7606">
      <c r="A7606" s="5" t="s">
        <v>8270</v>
      </c>
      <c r="B7606" s="5" t="s">
        <v>8271</v>
      </c>
      <c r="C7606" s="5" t="str">
        <f>IFERROR(__xludf.DUMMYFUNCTION("GOOGLETRANSLATE(A7606,""en"",""hy"")"),"Ո՞րն է Գերմանիայի պաշտոնական լեզուն:")</f>
        <v>Ո՞րն է Գերմանիայի պաշտոնական լեզուն:</v>
      </c>
      <c r="D7606" s="6" t="str">
        <f>IFERROR(__xludf.DUMMYFUNCTION("GOOGLETRANSLATE(B7606,""en"",""hy"")"),"Գերմանիայի պաշտոնական լեզուն գերմաներենն է։")</f>
        <v>Գերմանիայի պաշտոնական լեզուն գերմաներենն է։</v>
      </c>
    </row>
    <row r="7607">
      <c r="A7607" s="5" t="s">
        <v>9534</v>
      </c>
      <c r="B7607" s="5" t="s">
        <v>7733</v>
      </c>
      <c r="C7607" s="5" t="str">
        <f>IFERROR(__xludf.DUMMYFUNCTION("GOOGLETRANSLATE(A7607,""en"",""hy"")"),"Ո՞րն է աշխարհի ամենաբարձր ջրվեժը:")</f>
        <v>Ո՞րն է աշխարհի ամենաբարձր ջրվեժը:</v>
      </c>
      <c r="D7607" s="6" t="str">
        <f>IFERROR(__xludf.DUMMYFUNCTION("GOOGLETRANSLATE(B7607,""en"",""hy"")"),"Angel Falls.")</f>
        <v>Angel Falls.</v>
      </c>
    </row>
    <row r="7608">
      <c r="A7608" s="5" t="s">
        <v>7634</v>
      </c>
      <c r="B7608" s="5" t="s">
        <v>7635</v>
      </c>
      <c r="C7608" s="5" t="str">
        <f>IFERROR(__xludf.DUMMYFUNCTION("GOOGLETRANSLATE(A7608,""en"",""hy"")"),"Ո՞վ էր առաջին մարդը, ով ոտք դրեց լուսնի վրա:")</f>
        <v>Ո՞վ էր առաջին մարդը, ով ոտք դրեց լուսնի վրա:</v>
      </c>
      <c r="D7608" s="6" t="str">
        <f>IFERROR(__xludf.DUMMYFUNCTION("GOOGLETRANSLATE(B7608,""en"",""hy"")"),"Նիլ Արմսթրոնգ.")</f>
        <v>Նիլ Արմսթրոնգ.</v>
      </c>
    </row>
    <row r="7609">
      <c r="A7609" s="5" t="s">
        <v>7706</v>
      </c>
      <c r="B7609" s="5" t="s">
        <v>7707</v>
      </c>
      <c r="C7609" s="5" t="str">
        <f>IFERROR(__xludf.DUMMYFUNCTION("GOOGLETRANSLATE(A7609,""en"",""hy"")"),"Ո՞րն է Միացյալ Թագավորության արժույթը:")</f>
        <v>Ո՞րն է Միացյալ Թագավորության արժույթը:</v>
      </c>
      <c r="D7609" s="6" t="str">
        <f>IFERROR(__xludf.DUMMYFUNCTION("GOOGLETRANSLATE(B7609,""en"",""hy"")"),"Միացյալ Թագավորության արժույթը բրիտանական ֆունտն է։")</f>
        <v>Միացյալ Թագավորության արժույթը բրիտանական ֆունտն է։</v>
      </c>
    </row>
    <row r="7610">
      <c r="A7610" s="5" t="s">
        <v>9535</v>
      </c>
      <c r="B7610" s="5" t="s">
        <v>9536</v>
      </c>
      <c r="C7610" s="5" t="str">
        <f>IFERROR(__xludf.DUMMYFUNCTION("GOOGLETRANSLATE(A7610,""en"",""hy"")"),"Ո՞ր թվականին է սկսվել ամերիկյան քաղաքացիական պատերազմը:")</f>
        <v>Ո՞ր թվականին է սկսվել ամերիկյան քաղաքացիական պատերազմը:</v>
      </c>
      <c r="D7610" s="6" t="str">
        <f>IFERROR(__xludf.DUMMYFUNCTION("GOOGLETRANSLATE(B7610,""en"",""hy"")"),"Ամերիկյան քաղաքացիական պատերազմը սկսվել է 1861 թվականին։")</f>
        <v>Ամերիկյան քաղաքացիական պատերազմը սկսվել է 1861 թվականին։</v>
      </c>
    </row>
    <row r="7611">
      <c r="A7611" s="5" t="s">
        <v>8099</v>
      </c>
      <c r="B7611" s="5" t="s">
        <v>8100</v>
      </c>
      <c r="C7611" s="5" t="str">
        <f>IFERROR(__xludf.DUMMYFUNCTION("GOOGLETRANSLATE(A7611,""en"",""hy"")"),"Քանի՞ մոլորակ կա մեր արեգակնային համակարգում:")</f>
        <v>Քանի՞ մոլորակ կա մեր արեգակնային համակարգում:</v>
      </c>
      <c r="D7611" s="6" t="str">
        <f>IFERROR(__xludf.DUMMYFUNCTION("GOOGLETRANSLATE(B7611,""en"",""hy"")"),"Մեր Արեգակնային համակարգում կա ութ մոլորակ:")</f>
        <v>Մեր Արեգակնային համակարգում կա ութ մոլորակ:</v>
      </c>
    </row>
    <row r="7612">
      <c r="A7612" s="5" t="s">
        <v>7978</v>
      </c>
      <c r="B7612" s="5" t="s">
        <v>7549</v>
      </c>
      <c r="C7612" s="5" t="str">
        <f>IFERROR(__xludf.DUMMYFUNCTION("GOOGLETRANSLATE(A7612,""en"",""hy"")"),"Ո՞վ է նկարել «Մարգարտյա ականջօղով աղջիկը».")</f>
        <v>Ո՞վ է նկարել «Մարգարտյա ականջօղով աղջիկը».</v>
      </c>
      <c r="D7612" s="6" t="str">
        <f>IFERROR(__xludf.DUMMYFUNCTION("GOOGLETRANSLATE(B7612,""en"",""hy"")"),"Յոհաննես Վերմեեր.")</f>
        <v>Յոհաննես Վերմեեր.</v>
      </c>
    </row>
    <row r="7613">
      <c r="A7613" s="5" t="s">
        <v>9537</v>
      </c>
      <c r="B7613" s="5" t="s">
        <v>7537</v>
      </c>
      <c r="C7613" s="5" t="str">
        <f>IFERROR(__xludf.DUMMYFUNCTION("GOOGLETRANSLATE(A7613,""en"",""hy"")"),"Ո՞րն է Ռուսաստանի մայրաքաղաքը:")</f>
        <v>Ո՞րն է Ռուսաստանի մայրաքաղաքը:</v>
      </c>
      <c r="D7613" s="6" t="str">
        <f>IFERROR(__xludf.DUMMYFUNCTION("GOOGLETRANSLATE(B7613,""en"",""hy"")"),"Մոսկվա")</f>
        <v>Մոսկվա</v>
      </c>
    </row>
    <row r="7614">
      <c r="A7614" s="5" t="s">
        <v>7513</v>
      </c>
      <c r="B7614" s="5" t="s">
        <v>8337</v>
      </c>
      <c r="C7614" s="5" t="str">
        <f>IFERROR(__xludf.DUMMYFUNCTION("GOOGLETRANSLATE(A7614,""en"",""hy"")"),"Ո՞րն է աշխարհի ամենամեծ անապատը:")</f>
        <v>Ո՞րն է աշխարհի ամենամեծ անապատը:</v>
      </c>
      <c r="D7614" s="6" t="str">
        <f>IFERROR(__xludf.DUMMYFUNCTION("GOOGLETRANSLATE(B7614,""en"",""hy"")"),"Աշխարհի ամենամեծ անապատը Անտարկտիդայի անապատն է։")</f>
        <v>Աշխարհի ամենամեծ անապատը Անտարկտիդայի անապատն է։</v>
      </c>
    </row>
    <row r="7615">
      <c r="A7615" s="5" t="s">
        <v>7683</v>
      </c>
      <c r="B7615" s="5" t="s">
        <v>8107</v>
      </c>
      <c r="C7615" s="5" t="str">
        <f>IFERROR(__xludf.DUMMYFUNCTION("GOOGLETRANSLATE(A7615,""en"",""hy"")"),"Ո՞վ է գրել «Համլետ» պիեսը։")</f>
        <v>Ո՞վ է գրել «Համլետ» պիեսը։</v>
      </c>
      <c r="D7615" s="6" t="str">
        <f>IFERROR(__xludf.DUMMYFUNCTION("GOOGLETRANSLATE(B7615,""en"",""hy"")"),"Ուիլյամ Շեքսպիր")</f>
        <v>Ուիլյամ Շեքսպիր</v>
      </c>
    </row>
    <row r="7616">
      <c r="A7616" s="5" t="s">
        <v>8144</v>
      </c>
      <c r="B7616" s="5" t="s">
        <v>2267</v>
      </c>
      <c r="C7616" s="5" t="str">
        <f>IFERROR(__xludf.DUMMYFUNCTION("GOOGLETRANSLATE(A7616,""en"",""hy"")"),"Ո՞րն է Իսպանիայի պաշտոնական լեզուն:")</f>
        <v>Ո՞րն է Իսպանիայի պաշտոնական լեզուն:</v>
      </c>
      <c r="D7616" s="6" t="str">
        <f>IFERROR(__xludf.DUMMYFUNCTION("GOOGLETRANSLATE(B7616,""en"",""hy"")"),"իսպաներեն.")</f>
        <v>իսպաներեն.</v>
      </c>
    </row>
    <row r="7617">
      <c r="A7617" s="5" t="s">
        <v>8036</v>
      </c>
      <c r="B7617" s="5" t="s">
        <v>7743</v>
      </c>
      <c r="C7617" s="5" t="str">
        <f>IFERROR(__xludf.DUMMYFUNCTION("GOOGLETRANSLATE(A7617,""en"",""hy"")"),"Ո՞րն է աշխարհի ամենախորը օվկիանոսային խրամատը:")</f>
        <v>Ո՞րն է աշխարհի ամենախորը օվկիանոսային խրամատը:</v>
      </c>
      <c r="D7617" s="6" t="str">
        <f>IFERROR(__xludf.DUMMYFUNCTION("GOOGLETRANSLATE(B7617,""en"",""hy"")"),"Մարիանայի խրամատ.")</f>
        <v>Մարիանայի խրամատ.</v>
      </c>
    </row>
    <row r="7618">
      <c r="A7618" s="5" t="s">
        <v>9538</v>
      </c>
      <c r="B7618" s="5" t="s">
        <v>9539</v>
      </c>
      <c r="C7618" s="5" t="str">
        <f>IFERROR(__xludf.DUMMYFUNCTION("GOOGLETRANSLATE(A7618,""en"",""hy"")"),"Ո՞վ էր Մեծ Բրիտանիայի վարչապետը Երկրորդ համաշխարհային պատերազմի ժամանակ:")</f>
        <v>Ո՞վ էր Մեծ Բրիտանիայի վարչապետը Երկրորդ համաշխարհային պատերազմի ժամանակ:</v>
      </c>
      <c r="D7618" s="6" t="str">
        <f>IFERROR(__xludf.DUMMYFUNCTION("GOOGLETRANSLATE(B7618,""en"",""hy"")"),"Ուինսթոն Չերչիլ.")</f>
        <v>Ուինսթոն Չերչիլ.</v>
      </c>
    </row>
    <row r="7619">
      <c r="A7619" s="5" t="s">
        <v>9540</v>
      </c>
      <c r="B7619" s="5" t="s">
        <v>9541</v>
      </c>
      <c r="C7619" s="5" t="str">
        <f>IFERROR(__xludf.DUMMYFUNCTION("GOOGLETRANSLATE(A7619,""en"",""hy"")"),"Ո՞րն է Ֆրանսիայի պաշտոնական արժույթը:")</f>
        <v>Ո՞րն է Ֆրանսիայի պաշտոնական արժույթը:</v>
      </c>
      <c r="D7619" s="6" t="str">
        <f>IFERROR(__xludf.DUMMYFUNCTION("GOOGLETRANSLATE(B7619,""en"",""hy"")"),"Ֆրանսիայի պաշտոնական արժույթը եվրոն է։")</f>
        <v>Ֆրանսիայի պաշտոնական արժույթը եվրոն է։</v>
      </c>
    </row>
    <row r="7620">
      <c r="A7620" s="5" t="s">
        <v>8822</v>
      </c>
      <c r="B7620" s="5" t="s">
        <v>9071</v>
      </c>
      <c r="C7620" s="5" t="str">
        <f>IFERROR(__xludf.DUMMYFUNCTION("GOOGLETRANSLATE(A7620,""en"",""hy"")"),"Ո՞ր թվականին է փլվել Բեռլինի պատը:")</f>
        <v>Ո՞ր թվականին է փլվել Բեռլինի պատը:</v>
      </c>
      <c r="D7620" s="6" t="str">
        <f>IFERROR(__xludf.DUMMYFUNCTION("GOOGLETRANSLATE(B7620,""en"",""hy"")"),"Բեռլինի պատը փլվեց 1989թ.")</f>
        <v>Բեռլինի պատը փլվեց 1989թ.</v>
      </c>
    </row>
    <row r="7621">
      <c r="A7621" s="5" t="s">
        <v>8121</v>
      </c>
      <c r="B7621" s="5" t="s">
        <v>8122</v>
      </c>
      <c r="C7621" s="5" t="str">
        <f>IFERROR(__xludf.DUMMYFUNCTION("GOOGLETRANSLATE(A7621,""en"",""hy"")"),"Քանի՞ աստղ կա ամերիկյան դրոշի վրա:")</f>
        <v>Քանի՞ աստղ կա ամերիկյան դրոշի վրա:</v>
      </c>
      <c r="D7621" s="6" t="str">
        <f>IFERROR(__xludf.DUMMYFUNCTION("GOOGLETRANSLATE(B7621,""en"",""hy"")"),"Ամերիկյան դրոշի վրա 50 աստղ կա։")</f>
        <v>Ամերիկյան դրոշի վրա 50 աստղ կա։</v>
      </c>
    </row>
    <row r="7622">
      <c r="A7622" s="5" t="s">
        <v>7931</v>
      </c>
      <c r="B7622" s="5" t="s">
        <v>7648</v>
      </c>
      <c r="C7622" s="5" t="str">
        <f>IFERROR(__xludf.DUMMYFUNCTION("GOOGLETRANSLATE(A7622,""en"",""hy"")"),"Ո՞վ է նկարել «Աստղային գիշերը»:")</f>
        <v>Ո՞վ է նկարել «Աստղային գիշերը»:</v>
      </c>
      <c r="D7622" s="6" t="str">
        <f>IFERROR(__xludf.DUMMYFUNCTION("GOOGLETRANSLATE(B7622,""en"",""hy"")"),"Վինսենթ վան Գոգ.")</f>
        <v>Վինսենթ վան Գոգ.</v>
      </c>
    </row>
    <row r="7623">
      <c r="A7623" s="5" t="s">
        <v>7667</v>
      </c>
      <c r="B7623" s="5" t="s">
        <v>7554</v>
      </c>
      <c r="C7623" s="5" t="str">
        <f>IFERROR(__xludf.DUMMYFUNCTION("GOOGLETRANSLATE(A7623,""en"",""hy"")"),"Ո՞րն է Հարավային Աֆրիկայի մայրաքաղաքը:")</f>
        <v>Ո՞րն է Հարավային Աֆրիկայի մայրաքաղաքը:</v>
      </c>
      <c r="D7623" s="6" t="str">
        <f>IFERROR(__xludf.DUMMYFUNCTION("GOOGLETRANSLATE(B7623,""en"",""hy"")"),"Պրետորիա.")</f>
        <v>Պրետորիա.</v>
      </c>
    </row>
    <row r="7624">
      <c r="A7624" s="5" t="s">
        <v>7526</v>
      </c>
      <c r="B7624" s="5" t="s">
        <v>9542</v>
      </c>
      <c r="C7624" s="5" t="str">
        <f>IFERROR(__xludf.DUMMYFUNCTION("GOOGLETRANSLATE(A7624,""en"",""hy"")"),"Ո՞րն է աշխարհի ամենամեծ կղզին:")</f>
        <v>Ո՞րն է աշխարհի ամենամեծ կղզին:</v>
      </c>
      <c r="D7624" s="6" t="str">
        <f>IFERROR(__xludf.DUMMYFUNCTION("GOOGLETRANSLATE(B7624,""en"",""hy"")"),"Գրենլանդիան աշխարհի ամենամեծ կղզին է։")</f>
        <v>Գրենլանդիան աշխարհի ամենամեծ կղզին է։</v>
      </c>
    </row>
    <row r="7625">
      <c r="A7625" s="5" t="s">
        <v>7443</v>
      </c>
      <c r="B7625" s="5" t="s">
        <v>8355</v>
      </c>
      <c r="C7625" s="5" t="str">
        <f>IFERROR(__xludf.DUMMYFUNCTION("GOOGLETRANSLATE(A7625,""en"",""hy"")"),"Ո՞վ է գրել «1984» վեպը։")</f>
        <v>Ո՞վ է գրել «1984» վեպը։</v>
      </c>
      <c r="D7625" s="6" t="str">
        <f>IFERROR(__xludf.DUMMYFUNCTION("GOOGLETRANSLATE(B7625,""en"",""hy"")"),"Ջորջ Օրուել")</f>
        <v>Ջորջ Օրուել</v>
      </c>
    </row>
    <row r="7626">
      <c r="A7626" s="5" t="s">
        <v>7699</v>
      </c>
      <c r="B7626" s="5" t="s">
        <v>7700</v>
      </c>
      <c r="C7626" s="5" t="str">
        <f>IFERROR(__xludf.DUMMYFUNCTION("GOOGLETRANSLATE(A7626,""en"",""hy"")"),"Ո՞րն է ածխածնի քիմիական նշանը:")</f>
        <v>Ո՞րն է ածխածնի քիմիական նշանը:</v>
      </c>
      <c r="D7626" s="6" t="str">
        <f>IFERROR(__xludf.DUMMYFUNCTION("GOOGLETRANSLATE(B7626,""en"",""hy"")"),"Ածխածնի քիմիական նշանը C է:")</f>
        <v>Ածխածնի քիմիական նշանը C է:</v>
      </c>
    </row>
    <row r="7627">
      <c r="A7627" s="5" t="s">
        <v>8750</v>
      </c>
      <c r="B7627" s="5" t="s">
        <v>9543</v>
      </c>
      <c r="C7627" s="5" t="str">
        <f>IFERROR(__xludf.DUMMYFUNCTION("GOOGLETRANSLATE(A7627,""en"",""hy"")"),"Ո՞րն է Իտալիայի պաշտոնական լեզուն:")</f>
        <v>Ո՞րն է Իտալիայի պաշտոնական լեզուն:</v>
      </c>
      <c r="D7627" s="6" t="str">
        <f>IFERROR(__xludf.DUMMYFUNCTION("GOOGLETRANSLATE(B7627,""en"",""hy"")"),"Իտալիայի պաշտոնական լեզուն իտալերենն է։")</f>
        <v>Իտալիայի պաշտոնական լեզուն իտալերենն է։</v>
      </c>
    </row>
    <row r="7628">
      <c r="A7628" s="5" t="s">
        <v>8753</v>
      </c>
      <c r="B7628" s="5" t="s">
        <v>9544</v>
      </c>
      <c r="C7628" s="5" t="str">
        <f>IFERROR(__xludf.DUMMYFUNCTION("GOOGLETRANSLATE(A7628,""en"",""hy"")"),"Ո՞րն է Հյուսիսային Ամերիկայի ամենաբարձր լեռը:")</f>
        <v>Ո՞րն է Հյուսիսային Ամերիկայի ամենաբարձր լեռը:</v>
      </c>
      <c r="D7628" s="6" t="str">
        <f>IFERROR(__xludf.DUMMYFUNCTION("GOOGLETRANSLATE(B7628,""en"",""hy"")"),"Դենալի լեռ (նախկինում հայտնի է որպես Մաունթ ՄաքՔինլի)")</f>
        <v>Դենալի լեռ (նախկինում հայտնի է որպես Մաունթ ՄաքՔինլի)</v>
      </c>
    </row>
    <row r="7629">
      <c r="A7629" s="5" t="s">
        <v>9545</v>
      </c>
      <c r="B7629" s="5" t="s">
        <v>8230</v>
      </c>
      <c r="C7629" s="5" t="str">
        <f>IFERROR(__xludf.DUMMYFUNCTION("GOOGLETRANSLATE(A7629,""en"",""hy"")"),"Ո՞վ էր առաջին մարդը, ով հայտնաբերեց Ամերիկան:")</f>
        <v>Ո՞վ էր առաջին մարդը, ով հայտնաբերեց Ամերիկան:</v>
      </c>
      <c r="D7629" s="6" t="str">
        <f>IFERROR(__xludf.DUMMYFUNCTION("GOOGLETRANSLATE(B7629,""en"",""hy"")"),"Քրիստափոր Կոլումբոս.")</f>
        <v>Քրիստափոր Կոլումբոս.</v>
      </c>
    </row>
    <row r="7630">
      <c r="A7630" s="5" t="s">
        <v>9546</v>
      </c>
      <c r="B7630" s="5" t="s">
        <v>9547</v>
      </c>
      <c r="C7630" s="5" t="str">
        <f>IFERROR(__xludf.DUMMYFUNCTION("GOOGLETRANSLATE(A7630,""en"",""hy"")"),"Ո՞րն է Կանադայի պաշտոնական արժույթը:")</f>
        <v>Ո՞րն է Կանադայի պաշտոնական արժույթը:</v>
      </c>
      <c r="D7630" s="6" t="str">
        <f>IFERROR(__xludf.DUMMYFUNCTION("GOOGLETRANSLATE(B7630,""en"",""hy"")"),"Կանադայի պաշտոնական արժույթը Կանադական դոլարն է։")</f>
        <v>Կանադայի պաշտոնական արժույթը Կանադական դոլարն է։</v>
      </c>
    </row>
    <row r="7631">
      <c r="A7631" s="5" t="s">
        <v>8245</v>
      </c>
      <c r="B7631" s="5" t="s">
        <v>7501</v>
      </c>
      <c r="C7631" s="5" t="str">
        <f>IFERROR(__xludf.DUMMYFUNCTION("GOOGLETRANSLATE(A7631,""en"",""hy"")"),"Ո՞ր քաղաքում է գտնվում Էյֆելյան աշտարակը:")</f>
        <v>Ո՞ր քաղաքում է գտնվում Էյֆելյան աշտարակը:</v>
      </c>
      <c r="D7631" s="6" t="str">
        <f>IFERROR(__xludf.DUMMYFUNCTION("GOOGLETRANSLATE(B7631,""en"",""hy"")"),"Փարիզ.")</f>
        <v>Փարիզ.</v>
      </c>
    </row>
    <row r="7632">
      <c r="A7632" s="5" t="s">
        <v>7858</v>
      </c>
      <c r="B7632" s="5" t="s">
        <v>7448</v>
      </c>
      <c r="C7632" s="5" t="str">
        <f>IFERROR(__xludf.DUMMYFUNCTION("GOOGLETRANSLATE(A7632,""en"",""hy"")"),"Ո՞վ է նկարել «Մոնա Լիզան»:")</f>
        <v>Ո՞վ է նկարել «Մոնա Լիզան»:</v>
      </c>
      <c r="D7632" s="6" t="str">
        <f>IFERROR(__xludf.DUMMYFUNCTION("GOOGLETRANSLATE(B7632,""en"",""hy"")"),"Լեոնարդո դա Վինչի.")</f>
        <v>Լեոնարդո դա Վինչի.</v>
      </c>
    </row>
    <row r="7633">
      <c r="A7633" s="5" t="s">
        <v>7752</v>
      </c>
      <c r="B7633" s="5" t="s">
        <v>7753</v>
      </c>
      <c r="C7633" s="5" t="str">
        <f>IFERROR(__xludf.DUMMYFUNCTION("GOOGLETRANSLATE(A7633,""en"",""hy"")"),"Ո՞րն է Ճապոնիայի մայրաքաղաքը:")</f>
        <v>Ո՞րն է Ճապոնիայի մայրաքաղաքը:</v>
      </c>
      <c r="D7633" s="6" t="str">
        <f>IFERROR(__xludf.DUMMYFUNCTION("GOOGLETRANSLATE(B7633,""en"",""hy"")"),"Տոկիո.")</f>
        <v>Տոկիո.</v>
      </c>
    </row>
    <row r="7634">
      <c r="A7634" s="5" t="s">
        <v>9548</v>
      </c>
      <c r="B7634" s="5" t="s">
        <v>1299</v>
      </c>
      <c r="C7634" s="5" t="str">
        <f>IFERROR(__xludf.DUMMYFUNCTION("GOOGLETRANSLATE(A7634,""en"",""hy"")"),"Ո՞րն է բնակչության թվով ամենամեծ մայրցամաքը:")</f>
        <v>Ո՞րն է բնակչության թվով ամենամեծ մայրցամաքը:</v>
      </c>
      <c r="D7634" s="6" t="str">
        <f>IFERROR(__xludf.DUMMYFUNCTION("GOOGLETRANSLATE(B7634,""en"",""hy"")"),"Ասիա.")</f>
        <v>Ասիա.</v>
      </c>
    </row>
    <row r="7635">
      <c r="A7635" s="5" t="s">
        <v>7890</v>
      </c>
      <c r="B7635" s="5" t="s">
        <v>7661</v>
      </c>
      <c r="C7635" s="5" t="str">
        <f>IFERROR(__xludf.DUMMYFUNCTION("GOOGLETRANSLATE(A7635,""en"",""hy"")"),"Ո՞վ է գրել «Մեծն Գեթսբի» վեպը:")</f>
        <v>Ո՞վ է գրել «Մեծն Գեթսբի» վեպը:</v>
      </c>
      <c r="D7635" s="6" t="str">
        <f>IFERROR(__xludf.DUMMYFUNCTION("GOOGLETRANSLATE(B7635,""en"",""hy"")"),"F. Scott Fitzgerald.")</f>
        <v>F. Scott Fitzgerald.</v>
      </c>
    </row>
    <row r="7636">
      <c r="A7636" s="5" t="s">
        <v>7509</v>
      </c>
      <c r="B7636" s="5" t="s">
        <v>7684</v>
      </c>
      <c r="C7636" s="5" t="str">
        <f>IFERROR(__xludf.DUMMYFUNCTION("GOOGLETRANSLATE(A7636,""en"",""hy"")"),"Ո՞րն է արծաթի քիմիական նշանը:")</f>
        <v>Ո՞րն է արծաթի քիմիական նշանը:</v>
      </c>
      <c r="D7636" s="6" t="str">
        <f>IFERROR(__xludf.DUMMYFUNCTION("GOOGLETRANSLATE(B7636,""en"",""hy"")"),"Արծաթի քիմիական խորհրդանիշն է Ag.")</f>
        <v>Արծաթի քիմիական խորհրդանիշն է Ag.</v>
      </c>
    </row>
    <row r="7637">
      <c r="A7637" s="5" t="s">
        <v>8049</v>
      </c>
      <c r="B7637" s="5" t="s">
        <v>9549</v>
      </c>
      <c r="C7637" s="5" t="str">
        <f>IFERROR(__xludf.DUMMYFUNCTION("GOOGLETRANSLATE(A7637,""en"",""hy"")"),"Ո՞րն է Մեքսիկայի պաշտոնական լեզուն:")</f>
        <v>Ո՞րն է Մեքսիկայի պաշտոնական լեզուն:</v>
      </c>
      <c r="D7637" s="6" t="str">
        <f>IFERROR(__xludf.DUMMYFUNCTION("GOOGLETRANSLATE(B7637,""en"",""hy"")"),"իսպաներեն")</f>
        <v>իսպաներեն</v>
      </c>
    </row>
    <row r="7638">
      <c r="A7638" s="5" t="s">
        <v>9550</v>
      </c>
      <c r="B7638" s="5" t="s">
        <v>9551</v>
      </c>
      <c r="C7638" s="5" t="str">
        <f>IFERROR(__xludf.DUMMYFUNCTION("GOOGLETRANSLATE(A7638,""en"",""hy"")"),"Ո՞րն է Եվրոպայի ամենաբարձր լեռը:")</f>
        <v>Ո՞րն է Եվրոպայի ամենաբարձր լեռը:</v>
      </c>
      <c r="D7638" s="6" t="str">
        <f>IFERROR(__xludf.DUMMYFUNCTION("GOOGLETRANSLATE(B7638,""en"",""hy"")"),"Էլբրուս լեռ.")</f>
        <v>Էլբրուս լեռ.</v>
      </c>
    </row>
    <row r="7639">
      <c r="A7639" s="5" t="s">
        <v>8115</v>
      </c>
      <c r="B7639" s="5" t="s">
        <v>9278</v>
      </c>
      <c r="C7639" s="5" t="str">
        <f>IFERROR(__xludf.DUMMYFUNCTION("GOOGLETRANSLATE(A7639,""en"",""hy"")"),"Ո՞վ է եղել Միացյալ Թագավորության առաջին կին վարչապետը:")</f>
        <v>Ո՞վ է եղել Միացյալ Թագավորության առաջին կին վարչապետը:</v>
      </c>
      <c r="D7639" s="6" t="str">
        <f>IFERROR(__xludf.DUMMYFUNCTION("GOOGLETRANSLATE(B7639,""en"",""hy"")"),"Մարգարեթ Թետչեր.")</f>
        <v>Մարգարեթ Թետչեր.</v>
      </c>
    </row>
    <row r="7640">
      <c r="A7640" s="5" t="s">
        <v>9552</v>
      </c>
      <c r="B7640" s="5" t="s">
        <v>9553</v>
      </c>
      <c r="C7640" s="5" t="str">
        <f>IFERROR(__xludf.DUMMYFUNCTION("GOOGLETRANSLATE(A7640,""en"",""hy"")"),"Ո՞րն է Ավստրալիայի պաշտոնական արժույթը:")</f>
        <v>Ո՞րն է Ավստրալիայի պաշտոնական արժույթը:</v>
      </c>
      <c r="D7640" s="6" t="str">
        <f>IFERROR(__xludf.DUMMYFUNCTION("GOOGLETRANSLATE(B7640,""en"",""hy"")"),"Ավստրալիայի պաշտոնական արժույթը ավստրալիական դոլարն է (AUD):")</f>
        <v>Ավստրալիայի պաշտոնական արժույթը ավստրալիական դոլարն է (AUD):</v>
      </c>
    </row>
    <row r="7641">
      <c r="A7641" s="5" t="s">
        <v>8564</v>
      </c>
      <c r="B7641" s="5" t="s">
        <v>9554</v>
      </c>
      <c r="C7641" s="5" t="str">
        <f>IFERROR(__xludf.DUMMYFUNCTION("GOOGLETRANSLATE(A7641,""en"",""hy"")"),"Ո՞ր թվականին է սկսվել Առաջին համաշխարհային պատերազմը:")</f>
        <v>Ո՞ր թվականին է սկսվել Առաջին համաշխարհային պատերազմը:</v>
      </c>
      <c r="D7641" s="6" t="str">
        <f>IFERROR(__xludf.DUMMYFUNCTION("GOOGLETRANSLATE(B7641,""en"",""hy"")"),"Առաջին համաշխարհային պատերազմը սկսվեց 1914 թվականին։")</f>
        <v>Առաջին համաշխարհային պատերազմը սկսվեց 1914 թվականին։</v>
      </c>
    </row>
    <row r="7642">
      <c r="A7642" s="5" t="s">
        <v>7969</v>
      </c>
      <c r="B7642" s="5" t="s">
        <v>7970</v>
      </c>
      <c r="C7642" s="5" t="str">
        <f>IFERROR(__xludf.DUMMYFUNCTION("GOOGLETRANSLATE(A7642,""en"",""hy"")"),"Քանի՞ ոսկոր կա մարդու գանգում:")</f>
        <v>Քանի՞ ոսկոր կա մարդու գանգում:</v>
      </c>
      <c r="D7642" s="6" t="str">
        <f>IFERROR(__xludf.DUMMYFUNCTION("GOOGLETRANSLATE(B7642,""en"",""hy"")"),"Մարդու գանգում կա 22 ոսկոր։")</f>
        <v>Մարդու գանգում կա 22 ոսկոր։</v>
      </c>
    </row>
    <row r="7643">
      <c r="A7643" s="5" t="s">
        <v>7861</v>
      </c>
      <c r="B7643" s="5" t="s">
        <v>7448</v>
      </c>
      <c r="C7643" s="5" t="str">
        <f>IFERROR(__xludf.DUMMYFUNCTION("GOOGLETRANSLATE(A7643,""en"",""hy"")"),"Ո՞վ է նկարել «Վերջին ընթրիքը»:")</f>
        <v>Ո՞վ է նկարել «Վերջին ընթրիքը»:</v>
      </c>
      <c r="D7643" s="6" t="str">
        <f>IFERROR(__xludf.DUMMYFUNCTION("GOOGLETRANSLATE(B7643,""en"",""hy"")"),"Լեոնարդո դա Վինչի.")</f>
        <v>Լեոնարդո դա Վինչի.</v>
      </c>
    </row>
    <row r="7644">
      <c r="A7644" s="5" t="s">
        <v>7627</v>
      </c>
      <c r="B7644" s="5" t="s">
        <v>7501</v>
      </c>
      <c r="C7644" s="5" t="str">
        <f>IFERROR(__xludf.DUMMYFUNCTION("GOOGLETRANSLATE(A7644,""en"",""hy"")"),"Ո՞րն է Ֆրանսիայի մայրաքաղաքը:")</f>
        <v>Ո՞րն է Ֆրանսիայի մայրաքաղաքը:</v>
      </c>
      <c r="D7644" s="6" t="str">
        <f>IFERROR(__xludf.DUMMYFUNCTION("GOOGLETRANSLATE(B7644,""en"",""hy"")"),"Փարիզ.")</f>
        <v>Փարիզ.</v>
      </c>
    </row>
    <row r="7645">
      <c r="A7645" s="5" t="s">
        <v>7691</v>
      </c>
      <c r="B7645" s="5" t="s">
        <v>9555</v>
      </c>
      <c r="C7645" s="5" t="str">
        <f>IFERROR(__xludf.DUMMYFUNCTION("GOOGLETRANSLATE(A7645,""en"",""hy"")"),"Ո՞րն է Աֆրիկայի ամենամեծ լիճը:")</f>
        <v>Ո՞րն է Աֆրիկայի ամենամեծ լիճը:</v>
      </c>
      <c r="D7645" s="6" t="str">
        <f>IFERROR(__xludf.DUMMYFUNCTION("GOOGLETRANSLATE(B7645,""en"",""hy"")"),"Վիկտորիա լիճ")</f>
        <v>Վիկտորիա լիճ</v>
      </c>
    </row>
    <row r="7646">
      <c r="A7646" s="5" t="s">
        <v>7726</v>
      </c>
      <c r="B7646" s="5" t="s">
        <v>1016</v>
      </c>
      <c r="C7646" s="5" t="str">
        <f>IFERROR(__xludf.DUMMYFUNCTION("GOOGLETRANSLATE(A7646,""en"",""hy"")"),"Ո՞վ է գրել «Մակբեթ» պիեսը։")</f>
        <v>Ո՞վ է գրել «Մակբեթ» պիեսը։</v>
      </c>
      <c r="D7646" s="6" t="str">
        <f>IFERROR(__xludf.DUMMYFUNCTION("GOOGLETRANSLATE(B7646,""en"",""hy"")"),"Ուիլյամ Շեքսպիր.")</f>
        <v>Ուիլյամ Շեքսպիր.</v>
      </c>
    </row>
    <row r="7647">
      <c r="A7647" s="5" t="s">
        <v>9556</v>
      </c>
      <c r="B7647" s="5" t="s">
        <v>2593</v>
      </c>
      <c r="C7647" s="5" t="str">
        <f>IFERROR(__xludf.DUMMYFUNCTION("GOOGLETRANSLATE(A7647,""en"",""hy"")"),"Ո՞րն է Արգենտինայի պաշտոնական լեզուն:")</f>
        <v>Ո՞րն է Արգենտինայի պաշտոնական լեզուն:</v>
      </c>
      <c r="D7647" s="6" t="str">
        <f>IFERROR(__xludf.DUMMYFUNCTION("GOOGLETRANSLATE(B7647,""en"",""hy"")"),"Արգենտինայի պաշտոնական լեզուն իսպաներենն է։")</f>
        <v>Արգենտինայի պաշտոնական լեզուն իսպաներենն է։</v>
      </c>
    </row>
    <row r="7648">
      <c r="A7648" s="5" t="s">
        <v>9557</v>
      </c>
      <c r="B7648" s="5" t="s">
        <v>9558</v>
      </c>
      <c r="C7648" s="5" t="str">
        <f>IFERROR(__xludf.DUMMYFUNCTION("GOOGLETRANSLATE(A7648,""en"",""hy"")"),"Ո՞րն է Հարավային Ամերիկայի ամենաբարձր լեռը:")</f>
        <v>Ո՞րն է Հարավային Ամերիկայի ամենաբարձր լեռը:</v>
      </c>
      <c r="D7648" s="6" t="str">
        <f>IFERROR(__xludf.DUMMYFUNCTION("GOOGLETRANSLATE(B7648,""en"",""hy"")"),"Հարավային Ամերիկայի ամենաբարձր լեռը Ակոնկագուա լեռն է։")</f>
        <v>Հարավային Ամերիկայի ամենաբարձր լեռը Ակոնկագուա լեռն է։</v>
      </c>
    </row>
    <row r="7649">
      <c r="A7649" s="5" t="s">
        <v>9559</v>
      </c>
      <c r="B7649" s="5" t="s">
        <v>9560</v>
      </c>
      <c r="C7649" s="5" t="str">
        <f>IFERROR(__xludf.DUMMYFUNCTION("GOOGLETRANSLATE(A7649,""en"",""hy"")"),"Ո՞վ էր առաջին մարդը, ով նավարկեց աշխարհով մեկ:")</f>
        <v>Ո՞վ էր առաջին մարդը, ով նավարկեց աշխարհով մեկ:</v>
      </c>
      <c r="D7649" s="6" t="str">
        <f>IFERROR(__xludf.DUMMYFUNCTION("GOOGLETRANSLATE(B7649,""en"",""hy"")"),"Ֆերդինանդ Մագելան.")</f>
        <v>Ֆերդինանդ Մագելան.</v>
      </c>
    </row>
    <row r="7650">
      <c r="A7650" s="5" t="s">
        <v>9561</v>
      </c>
      <c r="B7650" s="5" t="s">
        <v>9562</v>
      </c>
      <c r="C7650" s="5" t="str">
        <f>IFERROR(__xludf.DUMMYFUNCTION("GOOGLETRANSLATE(A7650,""en"",""hy"")"),"Ո՞րն է Չինաստանի պաշտոնական արժույթը:")</f>
        <v>Ո՞րն է Չինաստանի պաշտոնական արժույթը:</v>
      </c>
      <c r="D7650" s="6" t="str">
        <f>IFERROR(__xludf.DUMMYFUNCTION("GOOGLETRANSLATE(B7650,""en"",""hy"")"),"Չինաստանի պաշտոնական արժույթը չինական յուանն է (CNY):")</f>
        <v>Չինաստանի պաշտոնական արժույթը չինական յուանն է (CNY):</v>
      </c>
    </row>
    <row r="7651">
      <c r="A7651" s="5" t="s">
        <v>9563</v>
      </c>
      <c r="B7651" s="5" t="s">
        <v>8509</v>
      </c>
      <c r="C7651" s="5" t="str">
        <f>IFERROR(__xludf.DUMMYFUNCTION("GOOGLETRANSLATE(A7651,""en"",""hy"")"),"Ո՞ր թվականին սկսվեց Ֆրանսիական հեղափոխությունը:")</f>
        <v>Ո՞ր թվականին սկսվեց Ֆրանսիական հեղափոխությունը:</v>
      </c>
      <c r="D7651" s="6" t="str">
        <f>IFERROR(__xludf.DUMMYFUNCTION("GOOGLETRANSLATE(B7651,""en"",""hy"")"),"Ֆրանսիական հեղափոխությունը սկսվել է 1789 թվականին։")</f>
        <v>Ֆրանսիական հեղափոխությունը սկսվել է 1789 թվականին։</v>
      </c>
    </row>
    <row r="7652">
      <c r="A7652" s="5" t="s">
        <v>9120</v>
      </c>
      <c r="B7652" s="5" t="s">
        <v>9121</v>
      </c>
      <c r="C7652" s="5" t="str">
        <f>IFERROR(__xludf.DUMMYFUNCTION("GOOGLETRANSLATE(A7652,""en"",""hy"")"),"Քանի՞ շերտ կա ամերիկյան դրոշի վրա:")</f>
        <v>Քանի՞ շերտ կա ամերիկյան դրոշի վրա:</v>
      </c>
      <c r="D7652" s="6" t="str">
        <f>IFERROR(__xludf.DUMMYFUNCTION("GOOGLETRANSLATE(B7652,""en"",""hy"")"),"Ամերիկյան դրոշի վրա կա 13 գծեր։")</f>
        <v>Ամերիկյան դրոշի վրա կա 13 գծեր։</v>
      </c>
    </row>
    <row r="7653">
      <c r="A7653" s="5" t="s">
        <v>7963</v>
      </c>
      <c r="B7653" s="5" t="s">
        <v>7474</v>
      </c>
      <c r="C7653" s="5" t="str">
        <f>IFERROR(__xludf.DUMMYFUNCTION("GOOGLETRANSLATE(A7653,""en"",""hy"")"),"Ո՞վ է նկարել «Սիքստինյան կապելլան»:")</f>
        <v>Ո՞վ է նկարել «Սիքստինյան կապելլան»:</v>
      </c>
      <c r="D7653" s="6" t="str">
        <f>IFERROR(__xludf.DUMMYFUNCTION("GOOGLETRANSLATE(B7653,""en"",""hy"")"),"Միքելանջելո.")</f>
        <v>Միքելանջելո.</v>
      </c>
    </row>
    <row r="7654">
      <c r="A7654" s="5" t="s">
        <v>7686</v>
      </c>
      <c r="B7654" s="5" t="s">
        <v>7814</v>
      </c>
      <c r="C7654" s="5" t="str">
        <f>IFERROR(__xludf.DUMMYFUNCTION("GOOGLETRANSLATE(A7654,""en"",""hy"")"),"Ո՞րն է Գերմանիայի մայրաքաղաքը:")</f>
        <v>Ո՞րն է Գերմանիայի մայրաքաղաքը:</v>
      </c>
      <c r="D7654" s="6" t="str">
        <f>IFERROR(__xludf.DUMMYFUNCTION("GOOGLETRANSLATE(B7654,""en"",""hy"")"),"Գերմանիայի մայրաքաղաքը Բեռլինն է։")</f>
        <v>Գերմանիայի մայրաքաղաքը Բեռլինն է։</v>
      </c>
    </row>
    <row r="7655">
      <c r="A7655" s="5" t="s">
        <v>8084</v>
      </c>
      <c r="B7655" s="5" t="s">
        <v>9564</v>
      </c>
      <c r="C7655" s="5" t="str">
        <f>IFERROR(__xludf.DUMMYFUNCTION("GOOGLETRANSLATE(A7655,""en"",""hy"")"),"Ո՞րն է Աֆրիկայի ամենամեծ անապատը:")</f>
        <v>Ո՞րն է Աֆրիկայի ամենամեծ անապատը:</v>
      </c>
      <c r="D7655" s="6" t="str">
        <f>IFERROR(__xludf.DUMMYFUNCTION("GOOGLETRANSLATE(B7655,""en"",""hy"")"),"Աֆրիկայի ամենամեծ անապատը Սահարա անապատն է։")</f>
        <v>Աֆրիկայի ամենամեծ անապատը Սահարա անապատն է։</v>
      </c>
    </row>
    <row r="7656">
      <c r="A7656" s="5" t="s">
        <v>7737</v>
      </c>
      <c r="B7656" s="5" t="s">
        <v>7560</v>
      </c>
      <c r="C7656" s="5" t="str">
        <f>IFERROR(__xludf.DUMMYFUNCTION("GOOGLETRANSLATE(A7656,""en"",""hy"")"),"Ո՞վ է գրել «Շորայի մեջ բռնողը» վեպը:")</f>
        <v>Ո՞վ է գրել «Շորայի մեջ բռնողը» վեպը:</v>
      </c>
      <c r="D7656" s="6" t="str">
        <f>IFERROR(__xludf.DUMMYFUNCTION("GOOGLETRANSLATE(B7656,""en"",""hy"")"),"Ջ.Դ.Սելինջեր.")</f>
        <v>Ջ.Դ.Սելինջեր.</v>
      </c>
    </row>
    <row r="7657">
      <c r="A7657" s="5" t="s">
        <v>7557</v>
      </c>
      <c r="B7657" s="5" t="s">
        <v>7857</v>
      </c>
      <c r="C7657" s="5" t="str">
        <f>IFERROR(__xludf.DUMMYFUNCTION("GOOGLETRANSLATE(A7657,""en"",""hy"")"),"Ո՞րն է երկաթի քիմիական նշանը:")</f>
        <v>Ո՞րն է երկաթի քիմիական նշանը:</v>
      </c>
      <c r="D7657" s="6" t="str">
        <f>IFERROR(__xludf.DUMMYFUNCTION("GOOGLETRANSLATE(B7657,""en"",""hy"")"),"Երկաթի քիմիական նշանը Fe է:")</f>
        <v>Երկաթի քիմիական նշանը Fe է:</v>
      </c>
    </row>
    <row r="7658">
      <c r="A7658" s="5" t="s">
        <v>8280</v>
      </c>
      <c r="B7658" s="5" t="s">
        <v>8281</v>
      </c>
      <c r="C7658" s="5" t="str">
        <f>IFERROR(__xludf.DUMMYFUNCTION("GOOGLETRANSLATE(A7658,""en"",""hy"")"),"Ո՞րն է Ֆրանսիայի պաշտոնական լեզուն:")</f>
        <v>Ո՞րն է Ֆրանսիայի պաշտոնական լեզուն:</v>
      </c>
      <c r="D7658" s="6" t="str">
        <f>IFERROR(__xludf.DUMMYFUNCTION("GOOGLETRANSLATE(B7658,""en"",""hy"")"),"Ֆրանսիայի պաշտոնական լեզուն ֆրանսերենն է։")</f>
        <v>Ֆրանսիայի պաշտոնական լեզուն ֆրանսերենն է։</v>
      </c>
    </row>
    <row r="7659">
      <c r="A7659" s="5" t="s">
        <v>9565</v>
      </c>
      <c r="B7659" s="5" t="s">
        <v>9379</v>
      </c>
      <c r="C7659" s="5" t="str">
        <f>IFERROR(__xludf.DUMMYFUNCTION("GOOGLETRANSLATE(A7659,""en"",""hy"")"),"Ո՞րն է Ասիայի ամենաբարձր լեռը:")</f>
        <v>Ո՞րն է Ասիայի ամենաբարձր լեռը:</v>
      </c>
      <c r="D7659" s="6" t="str">
        <f>IFERROR(__xludf.DUMMYFUNCTION("GOOGLETRANSLATE(B7659,""en"",""hy"")"),"Էվերեստ լեռ")</f>
        <v>Էվերեստ լեռ</v>
      </c>
    </row>
    <row r="7660">
      <c r="A7660" s="5" t="s">
        <v>9566</v>
      </c>
      <c r="B7660" s="5" t="s">
        <v>9567</v>
      </c>
      <c r="C7660" s="5" t="str">
        <f>IFERROR(__xludf.DUMMYFUNCTION("GOOGLETRANSLATE(A7660,""en"",""hy"")"),"Ո՞վ է առաջինը բարձրացել Էվերեստը:")</f>
        <v>Ո՞վ է առաջինը բարձրացել Էվերեստը:</v>
      </c>
      <c r="D7660" s="6" t="str">
        <f>IFERROR(__xludf.DUMMYFUNCTION("GOOGLETRANSLATE(B7660,""en"",""hy"")"),"Սըր Էդմունդ Հիլարի.")</f>
        <v>Սըր Էդմունդ Հիլարի.</v>
      </c>
    </row>
    <row r="7661">
      <c r="A7661" s="5" t="s">
        <v>9568</v>
      </c>
      <c r="B7661" s="5" t="s">
        <v>9569</v>
      </c>
      <c r="C7661" s="5" t="str">
        <f>IFERROR(__xludf.DUMMYFUNCTION("GOOGLETRANSLATE(A7661,""en"",""hy"")"),"Ո՞րն է Հնդկաստանի պաշտոնական արժույթը:")</f>
        <v>Ո՞րն է Հնդկաստանի պաշտոնական արժույթը:</v>
      </c>
      <c r="D7661" s="6" t="str">
        <f>IFERROR(__xludf.DUMMYFUNCTION("GOOGLETRANSLATE(B7661,""en"",""hy"")"),"Հնդկաստանի պաշտոնական արժույթը հնդկական ռուփին է։")</f>
        <v>Հնդկաստանի պաշտոնական արժույթը հնդկական ռուփին է։</v>
      </c>
    </row>
    <row r="7662">
      <c r="A7662" s="5" t="s">
        <v>8658</v>
      </c>
      <c r="B7662" s="5" t="s">
        <v>8315</v>
      </c>
      <c r="C7662" s="5" t="str">
        <f>IFERROR(__xludf.DUMMYFUNCTION("GOOGLETRANSLATE(A7662,""en"",""hy"")"),"Ո՞ր տարում ավարտվեց Սառը պատերազմը:")</f>
        <v>Ո՞ր տարում ավարտվեց Սառը պատերազմը:</v>
      </c>
      <c r="D7662" s="6" t="str">
        <f>IFERROR(__xludf.DUMMYFUNCTION("GOOGLETRANSLATE(B7662,""en"",""hy"")"),"Սառը պատերազմն ավարտվեց 1991թ.")</f>
        <v>Սառը պատերազմն ավարտվեց 1991թ.</v>
      </c>
    </row>
    <row r="7663">
      <c r="A7663" s="5" t="s">
        <v>8491</v>
      </c>
      <c r="B7663" s="5" t="s">
        <v>8492</v>
      </c>
      <c r="C7663" s="5" t="str">
        <f>IFERROR(__xludf.DUMMYFUNCTION("GOOGLETRANSLATE(A7663,""en"",""hy"")"),"Քանի՞ ոսկոր կա մարդու ձեռքում:")</f>
        <v>Քանի՞ ոսկոր կա մարդու ձեռքում:</v>
      </c>
      <c r="D7663" s="6" t="str">
        <f>IFERROR(__xludf.DUMMYFUNCTION("GOOGLETRANSLATE(B7663,""en"",""hy"")"),"Մարդու ձեռքում կա 27 ոսկոր։")</f>
        <v>Մարդու ձեռքում կա 27 ոսկոր։</v>
      </c>
    </row>
    <row r="7664">
      <c r="A7664" s="5" t="s">
        <v>7838</v>
      </c>
      <c r="B7664" s="5" t="s">
        <v>7648</v>
      </c>
      <c r="C7664" s="5" t="str">
        <f>IFERROR(__xludf.DUMMYFUNCTION("GOOGLETRANSLATE(A7664,""en"",""hy"")"),"Ո՞վ է նկարել «Աստղային գիշերը»:")</f>
        <v>Ո՞վ է նկարել «Աստղային գիշերը»:</v>
      </c>
      <c r="D7664" s="6" t="str">
        <f>IFERROR(__xludf.DUMMYFUNCTION("GOOGLETRANSLATE(B7664,""en"",""hy"")"),"Վինսենթ վան Գոգ.")</f>
        <v>Վինսենթ վան Գոգ.</v>
      </c>
    </row>
    <row r="7665">
      <c r="A7665" s="5" t="s">
        <v>7659</v>
      </c>
      <c r="B7665" s="5" t="s">
        <v>7516</v>
      </c>
      <c r="C7665" s="5" t="str">
        <f>IFERROR(__xludf.DUMMYFUNCTION("GOOGLETRANSLATE(A7665,""en"",""hy"")"),"Ո՞րն է Բրազիլիայի մայրաքաղաքը:")</f>
        <v>Ո՞րն է Բրազիլիայի մայրաքաղաքը:</v>
      </c>
      <c r="D7665" s="6" t="str">
        <f>IFERROR(__xludf.DUMMYFUNCTION("GOOGLETRANSLATE(B7665,""en"",""hy"")"),"Բրազիլիա.")</f>
        <v>Բրազիլիա.</v>
      </c>
    </row>
    <row r="7666">
      <c r="A7666" s="5" t="s">
        <v>9570</v>
      </c>
      <c r="B7666" s="5" t="s">
        <v>9571</v>
      </c>
      <c r="C7666" s="5" t="str">
        <f>IFERROR(__xludf.DUMMYFUNCTION("GOOGLETRANSLATE(A7666,""en"",""hy"")"),"Ո՞րն է Միացյալ Նահանգների ամենամեծ լիճը:")</f>
        <v>Ո՞րն է Միացյալ Նահանգների ամենամեծ լիճը:</v>
      </c>
      <c r="D7666" s="6" t="str">
        <f>IFERROR(__xludf.DUMMYFUNCTION("GOOGLETRANSLATE(B7666,""en"",""hy"")"),"ԱՄՆ-ի ամենամեծ լիճը Սուպերիոր լիճն է:")</f>
        <v>ԱՄՆ-ի ամենամեծ լիճը Սուպերիոր լիճն է:</v>
      </c>
    </row>
    <row r="7667">
      <c r="A7667" s="5" t="s">
        <v>7726</v>
      </c>
      <c r="B7667" s="5" t="s">
        <v>1016</v>
      </c>
      <c r="C7667" s="5" t="str">
        <f>IFERROR(__xludf.DUMMYFUNCTION("GOOGLETRANSLATE(A7667,""en"",""hy"")"),"Ո՞վ է գրել «Մակբեթ» պիեսը։")</f>
        <v>Ո՞վ է գրել «Մակբեթ» պիեսը։</v>
      </c>
      <c r="D7667" s="6" t="str">
        <f>IFERROR(__xludf.DUMMYFUNCTION("GOOGLETRANSLATE(B7667,""en"",""hy"")"),"Ուիլյամ Շեքսպիր.")</f>
        <v>Ուիլյամ Շեքսպիր.</v>
      </c>
    </row>
    <row r="7668">
      <c r="A7668" s="5" t="s">
        <v>8127</v>
      </c>
      <c r="B7668" s="5" t="s">
        <v>6556</v>
      </c>
      <c r="C7668" s="5" t="str">
        <f>IFERROR(__xludf.DUMMYFUNCTION("GOOGLETRANSLATE(A7668,""en"",""hy"")"),"Ո՞րն է Ռուսաստանի պաշտոնական լեզուն:")</f>
        <v>Ո՞րն է Ռուսաստանի պաշտոնական լեզուն:</v>
      </c>
      <c r="D7668" s="6" t="str">
        <f>IFERROR(__xludf.DUMMYFUNCTION("GOOGLETRANSLATE(B7668,""en"",""hy"")"),"Ռուսաստանի պաշտոնական լեզուն ռուսերենն է։")</f>
        <v>Ռուսաստանի պաշտոնական լեզուն ռուսերենն է։</v>
      </c>
    </row>
    <row r="7669">
      <c r="A7669" s="5" t="s">
        <v>9572</v>
      </c>
      <c r="B7669" s="5" t="s">
        <v>9573</v>
      </c>
      <c r="C7669" s="5" t="str">
        <f>IFERROR(__xludf.DUMMYFUNCTION("GOOGLETRANSLATE(A7669,""en"",""hy"")"),"Ո՞րն է Ավստրալիայի ամենաբարձր լեռը:")</f>
        <v>Ո՞րն է Ավստրալիայի ամենաբարձր լեռը:</v>
      </c>
      <c r="D7669" s="6" t="str">
        <f>IFERROR(__xludf.DUMMYFUNCTION("GOOGLETRANSLATE(B7669,""en"",""hy"")"),"Kosciuszko լեռը.")</f>
        <v>Kosciuszko լեռը.</v>
      </c>
    </row>
    <row r="7670">
      <c r="A7670" s="5" t="s">
        <v>8007</v>
      </c>
      <c r="B7670" s="5" t="s">
        <v>8150</v>
      </c>
      <c r="C7670" s="5" t="str">
        <f>IFERROR(__xludf.DUMMYFUNCTION("GOOGLETRANSLATE(A7670,""en"",""hy"")"),"Ո՞վ էր առաջին մարդը, ով հասավ Հարավային բևեռ:")</f>
        <v>Ո՞վ էր առաջին մարդը, ով հասավ Հարավային բևեռ:</v>
      </c>
      <c r="D7670" s="6" t="str">
        <f>IFERROR(__xludf.DUMMYFUNCTION("GOOGLETRANSLATE(B7670,""en"",""hy"")"),"Ռոալդ Ամունդսեն.")</f>
        <v>Ռոալդ Ամունդսեն.</v>
      </c>
    </row>
    <row r="7671">
      <c r="A7671" s="5" t="s">
        <v>9574</v>
      </c>
      <c r="B7671" s="5" t="s">
        <v>9575</v>
      </c>
      <c r="C7671" s="5" t="str">
        <f>IFERROR(__xludf.DUMMYFUNCTION("GOOGLETRANSLATE(A7671,""en"",""hy"")"),"Ո՞րն է Գերմանիայի պաշտոնական արժույթը:")</f>
        <v>Ո՞րն է Գերմանիայի պաշտոնական արժույթը:</v>
      </c>
      <c r="D7671" s="6" t="str">
        <f>IFERROR(__xludf.DUMMYFUNCTION("GOOGLETRANSLATE(B7671,""en"",""hy"")"),"Գերմանիայի պաշտոնական արժույթը եվրոն է։")</f>
        <v>Գերմանիայի պաշտոնական արժույթը եվրոն է։</v>
      </c>
    </row>
    <row r="7672">
      <c r="A7672" s="5" t="s">
        <v>9576</v>
      </c>
      <c r="B7672" s="5" t="s">
        <v>9577</v>
      </c>
      <c r="C7672" s="5" t="str">
        <f>IFERROR(__xludf.DUMMYFUNCTION("GOOGLETRANSLATE(A7672,""en"",""hy"")"),"Ո՞ր տարում սկսվեց ամերիկյան հեղափոխությունը:")</f>
        <v>Ո՞ր տարում սկսվեց ամերիկյան հեղափոխությունը:</v>
      </c>
      <c r="D7672" s="6" t="str">
        <f>IFERROR(__xludf.DUMMYFUNCTION("GOOGLETRANSLATE(B7672,""en"",""hy"")"),"Ամերիկյան հեղափոխությունը սկսվել է 1775 թ.")</f>
        <v>Ամերիկյան հեղափոխությունը սկսվել է 1775 թ.</v>
      </c>
    </row>
    <row r="7673">
      <c r="A7673" s="5" t="s">
        <v>7939</v>
      </c>
      <c r="B7673" s="5" t="s">
        <v>7940</v>
      </c>
      <c r="C7673" s="5" t="str">
        <f>IFERROR(__xludf.DUMMYFUNCTION("GOOGLETRANSLATE(A7673,""en"",""hy"")"),"Քանի՞ մայրցամաք կա աշխարհում:")</f>
        <v>Քանի՞ մայրցամաք կա աշխարհում:</v>
      </c>
      <c r="D7673" s="6" t="str">
        <f>IFERROR(__xludf.DUMMYFUNCTION("GOOGLETRANSLATE(B7673,""en"",""hy"")"),"Աշխարհում կան յոթ մայրցամաքներ։")</f>
        <v>Աշխարհում կան յոթ մայրցամաքներ։</v>
      </c>
    </row>
    <row r="7674">
      <c r="A7674" s="5" t="s">
        <v>9578</v>
      </c>
      <c r="B7674" s="5" t="s">
        <v>7585</v>
      </c>
      <c r="C7674" s="5" t="str">
        <f>IFERROR(__xludf.DUMMYFUNCTION("GOOGLETRANSLATE(A7674,""en"",""hy"")"),"Ո՞վ է նկարել «Ճիչը»:")</f>
        <v>Ո՞վ է նկարել «Ճիչը»:</v>
      </c>
      <c r="D7674" s="6" t="str">
        <f>IFERROR(__xludf.DUMMYFUNCTION("GOOGLETRANSLATE(B7674,""en"",""hy"")"),"Էդվարդ Մունկ.")</f>
        <v>Էդվարդ Մունկ.</v>
      </c>
    </row>
    <row r="7675">
      <c r="A7675" s="5" t="s">
        <v>7653</v>
      </c>
      <c r="B7675" s="5" t="s">
        <v>1307</v>
      </c>
      <c r="C7675" s="5" t="str">
        <f>IFERROR(__xludf.DUMMYFUNCTION("GOOGLETRANSLATE(A7675,""en"",""hy"")"),"Ո՞րն է Իսպանիայի մայրաքաղաքը:")</f>
        <v>Ո՞րն է Իսպանիայի մայրաքաղաքը:</v>
      </c>
      <c r="D7675" s="6" t="str">
        <f>IFERROR(__xludf.DUMMYFUNCTION("GOOGLETRANSLATE(B7675,""en"",""hy"")"),"Մադրիդ.")</f>
        <v>Մադրիդ.</v>
      </c>
    </row>
    <row r="7676">
      <c r="A7676" s="5" t="s">
        <v>8361</v>
      </c>
      <c r="B7676" s="5" t="s">
        <v>8362</v>
      </c>
      <c r="C7676" s="5" t="str">
        <f>IFERROR(__xludf.DUMMYFUNCTION("GOOGLETRANSLATE(A7676,""en"",""hy"")"),"Ո՞րն է Հյուսիսային Ամերիկայի ամենամեծ ջրվեժը:")</f>
        <v>Ո՞րն է Հյուսիսային Ամերիկայի ամենամեծ ջրվեժը:</v>
      </c>
      <c r="D7676" s="6" t="str">
        <f>IFERROR(__xludf.DUMMYFUNCTION("GOOGLETRANSLATE(B7676,""en"",""hy"")"),"Հյուսիսային Ամերիկայի ամենամեծ ջրվեժը Նիագարայի ջրվեժն է:")</f>
        <v>Հյուսիսային Ամերիկայի ամենամեծ ջրվեժը Նիագարայի ջրվեժն է:</v>
      </c>
    </row>
    <row r="7677">
      <c r="A7677" s="5" t="s">
        <v>8010</v>
      </c>
      <c r="B7677" s="5" t="s">
        <v>7578</v>
      </c>
      <c r="C7677" s="5" t="str">
        <f>IFERROR(__xludf.DUMMYFUNCTION("GOOGLETRANSLATE(A7677,""en"",""hy"")"),"Ո՞վ է գրել «Մոբի-Դիկ» վեպը:")</f>
        <v>Ո՞վ է գրել «Մոբի-Դիկ» վեպը:</v>
      </c>
      <c r="D7677" s="6" t="str">
        <f>IFERROR(__xludf.DUMMYFUNCTION("GOOGLETRANSLATE(B7677,""en"",""hy"")"),"Հերման Մելվիլ.")</f>
        <v>Հերման Մելվիլ.</v>
      </c>
    </row>
    <row r="7678">
      <c r="A7678" s="5" t="s">
        <v>7761</v>
      </c>
      <c r="B7678" s="5" t="s">
        <v>7762</v>
      </c>
      <c r="C7678" s="5" t="str">
        <f>IFERROR(__xludf.DUMMYFUNCTION("GOOGLETRANSLATE(A7678,""en"",""hy"")"),"Ո՞րն է ջրածնի քիմիական նշանը:")</f>
        <v>Ո՞րն է ջրածնի քիմիական նշանը:</v>
      </c>
      <c r="D7678" s="6" t="str">
        <f>IFERROR(__xludf.DUMMYFUNCTION("GOOGLETRANSLATE(B7678,""en"",""hy"")"),"Հ")</f>
        <v>Հ</v>
      </c>
    </row>
    <row r="7679">
      <c r="A7679" s="5" t="s">
        <v>9579</v>
      </c>
      <c r="B7679" s="5" t="s">
        <v>395</v>
      </c>
      <c r="C7679" s="5" t="str">
        <f>IFERROR(__xludf.DUMMYFUNCTION("GOOGLETRANSLATE(A7679,""en"",""hy"")"),"Ո՞րն է Միացյալ Նահանգների պաշտոնական լեզուն:")</f>
        <v>Ո՞րն է Միացյալ Նահանգների պաշտոնական լեզուն:</v>
      </c>
      <c r="D7679" s="6" t="str">
        <f>IFERROR(__xludf.DUMMYFUNCTION("GOOGLETRANSLATE(B7679,""en"",""hy"")"),"Անգլերեն.")</f>
        <v>Անգլերեն.</v>
      </c>
    </row>
    <row r="7680">
      <c r="A7680" s="5" t="s">
        <v>9580</v>
      </c>
      <c r="B7680" s="5" t="s">
        <v>8754</v>
      </c>
      <c r="C7680" s="5" t="str">
        <f>IFERROR(__xludf.DUMMYFUNCTION("GOOGLETRANSLATE(A7680,""en"",""hy"")"),"Ո՞րն է Միացյալ Նահանգների ամենաբարձր լեռը:")</f>
        <v>Ո՞րն է Միացյալ Նահանգների ամենաբարձր լեռը:</v>
      </c>
      <c r="D7680" s="6" t="str">
        <f>IFERROR(__xludf.DUMMYFUNCTION("GOOGLETRANSLATE(B7680,""en"",""hy"")"),"Դենալի լեռ.")</f>
        <v>Դենալի լեռ.</v>
      </c>
    </row>
    <row r="7681">
      <c r="A7681" s="5" t="s">
        <v>7769</v>
      </c>
      <c r="B7681" s="5" t="s">
        <v>7486</v>
      </c>
      <c r="C7681" s="5" t="str">
        <f>IFERROR(__xludf.DUMMYFUNCTION("GOOGLETRANSLATE(A7681,""en"",""hy"")"),"Ո՞վ է Հարրի Փոթերի գրքերի շարքի հեղինակը:")</f>
        <v>Ո՞վ է Հարրի Փոթերի գրքերի շարքի հեղինակը:</v>
      </c>
      <c r="D7681" s="6" t="str">
        <f>IFERROR(__xludf.DUMMYFUNCTION("GOOGLETRANSLATE(B7681,""en"",""hy"")"),"Ջ.Կ. Ռոուլինգ.")</f>
        <v>Ջ.Կ. Ռոուլինգ.</v>
      </c>
    </row>
    <row r="7682">
      <c r="A7682" s="5" t="s">
        <v>9581</v>
      </c>
      <c r="B7682" s="5" t="s">
        <v>745</v>
      </c>
      <c r="C7682" s="5" t="str">
        <f>IFERROR(__xludf.DUMMYFUNCTION("GOOGLETRANSLATE(A7682,""en"",""hy"")"),"Ո՞րն է Միացյալ Նահանգների մայրաքաղաքը:")</f>
        <v>Ո՞րն է Միացյալ Նահանգների մայրաքաղաքը:</v>
      </c>
      <c r="D7682" s="6" t="str">
        <f>IFERROR(__xludf.DUMMYFUNCTION("GOOGLETRANSLATE(B7682,""en"",""hy"")"),"Վաշինգտոն, D.C.")</f>
        <v>Վաշինգտոն, D.C.</v>
      </c>
    </row>
    <row r="7683">
      <c r="A7683" s="5" t="s">
        <v>7920</v>
      </c>
      <c r="B7683" s="5" t="s">
        <v>7921</v>
      </c>
      <c r="C7683" s="5" t="str">
        <f>IFERROR(__xludf.DUMMYFUNCTION("GOOGLETRANSLATE(A7683,""en"",""hy"")"),"Ո՞ր երկրում է գտնվում Թաջ Մահալը:")</f>
        <v>Ո՞ր երկրում է գտնվում Թաջ Մահալը:</v>
      </c>
      <c r="D7683" s="6" t="str">
        <f>IFERROR(__xludf.DUMMYFUNCTION("GOOGLETRANSLATE(B7683,""en"",""hy"")"),"Հնդկաստան.")</f>
        <v>Հնդկաստան.</v>
      </c>
    </row>
    <row r="7684">
      <c r="A7684" s="5" t="s">
        <v>7452</v>
      </c>
      <c r="B7684" s="5" t="s">
        <v>7453</v>
      </c>
      <c r="C7684" s="5" t="str">
        <f>IFERROR(__xludf.DUMMYFUNCTION("GOOGLETRANSLATE(A7684,""en"",""hy"")"),"Ո՞րն է ոսկու քիմիական նշանը:")</f>
        <v>Ո՞րն է ոսկու քիմիական նշանը:</v>
      </c>
      <c r="D7684" s="6" t="str">
        <f>IFERROR(__xludf.DUMMYFUNCTION("GOOGLETRANSLATE(B7684,""en"",""hy"")"),"Ոսկու քիմիական նշանը Au-ն է:")</f>
        <v>Ոսկու քիմիական նշանը Au-ն է:</v>
      </c>
    </row>
    <row r="7685">
      <c r="A7685" s="5" t="s">
        <v>7447</v>
      </c>
      <c r="B7685" s="5" t="s">
        <v>7448</v>
      </c>
      <c r="C7685" s="5" t="str">
        <f>IFERROR(__xludf.DUMMYFUNCTION("GOOGLETRANSLATE(A7685,""en"",""hy"")"),"Ո՞վ է նկարել Մոնա Լիզան:")</f>
        <v>Ո՞վ է նկարել Մոնա Լիզան:</v>
      </c>
      <c r="D7685" s="6" t="str">
        <f>IFERROR(__xludf.DUMMYFUNCTION("GOOGLETRANSLATE(B7685,""en"",""hy"")"),"Լեոնարդո դա Վինչի.")</f>
        <v>Լեոնարդո դա Վինչի.</v>
      </c>
    </row>
    <row r="7686">
      <c r="A7686" s="5" t="s">
        <v>7632</v>
      </c>
      <c r="B7686" s="5" t="s">
        <v>7912</v>
      </c>
      <c r="C7686" s="5" t="str">
        <f>IFERROR(__xludf.DUMMYFUNCTION("GOOGLETRANSLATE(A7686,""en"",""hy"")"),"Ո՞րն է մեր արեգակնային համակարգի ամենամեծ մոլորակը:")</f>
        <v>Ո՞րն է մեր արեգակնային համակարգի ամենամեծ մոլորակը:</v>
      </c>
      <c r="D7686" s="6" t="str">
        <f>IFERROR(__xludf.DUMMYFUNCTION("GOOGLETRANSLATE(B7686,""en"",""hy"")"),"Յուպիտեր")</f>
        <v>Յուպիտեր</v>
      </c>
    </row>
    <row r="7687">
      <c r="A7687" s="5" t="s">
        <v>7454</v>
      </c>
      <c r="B7687" s="5" t="s">
        <v>8107</v>
      </c>
      <c r="C7687" s="5" t="str">
        <f>IFERROR(__xludf.DUMMYFUNCTION("GOOGLETRANSLATE(A7687,""en"",""hy"")"),"Ո՞վ է գրել Ռոմեո և Ջուլիետ պիեսը:")</f>
        <v>Ո՞վ է գրել Ռոմեո և Ջուլիետ պիեսը:</v>
      </c>
      <c r="D7687" s="6" t="str">
        <f>IFERROR(__xludf.DUMMYFUNCTION("GOOGLETRANSLATE(B7687,""en"",""hy"")"),"Ուիլյամ Շեքսպիր")</f>
        <v>Ուիլյամ Շեքսպիր</v>
      </c>
    </row>
    <row r="7688">
      <c r="A7688" s="5" t="s">
        <v>7483</v>
      </c>
      <c r="B7688" s="5" t="s">
        <v>7484</v>
      </c>
      <c r="C7688" s="5" t="str">
        <f>IFERROR(__xludf.DUMMYFUNCTION("GOOGLETRANSLATE(A7688,""en"",""hy"")"),"Ո՞րն է ջրի քիմիական բանաձևը:")</f>
        <v>Ո՞րն է ջրի քիմիական բանաձևը:</v>
      </c>
      <c r="D7688" s="6" t="str">
        <f>IFERROR(__xludf.DUMMYFUNCTION("GOOGLETRANSLATE(B7688,""en"",""hy"")"),"H2O.")</f>
        <v>H2O.</v>
      </c>
    </row>
    <row r="7689">
      <c r="A7689" s="5" t="s">
        <v>7926</v>
      </c>
      <c r="B7689" s="5" t="s">
        <v>7635</v>
      </c>
      <c r="C7689" s="5" t="str">
        <f>IFERROR(__xludf.DUMMYFUNCTION("GOOGLETRANSLATE(A7689,""en"",""hy"")"),"Ո՞վ էր առաջին մարդը, ով քայլեց լուսնի վրա:")</f>
        <v>Ո՞վ էր առաջին մարդը, ով քայլեց լուսնի վրա:</v>
      </c>
      <c r="D7689" s="6" t="str">
        <f>IFERROR(__xludf.DUMMYFUNCTION("GOOGLETRANSLATE(B7689,""en"",""hy"")"),"Նիլ Արմսթրոնգ.")</f>
        <v>Նիլ Արմսթրոնգ.</v>
      </c>
    </row>
    <row r="7690">
      <c r="A7690" s="5" t="s">
        <v>7922</v>
      </c>
      <c r="B7690" s="5" t="s">
        <v>7923</v>
      </c>
      <c r="C7690" s="5" t="str">
        <f>IFERROR(__xludf.DUMMYFUNCTION("GOOGLETRANSLATE(A7690,""en"",""hy"")"),"Ո՞րն է Բրազիլիայում խոսվող հիմնական լեզուն:")</f>
        <v>Ո՞րն է Բրազիլիայում խոսվող հիմնական լեզուն:</v>
      </c>
      <c r="D7690" s="6" t="str">
        <f>IFERROR(__xludf.DUMMYFUNCTION("GOOGLETRANSLATE(B7690,""en"",""hy"")"),"Բրազիլիայում խոսվող հիմնական լեզուն պորտուգալերենն է։")</f>
        <v>Բրազիլիայում խոսվող հիմնական լեզուն պորտուգալերենն է։</v>
      </c>
    </row>
    <row r="7691">
      <c r="A7691" s="5" t="s">
        <v>7645</v>
      </c>
      <c r="B7691" s="5" t="s">
        <v>7646</v>
      </c>
      <c r="C7691" s="5" t="str">
        <f>IFERROR(__xludf.DUMMYFUNCTION("GOOGLETRANSLATE(A7691,""en"",""hy"")"),"Ո՞րն է Երկրի ամենամեծ օվկիանոսը:")</f>
        <v>Ո՞րն է Երկրի ամենամեծ օվկիանոսը:</v>
      </c>
      <c r="D7691" s="6" t="str">
        <f>IFERROR(__xludf.DUMMYFUNCTION("GOOGLETRANSLATE(B7691,""en"",""hy"")"),"Խաղաղ օվկիանոս.")</f>
        <v>Խաղաղ օվկիանոս.</v>
      </c>
    </row>
    <row r="7692">
      <c r="A7692" s="5" t="s">
        <v>7491</v>
      </c>
      <c r="B7692" s="5" t="s">
        <v>7492</v>
      </c>
      <c r="C7692" s="5" t="str">
        <f>IFERROR(__xludf.DUMMYFUNCTION("GOOGLETRANSLATE(A7692,""en"",""hy"")"),"Ո՞վ է նկարել Աստղային գիշերը:")</f>
        <v>Ո՞վ է նկարել Աստղային գիշերը:</v>
      </c>
      <c r="D7692" s="6" t="str">
        <f>IFERROR(__xludf.DUMMYFUNCTION("GOOGLETRANSLATE(B7692,""en"",""hy"")"),"Վինսենթ վան Գոգ")</f>
        <v>Վինսենթ վան Գոգ</v>
      </c>
    </row>
    <row r="7693">
      <c r="A7693" s="5" t="s">
        <v>9582</v>
      </c>
      <c r="B7693" s="5" t="s">
        <v>9583</v>
      </c>
      <c r="C7693" s="5" t="str">
        <f>IFERROR(__xludf.DUMMYFUNCTION("GOOGLETRANSLATE(A7693,""en"",""hy"")"),"Ո՞րն է հիմնական գազը, որը կազմում է Երկրի մթնոլորտը:")</f>
        <v>Ո՞րն է հիմնական գազը, որը կազմում է Երկրի մթնոլորտը:</v>
      </c>
      <c r="D7693" s="6" t="str">
        <f>IFERROR(__xludf.DUMMYFUNCTION("GOOGLETRANSLATE(B7693,""en"",""hy"")"),"Երկրի մթնոլորտը կազմող հիմնական գազը ազոտն է։")</f>
        <v>Երկրի մթնոլորտը կազմող հիմնական գազը ազոտն է։</v>
      </c>
    </row>
    <row r="7694">
      <c r="A7694" s="5" t="s">
        <v>7566</v>
      </c>
      <c r="B7694" s="5" t="s">
        <v>7567</v>
      </c>
      <c r="C7694" s="5" t="str">
        <f>IFERROR(__xludf.DUMMYFUNCTION("GOOGLETRANSLATE(A7694,""en"",""hy"")"),"Ո՞վ է Կանադայի ներկայիս վարչապետը:")</f>
        <v>Ո՞վ է Կանադայի ներկայիս վարչապետը:</v>
      </c>
      <c r="D7694" s="6" t="str">
        <f>IFERROR(__xludf.DUMMYFUNCTION("GOOGLETRANSLATE(B7694,""en"",""hy"")"),"Ջասթին Թրյուդո")</f>
        <v>Ջասթին Թրյուդո</v>
      </c>
    </row>
    <row r="7695">
      <c r="A7695" s="5" t="s">
        <v>7450</v>
      </c>
      <c r="B7695" s="5" t="s">
        <v>7451</v>
      </c>
      <c r="C7695" s="5" t="str">
        <f>IFERROR(__xludf.DUMMYFUNCTION("GOOGLETRANSLATE(A7695,""en"",""hy"")"),"Ո՞րն է Ավստրալիայի մայրաքաղաքը:")</f>
        <v>Ո՞րն է Ավստրալիայի մայրաքաղաքը:</v>
      </c>
      <c r="D7695" s="6" t="str">
        <f>IFERROR(__xludf.DUMMYFUNCTION("GOOGLETRANSLATE(B7695,""en"",""hy"")"),"Կանբերա.")</f>
        <v>Կանբերա.</v>
      </c>
    </row>
    <row r="7696">
      <c r="A7696" s="5" t="s">
        <v>7915</v>
      </c>
      <c r="B7696" s="5" t="s">
        <v>7916</v>
      </c>
      <c r="C7696" s="5" t="str">
        <f>IFERROR(__xludf.DUMMYFUNCTION("GOOGLETRANSLATE(A7696,""en"",""hy"")"),"Քանի՞ ոսկոր կա մարդու մարմնում:")</f>
        <v>Քանի՞ ոսկոր կա մարդու մարմնում:</v>
      </c>
      <c r="D7696" s="6" t="str">
        <f>IFERROR(__xludf.DUMMYFUNCTION("GOOGLETRANSLATE(B7696,""en"",""hy"")"),"Մարդու մարմնում կա 206 ոսկոր։")</f>
        <v>Մարդու մարմնում կա 206 ոսկոր։</v>
      </c>
    </row>
    <row r="7697">
      <c r="A7697" s="5" t="s">
        <v>8404</v>
      </c>
      <c r="B7697" s="5" t="s">
        <v>8405</v>
      </c>
      <c r="C7697" s="5" t="str">
        <f>IFERROR(__xludf.DUMMYFUNCTION("GOOGLETRANSLATE(A7697,""en"",""hy"")"),"Ո՞վ էր հունական ամպրոպի աստվածը:")</f>
        <v>Ո՞վ էր հունական ամպրոպի աստվածը:</v>
      </c>
      <c r="D7697" s="6" t="str">
        <f>IFERROR(__xludf.DUMMYFUNCTION("GOOGLETRANSLATE(B7697,""en"",""hy"")"),"Զևս.")</f>
        <v>Զևս.</v>
      </c>
    </row>
    <row r="7698">
      <c r="A7698" s="5" t="s">
        <v>7670</v>
      </c>
      <c r="B7698" s="5" t="s">
        <v>7767</v>
      </c>
      <c r="C7698" s="5" t="str">
        <f>IFERROR(__xludf.DUMMYFUNCTION("GOOGLETRANSLATE(A7698,""en"",""hy"")"),"Ո՞րն է աշխարհի ամենաերկար գետը:")</f>
        <v>Ո՞րն է աշխարհի ամենաերկար գետը:</v>
      </c>
      <c r="D7698" s="6" t="str">
        <f>IFERROR(__xludf.DUMMYFUNCTION("GOOGLETRANSLATE(B7698,""en"",""hy"")"),"Նեղոս.")</f>
        <v>Նեղոս.</v>
      </c>
    </row>
    <row r="7699">
      <c r="A7699" s="5" t="s">
        <v>9584</v>
      </c>
      <c r="B7699" s="5" t="s">
        <v>9585</v>
      </c>
      <c r="C7699" s="5" t="str">
        <f>IFERROR(__xludf.DUMMYFUNCTION("GOOGLETRANSLATE(A7699,""en"",""hy"")"),"Ո՞րն է շրջանագծի մակերեսը հաշվելու բանաձևը:")</f>
        <v>Ո՞րն է շրջանագծի մակերեսը հաշվելու բանաձևը:</v>
      </c>
      <c r="D7699" s="6" t="str">
        <f>IFERROR(__xludf.DUMMYFUNCTION("GOOGLETRANSLATE(B7699,""en"",""hy"")"),"Շրջանակի մակերեսը հաշվարկելու բանաձևը A = πr² է:")</f>
        <v>Շրջանակի մակերեսը հաշվարկելու բանաձևը A = πr² է:</v>
      </c>
    </row>
    <row r="7700">
      <c r="A7700" s="5" t="s">
        <v>9586</v>
      </c>
      <c r="B7700" s="5" t="s">
        <v>9587</v>
      </c>
      <c r="C7700" s="5" t="str">
        <f>IFERROR(__xludf.DUMMYFUNCTION("GOOGLETRANSLATE(A7700,""en"",""hy"")"),"Ո՞վ է Marvel Comics-ի սուպերհերոսների ստեղծողը:")</f>
        <v>Ո՞վ է Marvel Comics-ի սուպերհերոսների ստեղծողը:</v>
      </c>
      <c r="D7700" s="6" t="str">
        <f>IFERROR(__xludf.DUMMYFUNCTION("GOOGLETRANSLATE(B7700,""en"",""hy"")"),"Սթեն Լին Marvel Comics-ի սուպերհերոսների կերպարների ստեղծողն է։")</f>
        <v>Սթեն Լին Marvel Comics-ի սուպերհերոսների կերպարների ստեղծողն է։</v>
      </c>
    </row>
    <row r="7701">
      <c r="A7701" s="5" t="s">
        <v>7540</v>
      </c>
      <c r="B7701" s="5" t="s">
        <v>7541</v>
      </c>
      <c r="C7701" s="5" t="str">
        <f>IFERROR(__xludf.DUMMYFUNCTION("GOOGLETRANSLATE(A7701,""en"",""hy"")"),"Ո՞վ է գրել «Սպանել ծաղրող թռչունին» վեպը:")</f>
        <v>Ո՞վ է գրել «Սպանել ծաղրող թռչունին» վեպը:</v>
      </c>
      <c r="D7701" s="6" t="str">
        <f>IFERROR(__xludf.DUMMYFUNCTION("GOOGLETRANSLATE(B7701,""en"",""hy"")"),"Հարփեր Լի.")</f>
        <v>Հարփեր Լի.</v>
      </c>
    </row>
    <row r="7702">
      <c r="A7702" s="5" t="s">
        <v>9588</v>
      </c>
      <c r="B7702" s="5" t="s">
        <v>9589</v>
      </c>
      <c r="C7702" s="5" t="str">
        <f>IFERROR(__xludf.DUMMYFUNCTION("GOOGLETRANSLATE(A7702,""en"",""hy"")"),"Որտե՞ղ է գտնվում Մեծ արգելախութը:")</f>
        <v>Որտե՞ղ է գտնվում Մեծ արգելախութը:</v>
      </c>
      <c r="D7702" s="6" t="str">
        <f>IFERROR(__xludf.DUMMYFUNCTION("GOOGLETRANSLATE(B7702,""en"",""hy"")"),"Մեծ արգելախութը գտնվում է Ավստրալիայի Քվինսլենդի ափերի մոտ:")</f>
        <v>Մեծ արգելախութը գտնվում է Ավստրալիայի Քվինսլենդի ափերի մոտ:</v>
      </c>
    </row>
    <row r="7703">
      <c r="A7703" s="5" t="s">
        <v>7939</v>
      </c>
      <c r="B7703" s="5" t="s">
        <v>7940</v>
      </c>
      <c r="C7703" s="5" t="str">
        <f>IFERROR(__xludf.DUMMYFUNCTION("GOOGLETRANSLATE(A7703,""en"",""hy"")"),"Քանի՞ մայրցամաք կա աշխարհում:")</f>
        <v>Քանի՞ մայրցամաք կա աշխարհում:</v>
      </c>
      <c r="D7703" s="6" t="str">
        <f>IFERROR(__xludf.DUMMYFUNCTION("GOOGLETRANSLATE(B7703,""en"",""hy"")"),"Աշխարհում կան յոթ մայրցամաքներ։")</f>
        <v>Աշխարհում կան յոթ մայրցամաքներ։</v>
      </c>
    </row>
    <row r="7704">
      <c r="A7704" s="5" t="s">
        <v>7601</v>
      </c>
      <c r="B7704" s="5" t="s">
        <v>3966</v>
      </c>
      <c r="C7704" s="5" t="str">
        <f>IFERROR(__xludf.DUMMYFUNCTION("GOOGLETRANSLATE(A7704,""en"",""hy"")"),"Ո՞վ է Ֆրանսիայի ներկայիս նախագահը.")</f>
        <v>Ո՞վ է Ֆրանսիայի ներկայիս նախագահը.</v>
      </c>
      <c r="D7704" s="6" t="str">
        <f>IFERROR(__xludf.DUMMYFUNCTION("GOOGLETRANSLATE(B7704,""en"",""hy"")"),"Էմանուել Մակրոն.")</f>
        <v>Էմանուել Մակրոն.</v>
      </c>
    </row>
    <row r="7705">
      <c r="A7705" s="5" t="s">
        <v>7557</v>
      </c>
      <c r="B7705" s="5" t="s">
        <v>7857</v>
      </c>
      <c r="C7705" s="5" t="str">
        <f>IFERROR(__xludf.DUMMYFUNCTION("GOOGLETRANSLATE(A7705,""en"",""hy"")"),"Ո՞րն է երկաթի քիմիական նշանը:")</f>
        <v>Ո՞րն է երկաթի քիմիական նշանը:</v>
      </c>
      <c r="D7705" s="6" t="str">
        <f>IFERROR(__xludf.DUMMYFUNCTION("GOOGLETRANSLATE(B7705,""en"",""hy"")"),"Երկաթի քիմիական նշանը Fe է:")</f>
        <v>Երկաթի քիմիական նշանը Fe է:</v>
      </c>
    </row>
    <row r="7706">
      <c r="A7706" s="5" t="s">
        <v>8308</v>
      </c>
      <c r="B7706" s="5" t="s">
        <v>8309</v>
      </c>
      <c r="C7706" s="5" t="str">
        <f>IFERROR(__xludf.DUMMYFUNCTION("GOOGLETRANSLATE(A7706,""en"",""hy"")"),"Ո՞վ է հունական իմաստության աստվածուհին:")</f>
        <v>Ո՞վ է հունական իմաստության աստվածուհին:</v>
      </c>
      <c r="D7706" s="6" t="str">
        <f>IFERROR(__xludf.DUMMYFUNCTION("GOOGLETRANSLATE(B7706,""en"",""hy"")"),"Աթենա.")</f>
        <v>Աթենա.</v>
      </c>
    </row>
    <row r="7707">
      <c r="A7707" s="5" t="s">
        <v>8735</v>
      </c>
      <c r="B7707" s="5" t="s">
        <v>7956</v>
      </c>
      <c r="C7707" s="5" t="str">
        <f>IFERROR(__xludf.DUMMYFUNCTION("GOOGLETRANSLATE(A7707,""en"",""hy"")"),"Ո՞վ է հայտնի որպես «ժամանակակից ֆիզիկայի հայր»:")</f>
        <v>Ո՞վ է հայտնի որպես «ժամանակակից ֆիզիկայի հայր»:</v>
      </c>
      <c r="D7707" s="6" t="str">
        <f>IFERROR(__xludf.DUMMYFUNCTION("GOOGLETRANSLATE(B7707,""en"",""hy"")"),"Իսահակ Նյուտոն.")</f>
        <v>Իսահակ Նյուտոն.</v>
      </c>
    </row>
    <row r="7708">
      <c r="A7708" s="5" t="s">
        <v>7513</v>
      </c>
      <c r="B7708" s="5" t="s">
        <v>8337</v>
      </c>
      <c r="C7708" s="5" t="str">
        <f>IFERROR(__xludf.DUMMYFUNCTION("GOOGLETRANSLATE(A7708,""en"",""hy"")"),"Ո՞րն է աշխարհի ամենամեծ անապատը:")</f>
        <v>Ո՞րն է աշխարհի ամենամեծ անապատը:</v>
      </c>
      <c r="D7708" s="6" t="str">
        <f>IFERROR(__xludf.DUMMYFUNCTION("GOOGLETRANSLATE(B7708,""en"",""hy"")"),"Աշխարհի ամենամեծ անապատը Անտարկտիդայի անապատն է։")</f>
        <v>Աշխարհի ամենամեծ անապատը Անտարկտիդայի անապատն է։</v>
      </c>
    </row>
    <row r="7709">
      <c r="A7709" s="5" t="s">
        <v>7465</v>
      </c>
      <c r="B7709" s="5" t="s">
        <v>7630</v>
      </c>
      <c r="C7709" s="5" t="str">
        <f>IFERROR(__xludf.DUMMYFUNCTION("GOOGLETRANSLATE(A7709,""en"",""hy"")"),"Ո՞վ է գրել «Հպարտություն և նախապաշարմունք» վեպը:")</f>
        <v>Ո՞վ է գրել «Հպարտություն և նախապաշարմունք» վեպը:</v>
      </c>
      <c r="D7709" s="6" t="str">
        <f>IFERROR(__xludf.DUMMYFUNCTION("GOOGLETRANSLATE(B7709,""en"",""hy"")"),"Ջեյն Օսթին.")</f>
        <v>Ջեյն Օսթին.</v>
      </c>
    </row>
    <row r="7710">
      <c r="A7710" s="5" t="s">
        <v>7553</v>
      </c>
      <c r="B7710" s="5" t="s">
        <v>7554</v>
      </c>
      <c r="C7710" s="5" t="str">
        <f>IFERROR(__xludf.DUMMYFUNCTION("GOOGLETRANSLATE(A7710,""en"",""hy"")"),"Ո՞րն է Հարավային Աֆրիկայի մայրաքաղաքը:")</f>
        <v>Ո՞րն է Հարավային Աֆրիկայի մայրաքաղաքը:</v>
      </c>
      <c r="D7710" s="6" t="str">
        <f>IFERROR(__xludf.DUMMYFUNCTION("GOOGLETRANSLATE(B7710,""en"",""hy"")"),"Պրետորիա.")</f>
        <v>Պրետորիա.</v>
      </c>
    </row>
    <row r="7711">
      <c r="A7711" s="5" t="s">
        <v>7575</v>
      </c>
      <c r="B7711" s="5" t="s">
        <v>7576</v>
      </c>
      <c r="C7711" s="5" t="str">
        <f>IFERROR(__xludf.DUMMYFUNCTION("GOOGLETRANSLATE(A7711,""en"",""hy"")"),"Քանի՞ գույն կա ծիածանի մեջ:")</f>
        <v>Քանի՞ գույն կա ծիածանի մեջ:</v>
      </c>
      <c r="D7711" s="6" t="str">
        <f>IFERROR(__xludf.DUMMYFUNCTION("GOOGLETRANSLATE(B7711,""en"",""hy"")"),"Ծիածանի մեջ յոթ գույն կա:")</f>
        <v>Ծիածանի մեջ յոթ գույն կա:</v>
      </c>
    </row>
    <row r="7712">
      <c r="A7712" s="5" t="s">
        <v>8475</v>
      </c>
      <c r="B7712" s="5" t="s">
        <v>7444</v>
      </c>
      <c r="C7712" s="5" t="str">
        <f>IFERROR(__xludf.DUMMYFUNCTION("GOOGLETRANSLATE(A7712,""en"",""hy"")"),"Ո՞վ է 1984 վեպի հեղինակը։")</f>
        <v>Ո՞վ է 1984 վեպի հեղինակը։</v>
      </c>
      <c r="D7712" s="6" t="str">
        <f>IFERROR(__xludf.DUMMYFUNCTION("GOOGLETRANSLATE(B7712,""en"",""hy"")"),"Ջորջ Օրուել.")</f>
        <v>Ջորջ Օրուել.</v>
      </c>
    </row>
    <row r="7713">
      <c r="A7713" s="5" t="s">
        <v>7532</v>
      </c>
      <c r="B7713" s="5" t="s">
        <v>7533</v>
      </c>
      <c r="C7713" s="5" t="str">
        <f>IFERROR(__xludf.DUMMYFUNCTION("GOOGLETRANSLATE(A7713,""en"",""hy"")"),"Ո՞րն է սննդի աղի քիմիական բանաձևը:")</f>
        <v>Ո՞րն է սննդի աղի քիմիական բանաձևը:</v>
      </c>
      <c r="D7713" s="6" t="str">
        <f>IFERROR(__xludf.DUMMYFUNCTION("GOOGLETRANSLATE(B7713,""en"",""hy"")"),"Սեղանի աղի քիմիական բանաձևը NaCl է:")</f>
        <v>Սեղանի աղի քիմիական բանաձևը NaCl է:</v>
      </c>
    </row>
    <row r="7714">
      <c r="A7714" s="5" t="s">
        <v>9590</v>
      </c>
      <c r="B7714" s="5" t="s">
        <v>9591</v>
      </c>
      <c r="C7714" s="5" t="str">
        <f>IFERROR(__xludf.DUMMYFUNCTION("GOOGLETRANSLATE(A7714,""en"",""hy"")"),"Ո՞վ էր հռոմեական պատերազմի աստվածը:")</f>
        <v>Ո՞վ էր հռոմեական պատերազմի աստվածը:</v>
      </c>
      <c r="D7714" s="6" t="str">
        <f>IFERROR(__xludf.DUMMYFUNCTION("GOOGLETRANSLATE(B7714,""en"",""hy"")"),"Հռոմեական պատերազմի աստվածը Մարսն էր:")</f>
        <v>Հռոմեական պատերազմի աստվածը Մարսն էր:</v>
      </c>
    </row>
    <row r="7715">
      <c r="A7715" s="5" t="s">
        <v>7506</v>
      </c>
      <c r="B7715" s="5" t="s">
        <v>7507</v>
      </c>
      <c r="C7715" s="5" t="str">
        <f>IFERROR(__xludf.DUMMYFUNCTION("GOOGLETRANSLATE(A7715,""en"",""hy"")"),"Ո՞րն է աշխարհի ամենափոքր երկիրը:")</f>
        <v>Ո՞րն է աշխարհի ամենափոքր երկիրը:</v>
      </c>
      <c r="D7715" s="6" t="str">
        <f>IFERROR(__xludf.DUMMYFUNCTION("GOOGLETRANSLATE(B7715,""en"",""hy"")"),"Քաղաք Վատիկան.")</f>
        <v>Քաղաք Վատիկան.</v>
      </c>
    </row>
    <row r="7716">
      <c r="A7716" s="5" t="s">
        <v>7594</v>
      </c>
      <c r="B7716" s="5" t="s">
        <v>1016</v>
      </c>
      <c r="C7716" s="5" t="str">
        <f>IFERROR(__xludf.DUMMYFUNCTION("GOOGLETRANSLATE(A7716,""en"",""hy"")"),"Ո՞վ է գրել «Մակբեթ» պիեսը:")</f>
        <v>Ո՞վ է գրել «Մակբեթ» պիեսը:</v>
      </c>
      <c r="D7716" s="6" t="str">
        <f>IFERROR(__xludf.DUMMYFUNCTION("GOOGLETRANSLATE(B7716,""en"",""hy"")"),"Ուիլյամ Շեքսպիր.")</f>
        <v>Ուիլյամ Շեքսպիր.</v>
      </c>
    </row>
    <row r="7717">
      <c r="A7717" s="5" t="s">
        <v>9314</v>
      </c>
      <c r="B7717" s="5" t="s">
        <v>9315</v>
      </c>
      <c r="C7717" s="5" t="str">
        <f>IFERROR(__xludf.DUMMYFUNCTION("GOOGLETRANSLATE(A7717,""en"",""hy"")"),"Ո՞րն է հիմնական կրոնը Հնդկաստանում:")</f>
        <v>Ո՞րն է հիմնական կրոնը Հնդկաստանում:</v>
      </c>
      <c r="D7717" s="6" t="str">
        <f>IFERROR(__xludf.DUMMYFUNCTION("GOOGLETRANSLATE(B7717,""en"",""hy"")"),"Հինդուիզմ.")</f>
        <v>Հինդուիզմ.</v>
      </c>
    </row>
    <row r="7718">
      <c r="A7718" s="5" t="s">
        <v>8893</v>
      </c>
      <c r="B7718" s="5" t="s">
        <v>8122</v>
      </c>
      <c r="C7718" s="5" t="str">
        <f>IFERROR(__xludf.DUMMYFUNCTION("GOOGLETRANSLATE(A7718,""en"",""hy"")"),"Քանի՞ աստղ կա ամերիկյան դրոշի վրա:")</f>
        <v>Քանի՞ աստղ կա ամերիկյան դրոշի վրա:</v>
      </c>
      <c r="D7718" s="6" t="str">
        <f>IFERROR(__xludf.DUMMYFUNCTION("GOOGLETRANSLATE(B7718,""en"",""hy"")"),"Ամերիկյան դրոշի վրա 50 աստղ կա։")</f>
        <v>Ամերիկյան դրոշի վրա 50 աստղ կա։</v>
      </c>
    </row>
    <row r="7719">
      <c r="A7719" s="5" t="s">
        <v>9592</v>
      </c>
      <c r="B7719" s="5" t="s">
        <v>9593</v>
      </c>
      <c r="C7719" s="5" t="str">
        <f>IFERROR(__xludf.DUMMYFUNCTION("GOOGLETRANSLATE(A7719,""en"",""hy"")"),"Ո՞վ է նկարել Ադամի ստեղծագործությունը Սիքստինյան կապելլայի առաստաղի վրա:")</f>
        <v>Ո՞վ է նկարել Ադամի ստեղծագործությունը Սիքստինյան կապելլայի առաստաղի վրա:</v>
      </c>
      <c r="D7719" s="6" t="str">
        <f>IFERROR(__xludf.DUMMYFUNCTION("GOOGLETRANSLATE(B7719,""en"",""hy"")"),"Ադամի ստեղծումը Սիքստինյան կապելլայի առաստաղի վրա նկարել է Միքելանջելոն:")</f>
        <v>Ադամի ստեղծումը Սիքստինյան կապելլայի առաստաղի վրա նկարել է Միքելանջելոն:</v>
      </c>
    </row>
    <row r="7720">
      <c r="A7720" s="5" t="s">
        <v>7839</v>
      </c>
      <c r="B7720" s="5" t="s">
        <v>7753</v>
      </c>
      <c r="C7720" s="5" t="str">
        <f>IFERROR(__xludf.DUMMYFUNCTION("GOOGLETRANSLATE(A7720,""en"",""hy"")"),"Ո՞րն է Ճապոնիայի մայրաքաղաքը:")</f>
        <v>Ո՞րն է Ճապոնիայի մայրաքաղաքը:</v>
      </c>
      <c r="D7720" s="6" t="str">
        <f>IFERROR(__xludf.DUMMYFUNCTION("GOOGLETRANSLATE(B7720,""en"",""hy"")"),"Տոկիո.")</f>
        <v>Տոկիո.</v>
      </c>
    </row>
    <row r="7721">
      <c r="A7721" s="5" t="s">
        <v>7509</v>
      </c>
      <c r="B7721" s="5" t="s">
        <v>7684</v>
      </c>
      <c r="C7721" s="5" t="str">
        <f>IFERROR(__xludf.DUMMYFUNCTION("GOOGLETRANSLATE(A7721,""en"",""hy"")"),"Ո՞րն է արծաթի քիմիական նշանը:")</f>
        <v>Ո՞րն է արծաթի քիմիական նշանը:</v>
      </c>
      <c r="D7721" s="6" t="str">
        <f>IFERROR(__xludf.DUMMYFUNCTION("GOOGLETRANSLATE(B7721,""en"",""hy"")"),"Արծաթի քիմիական խորհրդանիշն է Ag.")</f>
        <v>Արծաթի քիմիական խորհրդանիշն է Ag.</v>
      </c>
    </row>
    <row r="7722">
      <c r="A7722" s="5" t="s">
        <v>7528</v>
      </c>
      <c r="B7722" s="5" t="s">
        <v>7529</v>
      </c>
      <c r="C7722" s="5" t="str">
        <f>IFERROR(__xludf.DUMMYFUNCTION("GOOGLETRANSLATE(A7722,""en"",""hy"")"),"Ո՞վ է Գերմանիայի ներկայիս կանցլերը:")</f>
        <v>Ո՞վ է Գերմանիայի ներկայիս կանցլերը:</v>
      </c>
      <c r="D7722" s="6" t="str">
        <f>IFERROR(__xludf.DUMMYFUNCTION("GOOGLETRANSLATE(B7722,""en"",""hy"")"),"Անգելա Մերկել.")</f>
        <v>Անգելա Մերկել.</v>
      </c>
    </row>
    <row r="7723">
      <c r="A7723" s="5" t="s">
        <v>8653</v>
      </c>
      <c r="B7723" s="5" t="s">
        <v>7867</v>
      </c>
      <c r="C7723" s="5" t="str">
        <f>IFERROR(__xludf.DUMMYFUNCTION("GOOGLETRANSLATE(A7723,""en"",""hy"")"),"Ո՞վ է Մատանիների տիրակալը գրքերի շարքի հեղինակը:")</f>
        <v>Ո՞վ է Մատանիների տիրակալը գրքերի շարքի հեղինակը:</v>
      </c>
      <c r="D7723" s="6" t="str">
        <f>IFERROR(__xludf.DUMMYFUNCTION("GOOGLETRANSLATE(B7723,""en"",""hy"")"),"Ջ.Ռ.Ռ. Թոլքինը։")</f>
        <v>Ջ.Ռ.Ռ. Թոլքինը։</v>
      </c>
    </row>
    <row r="7724">
      <c r="A7724" s="5" t="s">
        <v>9594</v>
      </c>
      <c r="B7724" s="5" t="s">
        <v>2790</v>
      </c>
      <c r="C7724" s="5" t="str">
        <f>IFERROR(__xludf.DUMMYFUNCTION("GOOGLETRANSLATE(A7724,""en"",""hy"")"),"Ո՞ր երկրում է գտնվում Չինական մեծ պարիսպը:")</f>
        <v>Ո՞ր երկրում է գտնվում Չինական մեծ պարիսպը:</v>
      </c>
      <c r="D7724" s="6" t="str">
        <f>IFERROR(__xludf.DUMMYFUNCTION("GOOGLETRANSLATE(B7724,""en"",""hy"")"),"Չինաստան.")</f>
        <v>Չինաստան.</v>
      </c>
    </row>
    <row r="7725">
      <c r="A7725" s="5" t="s">
        <v>9595</v>
      </c>
      <c r="B7725" s="5" t="s">
        <v>9596</v>
      </c>
      <c r="C7725" s="5" t="str">
        <f>IFERROR(__xludf.DUMMYFUNCTION("GOOGLETRANSLATE(A7725,""en"",""hy"")"),"Ո՞րն է հիմնական գազը, որն օգտագործում են բույսերը ֆոտոսինթեզի համար:")</f>
        <v>Ո՞րն է հիմնական գազը, որն օգտագործում են բույսերը ֆոտոսինթեզի համար:</v>
      </c>
      <c r="D7725" s="6" t="str">
        <f>IFERROR(__xludf.DUMMYFUNCTION("GOOGLETRANSLATE(B7725,""en"",""hy"")"),"Հիմնական գազը, որը բույսերը օգտագործում են ֆոտոսինթեզի համար, ածխաթթու գազն է։")</f>
        <v>Հիմնական գազը, որը բույսերը օգտագործում են ֆոտոսինթեզի համար, ածխաթթու գազն է։</v>
      </c>
    </row>
    <row r="7726">
      <c r="A7726" s="5" t="s">
        <v>9597</v>
      </c>
      <c r="B7726" s="5" t="s">
        <v>7578</v>
      </c>
      <c r="C7726" s="5" t="str">
        <f>IFERROR(__xludf.DUMMYFUNCTION("GOOGLETRANSLATE(A7726,""en"",""hy"")"),"Ո՞վ է գրել Մոբի Դիկ վեպը:")</f>
        <v>Ո՞վ է գրել Մոբի Դիկ վեպը:</v>
      </c>
      <c r="D7726" s="6" t="str">
        <f>IFERROR(__xludf.DUMMYFUNCTION("GOOGLETRANSLATE(B7726,""en"",""hy"")"),"Հերման Մելվիլ.")</f>
        <v>Հերման Մելվիլ.</v>
      </c>
    </row>
    <row r="7727">
      <c r="A7727" s="5" t="s">
        <v>7872</v>
      </c>
      <c r="B7727" s="5" t="s">
        <v>1307</v>
      </c>
      <c r="C7727" s="5" t="str">
        <f>IFERROR(__xludf.DUMMYFUNCTION("GOOGLETRANSLATE(A7727,""en"",""hy"")"),"Ո՞րն է Իսպանիայի մայրաքաղաքը:")</f>
        <v>Ո՞րն է Իսպանիայի մայրաքաղաքը:</v>
      </c>
      <c r="D7727" s="6" t="str">
        <f>IFERROR(__xludf.DUMMYFUNCTION("GOOGLETRANSLATE(B7727,""en"",""hy"")"),"Մադրիդ.")</f>
        <v>Մադրիդ.</v>
      </c>
    </row>
    <row r="7728">
      <c r="A7728" s="5" t="s">
        <v>7502</v>
      </c>
      <c r="B7728" s="5" t="s">
        <v>7503</v>
      </c>
      <c r="C7728" s="5" t="str">
        <f>IFERROR(__xludf.DUMMYFUNCTION("GOOGLETRANSLATE(A7728,""en"",""hy"")"),"Քանի՞ կողմ ունի վեցանկյունը:")</f>
        <v>Քանի՞ կողմ ունի վեցանկյունը:</v>
      </c>
      <c r="D7728" s="6" t="str">
        <f>IFERROR(__xludf.DUMMYFUNCTION("GOOGLETRANSLATE(B7728,""en"",""hy"")"),"Վեցանկյունն ունի վեց կողմ:")</f>
        <v>Վեցանկյունն ունի վեց կողմ:</v>
      </c>
    </row>
    <row r="7729">
      <c r="A7729" s="5" t="s">
        <v>7854</v>
      </c>
      <c r="B7729" s="5" t="s">
        <v>8412</v>
      </c>
      <c r="C7729" s="5" t="str">
        <f>IFERROR(__xludf.DUMMYFUNCTION("GOOGLETRANSLATE(A7729,""en"",""hy"")"),"Ո՞վ էր Միացյալ Նահանգների առաջին նախագահը:")</f>
        <v>Ո՞վ էր Միացյալ Նահանգների առաջին նախագահը:</v>
      </c>
      <c r="D7729" s="6" t="str">
        <f>IFERROR(__xludf.DUMMYFUNCTION("GOOGLETRANSLATE(B7729,""en"",""hy"")"),"Ջորջ Վաշինգտոն")</f>
        <v>Ջորջ Վաշինգտոն</v>
      </c>
    </row>
    <row r="7730">
      <c r="A7730" s="5" t="s">
        <v>8565</v>
      </c>
      <c r="B7730" s="5" t="s">
        <v>8566</v>
      </c>
      <c r="C7730" s="5" t="str">
        <f>IFERROR(__xludf.DUMMYFUNCTION("GOOGLETRANSLATE(A7730,""en"",""hy"")"),"Ո՞րն է թթվածնի քիմիական բանաձևը:")</f>
        <v>Ո՞րն է թթվածնի քիմիական բանաձևը:</v>
      </c>
      <c r="D7730" s="6" t="str">
        <f>IFERROR(__xludf.DUMMYFUNCTION("GOOGLETRANSLATE(B7730,""en"",""hy"")"),"Թթվածնի քիմիական բանաձևը O2 է:")</f>
        <v>Թթվածնի քիմիական բանաձևը O2 է:</v>
      </c>
    </row>
    <row r="7731">
      <c r="A7731" s="5" t="s">
        <v>7479</v>
      </c>
      <c r="B7731" s="5" t="s">
        <v>1996</v>
      </c>
      <c r="C7731" s="5" t="str">
        <f>IFERROR(__xludf.DUMMYFUNCTION("GOOGLETRANSLATE(A7731,""en"",""hy"")"),"Ո՞վ է Միացյալ Թագավորության ներկայիս վարչապետը:")</f>
        <v>Ո՞վ է Միացյալ Թագավորության ներկայիս վարչապետը:</v>
      </c>
      <c r="D7731" s="6" t="str">
        <f>IFERROR(__xludf.DUMMYFUNCTION("GOOGLETRANSLATE(B7731,""en"",""hy"")"),"Բորիս Ջոնսոն.")</f>
        <v>Բորիս Ջոնսոն.</v>
      </c>
    </row>
    <row r="7732">
      <c r="A7732" s="5" t="s">
        <v>7517</v>
      </c>
      <c r="B7732" s="5" t="s">
        <v>7448</v>
      </c>
      <c r="C7732" s="5" t="str">
        <f>IFERROR(__xludf.DUMMYFUNCTION("GOOGLETRANSLATE(A7732,""en"",""hy"")"),"Ո՞վ է նկարել Վերջին ընթրիքը:")</f>
        <v>Ո՞վ է նկարել Վերջին ընթրիքը:</v>
      </c>
      <c r="D7732" s="6" t="str">
        <f>IFERROR(__xludf.DUMMYFUNCTION("GOOGLETRANSLATE(B7732,""en"",""hy"")"),"Լեոնարդո դա Վինչի.")</f>
        <v>Լեոնարդո դա Վինչի.</v>
      </c>
    </row>
    <row r="7733">
      <c r="A7733" s="5" t="s">
        <v>8075</v>
      </c>
      <c r="B7733" s="5" t="s">
        <v>8076</v>
      </c>
      <c r="C7733" s="5" t="str">
        <f>IFERROR(__xludf.DUMMYFUNCTION("GOOGLETRANSLATE(A7733,""en"",""hy"")"),"Ո՞րն է աշխարհի ամենամեծ հրաբուխը:")</f>
        <v>Ո՞րն է աշխարհի ամենամեծ հրաբուխը:</v>
      </c>
      <c r="D7733" s="6" t="str">
        <f>IFERROR(__xludf.DUMMYFUNCTION("GOOGLETRANSLATE(B7733,""en"",""hy"")"),"Մաունա Լոա.")</f>
        <v>Մաունա Լոա.</v>
      </c>
    </row>
    <row r="7734">
      <c r="A7734" s="5" t="s">
        <v>7780</v>
      </c>
      <c r="B7734" s="5" t="s">
        <v>2951</v>
      </c>
      <c r="C7734" s="5" t="str">
        <f>IFERROR(__xludf.DUMMYFUNCTION("GOOGLETRANSLATE(A7734,""en"",""hy"")"),"Ո՞րն է Կանադայի մայրաքաղաքը:")</f>
        <v>Ո՞րն է Կանադայի մայրաքաղաքը:</v>
      </c>
      <c r="D7734" s="6" t="str">
        <f>IFERROR(__xludf.DUMMYFUNCTION("GOOGLETRANSLATE(B7734,""en"",""hy"")"),"Օտտավա.")</f>
        <v>Օտտավա.</v>
      </c>
    </row>
    <row r="7735">
      <c r="A7735" s="5" t="s">
        <v>9598</v>
      </c>
      <c r="B7735" s="5" t="s">
        <v>9599</v>
      </c>
      <c r="C7735" s="5" t="str">
        <f>IFERROR(__xludf.DUMMYFUNCTION("GOOGLETRANSLATE(A7735,""en"",""hy"")"),"Քանի՞ ոտք ունի միջատը սովորաբար:")</f>
        <v>Քանի՞ ոտք ունի միջատը սովորաբար:</v>
      </c>
      <c r="D7735" s="6" t="str">
        <f>IFERROR(__xludf.DUMMYFUNCTION("GOOGLETRANSLATE(B7735,""en"",""hy"")"),"Միջատը սովորաբար ունի վեց ոտք:")</f>
        <v>Միջատը սովորաբար ունի վեց ոտք:</v>
      </c>
    </row>
    <row r="7736">
      <c r="A7736" s="5" t="s">
        <v>9600</v>
      </c>
      <c r="B7736" s="5" t="s">
        <v>9601</v>
      </c>
      <c r="C7736" s="5" t="str">
        <f>IFERROR(__xludf.DUMMYFUNCTION("GOOGLETRANSLATE(A7736,""en"",""hy"")"),"Ո՞վ էր սկանդինավյան ամպրոպի աստվածը:")</f>
        <v>Ո՞վ էր սկանդինավյան ամպրոպի աստվածը:</v>
      </c>
      <c r="D7736" s="6" t="str">
        <f>IFERROR(__xludf.DUMMYFUNCTION("GOOGLETRANSLATE(B7736,""en"",""hy"")"),"Որոտի սկանդինավյան աստվածը Թորն էր:")</f>
        <v>Որոտի սկանդինավյան աստվածը Թորն էր:</v>
      </c>
    </row>
    <row r="7737">
      <c r="A7737" s="5" t="s">
        <v>9602</v>
      </c>
      <c r="B7737" s="5" t="s">
        <v>9603</v>
      </c>
      <c r="C7737" s="5" t="str">
        <f>IFERROR(__xludf.DUMMYFUNCTION("GOOGLETRANSLATE(A7737,""en"",""hy"")"),"Ո՞ր երկրում է հորինվել ֆուտբոլ սպորտը:")</f>
        <v>Ո՞ր երկրում է հորինվել ֆուտբոլ սպորտը:</v>
      </c>
      <c r="D7737" s="6" t="str">
        <f>IFERROR(__xludf.DUMMYFUNCTION("GOOGLETRANSLATE(B7737,""en"",""hy"")"),"Ֆուտբոլ սպորտաձևը հայտնագործվել է Անգլիայում։")</f>
        <v>Ֆուտբոլ սպորտաձևը հայտնագործվել է Անգլիայում։</v>
      </c>
    </row>
    <row r="7738">
      <c r="A7738" s="5" t="s">
        <v>7612</v>
      </c>
      <c r="B7738" s="5" t="s">
        <v>7661</v>
      </c>
      <c r="C7738" s="5" t="str">
        <f>IFERROR(__xludf.DUMMYFUNCTION("GOOGLETRANSLATE(A7738,""en"",""hy"")"),"Ո՞վ է գրել «Մեծն Գեթսբի» վեպը:")</f>
        <v>Ո՞վ է գրել «Մեծն Գեթսբի» վեպը:</v>
      </c>
      <c r="D7738" s="6" t="str">
        <f>IFERROR(__xludf.DUMMYFUNCTION("GOOGLETRANSLATE(B7738,""en"",""hy"")"),"F. Scott Fitzgerald.")</f>
        <v>F. Scott Fitzgerald.</v>
      </c>
    </row>
    <row r="7739">
      <c r="A7739" s="5" t="s">
        <v>8676</v>
      </c>
      <c r="B7739" s="5" t="s">
        <v>9604</v>
      </c>
      <c r="C7739" s="5" t="str">
        <f>IFERROR(__xludf.DUMMYFUNCTION("GOOGLETRANSLATE(A7739,""en"",""hy"")"),"Ո՞րն է շոկոլադի հիմնական բաղադրիչը:")</f>
        <v>Ո՞րն է շոկոլադի հիմնական բաղադրիչը:</v>
      </c>
      <c r="D7739" s="6" t="str">
        <f>IFERROR(__xludf.DUMMYFUNCTION("GOOGLETRANSLATE(B7739,""en"",""hy"")"),"Շոկոլադի հիմնական բաղադրիչը կակաոն է։")</f>
        <v>Շոկոլադի հիմնական բաղադրիչը կակաոն է։</v>
      </c>
    </row>
    <row r="7740">
      <c r="A7740" s="5" t="s">
        <v>7589</v>
      </c>
      <c r="B7740" s="5" t="s">
        <v>7545</v>
      </c>
      <c r="C7740" s="5" t="str">
        <f>IFERROR(__xludf.DUMMYFUNCTION("GOOGLETRANSLATE(A7740,""en"",""hy"")"),"Ո՞րն է Իտալիայի մայրաքաղաքը:")</f>
        <v>Ո՞րն է Իտալիայի մայրաքաղաքը:</v>
      </c>
      <c r="D7740" s="6" t="str">
        <f>IFERROR(__xludf.DUMMYFUNCTION("GOOGLETRANSLATE(B7740,""en"",""hy"")"),"Հռոմ.")</f>
        <v>Հռոմ.</v>
      </c>
    </row>
    <row r="7741">
      <c r="A7741" s="5" t="s">
        <v>8414</v>
      </c>
      <c r="B7741" s="5" t="s">
        <v>7928</v>
      </c>
      <c r="C7741" s="5" t="str">
        <f>IFERROR(__xludf.DUMMYFUNCTION("GOOGLETRANSLATE(A7741,""en"",""hy"")"),"Քանի՞ խաղացող կա բասկետբոլի թիմում:")</f>
        <v>Քանի՞ խաղացող կա բասկետբոլի թիմում:</v>
      </c>
      <c r="D7741" s="6" t="str">
        <f>IFERROR(__xludf.DUMMYFUNCTION("GOOGLETRANSLATE(B7741,""en"",""hy"")"),"Բասկետբոլի թիմում հինգ խաղացող կա:")</f>
        <v>Բասկետբոլի թիմում հինգ խաղացող կա:</v>
      </c>
    </row>
    <row r="7742">
      <c r="A7742" s="5" t="s">
        <v>8159</v>
      </c>
      <c r="B7742" s="5" t="s">
        <v>8160</v>
      </c>
      <c r="C7742" s="5" t="str">
        <f>IFERROR(__xludf.DUMMYFUNCTION("GOOGLETRANSLATE(A7742,""en"",""hy"")"),"Ո՞վ է Ռուսաստանի ներկայիս նախագահը.")</f>
        <v>Ո՞վ է Ռուսաստանի ներկայիս նախագահը.</v>
      </c>
      <c r="D7742" s="6" t="str">
        <f>IFERROR(__xludf.DUMMYFUNCTION("GOOGLETRANSLATE(B7742,""en"",""hy"")"),"Վլադիմիր Պուտին.")</f>
        <v>Վլադիմիր Պուտին.</v>
      </c>
    </row>
    <row r="7743">
      <c r="A7743" s="5" t="s">
        <v>7699</v>
      </c>
      <c r="B7743" s="5" t="s">
        <v>7700</v>
      </c>
      <c r="C7743" s="5" t="str">
        <f>IFERROR(__xludf.DUMMYFUNCTION("GOOGLETRANSLATE(A7743,""en"",""hy"")"),"Ո՞րն է ածխածնի քիմիական նշանը:")</f>
        <v>Ո՞րն է ածխածնի քիմիական նշանը:</v>
      </c>
      <c r="D7743" s="6" t="str">
        <f>IFERROR(__xludf.DUMMYFUNCTION("GOOGLETRANSLATE(B7743,""en"",""hy"")"),"Ածխածնի քիմիական նշանը C է:")</f>
        <v>Ածխածնի քիմիական նշանը C է:</v>
      </c>
    </row>
    <row r="7744">
      <c r="A7744" s="5" t="s">
        <v>8325</v>
      </c>
      <c r="B7744" s="5" t="s">
        <v>8326</v>
      </c>
      <c r="C7744" s="5" t="str">
        <f>IFERROR(__xludf.DUMMYFUNCTION("GOOGLETRANSLATE(A7744,""en"",""hy"")"),"Ո՞վ է հունական սիրո և գեղեցկության աստվածուհին:")</f>
        <v>Ո՞վ է հունական սիրո և գեղեցկության աստվածուհին:</v>
      </c>
      <c r="D7744" s="6" t="str">
        <f>IFERROR(__xludf.DUMMYFUNCTION("GOOGLETRANSLATE(B7744,""en"",""hy"")"),"Աֆրոդիտե.")</f>
        <v>Աֆրոդիտե.</v>
      </c>
    </row>
    <row r="7745">
      <c r="A7745" s="5" t="s">
        <v>7955</v>
      </c>
      <c r="B7745" s="5" t="s">
        <v>7956</v>
      </c>
      <c r="C7745" s="5" t="str">
        <f>IFERROR(__xludf.DUMMYFUNCTION("GOOGLETRANSLATE(A7745,""en"",""hy"")"),"Ո՞վ է հայտնաբերել գրավիտացիան:")</f>
        <v>Ո՞վ է հայտնաբերել գրավիտացիան:</v>
      </c>
      <c r="D7745" s="6" t="str">
        <f>IFERROR(__xludf.DUMMYFUNCTION("GOOGLETRANSLATE(B7745,""en"",""hy"")"),"Իսահակ Նյուտոն.")</f>
        <v>Իսահակ Նյուտոն.</v>
      </c>
    </row>
    <row r="7746">
      <c r="A7746" s="5" t="s">
        <v>7722</v>
      </c>
      <c r="B7746" s="5" t="s">
        <v>7723</v>
      </c>
      <c r="C7746" s="5" t="str">
        <f>IFERROR(__xludf.DUMMYFUNCTION("GOOGLETRANSLATE(A7746,""en"",""hy"")"),"Ո՞րն է Աֆրիկայի ամենաբարձր լեռը:")</f>
        <v>Ո՞րն է Աֆրիկայի ամենաբարձր լեռը:</v>
      </c>
      <c r="D7746" s="6" t="str">
        <f>IFERROR(__xludf.DUMMYFUNCTION("GOOGLETRANSLATE(B7746,""en"",""hy"")"),"Կիլիմանջարո լեռ.")</f>
        <v>Կիլիմանջարո լեռ.</v>
      </c>
    </row>
    <row r="7747">
      <c r="A7747" s="5" t="s">
        <v>7521</v>
      </c>
      <c r="B7747" s="5" t="s">
        <v>1016</v>
      </c>
      <c r="C7747" s="5" t="str">
        <f>IFERROR(__xludf.DUMMYFUNCTION("GOOGLETRANSLATE(A7747,""en"",""hy"")"),"Ո՞վ է գրել Համլետ պիեսը:")</f>
        <v>Ո՞վ է գրել Համլետ պիեսը:</v>
      </c>
      <c r="D7747" s="6" t="str">
        <f>IFERROR(__xludf.DUMMYFUNCTION("GOOGLETRANSLATE(B7747,""en"",""hy"")"),"Ուիլյամ Շեքսպիր.")</f>
        <v>Ուիլյամ Շեքսպիր.</v>
      </c>
    </row>
    <row r="7748">
      <c r="A7748" s="5" t="s">
        <v>9605</v>
      </c>
      <c r="B7748" s="5" t="s">
        <v>9606</v>
      </c>
      <c r="C7748" s="5" t="str">
        <f>IFERROR(__xludf.DUMMYFUNCTION("GOOGLETRANSLATE(A7748,""en"",""hy"")"),"Ո՞րն է Ճապոնիայի հիմնական կրոնը:")</f>
        <v>Ո՞րն է Ճապոնիայի հիմնական կրոնը:</v>
      </c>
      <c r="D7748" s="6" t="str">
        <f>IFERROR(__xludf.DUMMYFUNCTION("GOOGLETRANSLATE(B7748,""en"",""hy"")"),"Սինտոիզմ և բուդդիզմ.")</f>
        <v>Սինտոիզմ և բուդդիզմ.</v>
      </c>
    </row>
    <row r="7749">
      <c r="A7749" s="5" t="s">
        <v>9607</v>
      </c>
      <c r="B7749" s="5" t="s">
        <v>9608</v>
      </c>
      <c r="C7749" s="5" t="str">
        <f>IFERROR(__xludf.DUMMYFUNCTION("GOOGLETRANSLATE(A7749,""en"",""hy"")"),"Քանի՞ աստղ կա Ծիր Կաթին գալակտիկայում:")</f>
        <v>Քանի՞ աստղ կա Ծիր Կաթին գալակտիկայում:</v>
      </c>
      <c r="D7749" s="6" t="str">
        <f>IFERROR(__xludf.DUMMYFUNCTION("GOOGLETRANSLATE(B7749,""en"",""hy"")"),"Ենթադրվում է, որ Ծիր Կաթին գալակտիկայում կա մոտ 100 միլիարդ աստղ:")</f>
        <v>Ենթադրվում է, որ Ծիր Կաթին գալակտիկայում կա մոտ 100 միլիարդ աստղ:</v>
      </c>
    </row>
    <row r="7750">
      <c r="A7750" s="5" t="s">
        <v>7778</v>
      </c>
      <c r="B7750" s="5" t="s">
        <v>7474</v>
      </c>
      <c r="C7750" s="5" t="str">
        <f>IFERROR(__xludf.DUMMYFUNCTION("GOOGLETRANSLATE(A7750,""en"",""hy"")"),"Ո՞վ է նկարել Սիքստինյան կապելլայի առաստաղը:")</f>
        <v>Ո՞վ է նկարել Սիքստինյան կապելլայի առաստաղը:</v>
      </c>
      <c r="D7750" s="6" t="str">
        <f>IFERROR(__xludf.DUMMYFUNCTION("GOOGLETRANSLATE(B7750,""en"",""hy"")"),"Միքելանջելո.")</f>
        <v>Միքելանջելո.</v>
      </c>
    </row>
    <row r="7751">
      <c r="A7751" s="5" t="s">
        <v>7500</v>
      </c>
      <c r="B7751" s="5" t="s">
        <v>7501</v>
      </c>
      <c r="C7751" s="5" t="str">
        <f>IFERROR(__xludf.DUMMYFUNCTION("GOOGLETRANSLATE(A7751,""en"",""hy"")"),"Ո՞րն է Ֆրանսիայի մայրաքաղաքը:")</f>
        <v>Ո՞րն է Ֆրանսիայի մայրաքաղաքը:</v>
      </c>
      <c r="D7751" s="6" t="str">
        <f>IFERROR(__xludf.DUMMYFUNCTION("GOOGLETRANSLATE(B7751,""en"",""hy"")"),"Փարիզ.")</f>
        <v>Փարիզ.</v>
      </c>
    </row>
    <row r="7752">
      <c r="A7752" s="5" t="s">
        <v>8215</v>
      </c>
      <c r="B7752" s="5" t="s">
        <v>8216</v>
      </c>
      <c r="C7752" s="5" t="str">
        <f>IFERROR(__xludf.DUMMYFUNCTION("GOOGLETRANSLATE(A7752,""en"",""hy"")"),"Քանի՞ օր կա նահանջ տարում:")</f>
        <v>Քանի՞ օր կա նահանջ տարում:</v>
      </c>
      <c r="D7752" s="6" t="str">
        <f>IFERROR(__xludf.DUMMYFUNCTION("GOOGLETRANSLATE(B7752,""en"",""hy"")"),"Նահանջ տարում կա 366 օր։")</f>
        <v>Նահանջ տարում կա 366 օր։</v>
      </c>
    </row>
    <row r="7753">
      <c r="A7753" s="5" t="s">
        <v>8843</v>
      </c>
      <c r="B7753" s="5" t="s">
        <v>9176</v>
      </c>
      <c r="C7753" s="5" t="str">
        <f>IFERROR(__xludf.DUMMYFUNCTION("GOOGLETRANSLATE(A7753,""en"",""hy"")"),"Ո՞վ է Հնդկաստանի ներկայիս վարչապետը:")</f>
        <v>Ո՞վ է Հնդկաստանի ներկայիս վարչապետը:</v>
      </c>
      <c r="D7753" s="6" t="str">
        <f>IFERROR(__xludf.DUMMYFUNCTION("GOOGLETRANSLATE(B7753,""en"",""hy"")"),"Նարենդրա Մոդի.")</f>
        <v>Նարենդրա Մոդի.</v>
      </c>
    </row>
    <row r="7754">
      <c r="A7754" s="5" t="s">
        <v>8482</v>
      </c>
      <c r="B7754" s="5" t="s">
        <v>8273</v>
      </c>
      <c r="C7754" s="5" t="str">
        <f>IFERROR(__xludf.DUMMYFUNCTION("GOOGLETRANSLATE(A7754,""en"",""hy"")"),"Ո՞վ է «The Catcher in the Rye» վեպի հեղինակը:")</f>
        <v>Ո՞վ է «The Catcher in the Rye» վեպի հեղինակը:</v>
      </c>
      <c r="D7754" s="6" t="str">
        <f>IFERROR(__xludf.DUMMYFUNCTION("GOOGLETRANSLATE(B7754,""en"",""hy"")"),"Ջ.Դ.Սելինջեր")</f>
        <v>Ջ.Դ.Սելինջեր</v>
      </c>
    </row>
    <row r="7755">
      <c r="A7755" s="5" t="s">
        <v>8907</v>
      </c>
      <c r="B7755" s="5" t="s">
        <v>3535</v>
      </c>
      <c r="C7755" s="5" t="str">
        <f>IFERROR(__xludf.DUMMYFUNCTION("GOOGLETRANSLATE(A7755,""en"",""hy"")"),"Ո՞ր երկրում է գտնվում Սիդնեյի օպերային թատրոնը:")</f>
        <v>Ո՞ր երկրում է գտնվում Սիդնեյի օպերային թատրոնը:</v>
      </c>
      <c r="D7755" s="6" t="str">
        <f>IFERROR(__xludf.DUMMYFUNCTION("GOOGLETRANSLATE(B7755,""en"",""hy"")"),"Ավստրալիա.")</f>
        <v>Ավստրալիա.</v>
      </c>
    </row>
    <row r="7756">
      <c r="A7756" s="5" t="s">
        <v>7761</v>
      </c>
      <c r="B7756" s="5" t="s">
        <v>7762</v>
      </c>
      <c r="C7756" s="5" t="str">
        <f>IFERROR(__xludf.DUMMYFUNCTION("GOOGLETRANSLATE(A7756,""en"",""hy"")"),"Ո՞րն է ջրածնի քիմիական նշանը:")</f>
        <v>Ո՞րն է ջրածնի քիմիական նշանը:</v>
      </c>
      <c r="D7756" s="6" t="str">
        <f>IFERROR(__xludf.DUMMYFUNCTION("GOOGLETRANSLATE(B7756,""en"",""hy"")"),"Հ")</f>
        <v>Հ</v>
      </c>
    </row>
    <row r="7757">
      <c r="A7757" s="5" t="s">
        <v>9609</v>
      </c>
      <c r="B7757" s="5" t="s">
        <v>9610</v>
      </c>
      <c r="C7757" s="5" t="str">
        <f>IFERROR(__xludf.DUMMYFUNCTION("GOOGLETRANSLATE(A7757,""en"",""hy"")"),"Ո՞վ էր եգիպտական ​​արևի աստվածը:")</f>
        <v>Ո՞վ էր եգիպտական ​​արևի աստվածը:</v>
      </c>
      <c r="D7757" s="6" t="str">
        <f>IFERROR(__xludf.DUMMYFUNCTION("GOOGLETRANSLATE(B7757,""en"",""hy"")"),"Եգիպտական ​​արևի աստվածը Ռա էր։")</f>
        <v>Եգիպտական ​​արևի աստվածը Ռա էր։</v>
      </c>
    </row>
    <row r="7758">
      <c r="A7758" s="5" t="s">
        <v>8031</v>
      </c>
      <c r="B7758" s="5" t="s">
        <v>8268</v>
      </c>
      <c r="C7758" s="5" t="str">
        <f>IFERROR(__xludf.DUMMYFUNCTION("GOOGLETRANSLATE(A7758,""en"",""hy"")"),"Ո՞րն է աշխարհի ամենամեծ թռչունը:")</f>
        <v>Ո՞րն է աշխարհի ամենամեծ թռչունը:</v>
      </c>
      <c r="D7758" s="6" t="str">
        <f>IFERROR(__xludf.DUMMYFUNCTION("GOOGLETRANSLATE(B7758,""en"",""hy"")"),"Աշխարհի ամենամեծ թռչունը ջայլամն է։")</f>
        <v>Աշխարհի ամենամեծ թռչունը ջայլամն է։</v>
      </c>
    </row>
    <row r="7759">
      <c r="A7759" s="5" t="s">
        <v>7574</v>
      </c>
      <c r="B7759" s="5" t="s">
        <v>7525</v>
      </c>
      <c r="C7759" s="5" t="str">
        <f>IFERROR(__xludf.DUMMYFUNCTION("GOOGLETRANSLATE(A7759,""en"",""hy"")"),"Ո՞րն է Չինաստանի մայրաքաղաքը:")</f>
        <v>Ո՞րն է Չինաստանի մայրաքաղաքը:</v>
      </c>
      <c r="D7759" s="6" t="str">
        <f>IFERROR(__xludf.DUMMYFUNCTION("GOOGLETRANSLATE(B7759,""en"",""hy"")"),"Պեկին.")</f>
        <v>Պեկին.</v>
      </c>
    </row>
    <row r="7760">
      <c r="A7760" s="5" t="s">
        <v>9611</v>
      </c>
      <c r="B7760" s="5" t="s">
        <v>9612</v>
      </c>
      <c r="C7760" s="5" t="str">
        <f>IFERROR(__xludf.DUMMYFUNCTION("GOOGLETRANSLATE(A7760,""en"",""hy"")"),"Քանի՞ աստիճան կա շրջանագծի մեջ:")</f>
        <v>Քանի՞ աստիճան կա շրջանագծի մեջ:</v>
      </c>
      <c r="D7760" s="6" t="str">
        <f>IFERROR(__xludf.DUMMYFUNCTION("GOOGLETRANSLATE(B7760,""en"",""hy"")"),"Շրջանակում կա 360 աստիճան:")</f>
        <v>Շրջանակում կա 360 աստիճան:</v>
      </c>
    </row>
    <row r="7761">
      <c r="A7761" s="5" t="s">
        <v>7548</v>
      </c>
      <c r="B7761" s="5" t="s">
        <v>7549</v>
      </c>
      <c r="C7761" s="5" t="str">
        <f>IFERROR(__xludf.DUMMYFUNCTION("GOOGLETRANSLATE(A7761,""en"",""hy"")"),"Ո՞վ է նկարել մարգարիտ ականջօղով աղջկան:")</f>
        <v>Ո՞վ է նկարել մարգարիտ ականջօղով աղջկան:</v>
      </c>
      <c r="D7761" s="6" t="str">
        <f>IFERROR(__xludf.DUMMYFUNCTION("GOOGLETRANSLATE(B7761,""en"",""hy"")"),"Յոհաննես Վերմեեր.")</f>
        <v>Յոհաննես Վերմեեր.</v>
      </c>
    </row>
    <row r="7762">
      <c r="A7762" s="5" t="s">
        <v>9613</v>
      </c>
      <c r="B7762" s="5" t="s">
        <v>9614</v>
      </c>
      <c r="C7762" s="5" t="str">
        <f>IFERROR(__xludf.DUMMYFUNCTION("GOOGLETRANSLATE(A7762,""en"",""hy"")"),"Ո՞րն է հացի հիմնական բաղադրիչը:")</f>
        <v>Ո՞րն է հացի հիմնական բաղադրիչը:</v>
      </c>
      <c r="D7762" s="6" t="str">
        <f>IFERROR(__xludf.DUMMYFUNCTION("GOOGLETRANSLATE(B7762,""en"",""hy"")"),"Ալյուր.")</f>
        <v>Ալյուր.</v>
      </c>
    </row>
    <row r="7763">
      <c r="A7763" s="5" t="s">
        <v>7504</v>
      </c>
      <c r="B7763" s="5" t="s">
        <v>7505</v>
      </c>
      <c r="C7763" s="5" t="str">
        <f>IFERROR(__xludf.DUMMYFUNCTION("GOOGLETRANSLATE(A7763,""en"",""hy"")"),"Ո՞վ է Միացյալ Նահանգների ներկայիս նախագահը:")</f>
        <v>Ո՞վ է Միացյալ Նահանգների ներկայիս նախագահը:</v>
      </c>
      <c r="D7763" s="6" t="str">
        <f>IFERROR(__xludf.DUMMYFUNCTION("GOOGLETRANSLATE(B7763,""en"",""hy"")"),"Ջո Բայդեն.")</f>
        <v>Ջո Բայդեն.</v>
      </c>
    </row>
    <row r="7764">
      <c r="A7764" s="5" t="s">
        <v>7665</v>
      </c>
      <c r="B7764" s="5" t="s">
        <v>7666</v>
      </c>
      <c r="C7764" s="5" t="str">
        <f>IFERROR(__xludf.DUMMYFUNCTION("GOOGLETRANSLATE(A7764,""en"",""hy"")"),"Ո՞րն է նատրիումի քիմիական նշանը:")</f>
        <v>Ո՞րն է նատրիումի քիմիական նշանը:</v>
      </c>
      <c r="D7764" s="6" t="str">
        <f>IFERROR(__xludf.DUMMYFUNCTION("GOOGLETRANSLATE(B7764,""en"",""hy"")"),"Նա")</f>
        <v>Նա</v>
      </c>
    </row>
    <row r="7765">
      <c r="A7765" s="5" t="s">
        <v>7674</v>
      </c>
      <c r="B7765" s="5" t="s">
        <v>7675</v>
      </c>
      <c r="C7765" s="5" t="str">
        <f>IFERROR(__xludf.DUMMYFUNCTION("GOOGLETRANSLATE(A7765,""en"",""hy"")"),"Ո՞վ է հունական ծովի աստվածը:")</f>
        <v>Ո՞վ է հունական ծովի աստվածը:</v>
      </c>
      <c r="D7765" s="6" t="str">
        <f>IFERROR(__xludf.DUMMYFUNCTION("GOOGLETRANSLATE(B7765,""en"",""hy"")"),"Պոսեյդոն.")</f>
        <v>Պոսեյդոն.</v>
      </c>
    </row>
    <row r="7766">
      <c r="A7766" s="5" t="s">
        <v>9615</v>
      </c>
      <c r="B7766" s="5" t="s">
        <v>7755</v>
      </c>
      <c r="C7766" s="5" t="str">
        <f>IFERROR(__xludf.DUMMYFUNCTION("GOOGLETRANSLATE(A7766,""en"",""hy"")"),"Ո՞վ է «Քաղցած խաղեր» վեպի հեղինակը:")</f>
        <v>Ո՞վ է «Քաղցած խաղեր» վեպի հեղինակը:</v>
      </c>
      <c r="D7766" s="6" t="str">
        <f>IFERROR(__xludf.DUMMYFUNCTION("GOOGLETRANSLATE(B7766,""en"",""hy"")"),"Սյուզան Քոլինզ.")</f>
        <v>Սյուզան Քոլինզ.</v>
      </c>
    </row>
    <row r="7767">
      <c r="A7767" s="5" t="s">
        <v>8798</v>
      </c>
      <c r="B7767" s="5" t="s">
        <v>7972</v>
      </c>
      <c r="C7767" s="5" t="str">
        <f>IFERROR(__xludf.DUMMYFUNCTION("GOOGLETRANSLATE(A7767,""en"",""hy"")"),"Ո՞ր երկրում է գտնվում Էյֆելյան աշտարակը:")</f>
        <v>Ո՞ր երկրում է գտնվում Էյֆելյան աշտարակը:</v>
      </c>
      <c r="D7767" s="6" t="str">
        <f>IFERROR(__xludf.DUMMYFUNCTION("GOOGLETRANSLATE(B7767,""en"",""hy"")"),"Ֆրանսիա.")</f>
        <v>Ֆրանսիա.</v>
      </c>
    </row>
    <row r="7768">
      <c r="A7768" s="5" t="s">
        <v>9616</v>
      </c>
      <c r="B7768" s="5" t="s">
        <v>9617</v>
      </c>
      <c r="C7768" s="5" t="str">
        <f>IFERROR(__xludf.DUMMYFUNCTION("GOOGLETRANSLATE(A7768,""en"",""hy"")"),"Ո՞րն է արևի հիմնական գազը:")</f>
        <v>Ո՞րն է արևի հիմնական գազը:</v>
      </c>
      <c r="D7768" s="6" t="str">
        <f>IFERROR(__xludf.DUMMYFUNCTION("GOOGLETRANSLATE(B7768,""en"",""hy"")"),"Արեգակը կազմող հիմնական գազը ջրածինն է։")</f>
        <v>Արեգակը կազմող հիմնական գազը ջրածինն է։</v>
      </c>
    </row>
    <row r="7769">
      <c r="A7769" s="5" t="s">
        <v>8070</v>
      </c>
      <c r="B7769" s="5" t="s">
        <v>1016</v>
      </c>
      <c r="C7769" s="5" t="str">
        <f>IFERROR(__xludf.DUMMYFUNCTION("GOOGLETRANSLATE(A7769,""en"",""hy"")"),"Ո՞վ է գրել «Օթելլո» պիեսը:")</f>
        <v>Ո՞վ է գրել «Օթելլո» պիեսը:</v>
      </c>
      <c r="D7769" s="6" t="str">
        <f>IFERROR(__xludf.DUMMYFUNCTION("GOOGLETRANSLATE(B7769,""en"",""hy"")"),"Ուիլյամ Շեքսպիր.")</f>
        <v>Ուիլյամ Շեքսպիր.</v>
      </c>
    </row>
    <row r="7770">
      <c r="A7770" s="5" t="s">
        <v>7626</v>
      </c>
      <c r="B7770" s="5" t="s">
        <v>8066</v>
      </c>
      <c r="C7770" s="5" t="str">
        <f>IFERROR(__xludf.DUMMYFUNCTION("GOOGLETRANSLATE(A7770,""en"",""hy"")"),"Ո՞րն է Գերմանիայի մայրաքաղաքը:")</f>
        <v>Ո՞րն է Գերմանիայի մայրաքաղաքը:</v>
      </c>
      <c r="D7770" s="6" t="str">
        <f>IFERROR(__xludf.DUMMYFUNCTION("GOOGLETRANSLATE(B7770,""en"",""hy"")"),"Բեռլին.")</f>
        <v>Բեռլին.</v>
      </c>
    </row>
    <row r="7771">
      <c r="A7771" s="5" t="s">
        <v>9618</v>
      </c>
      <c r="B7771" s="5" t="s">
        <v>9619</v>
      </c>
      <c r="C7771" s="5" t="str">
        <f>IFERROR(__xludf.DUMMYFUNCTION("GOOGLETRANSLATE(A7771,""en"",""hy"")"),"Քանի՞ մայրցամաք կա հյուսիսային կիսագնդում:")</f>
        <v>Քանի՞ մայրցամաք կա հյուսիսային կիսագնդում:</v>
      </c>
      <c r="D7771" s="6" t="str">
        <f>IFERROR(__xludf.DUMMYFUNCTION("GOOGLETRANSLATE(B7771,""en"",""hy"")"),"Հյուսիսային կիսագնդում կան վեց մայրցամաքներ։")</f>
        <v>Հյուսիսային կիսագնդում կան վեց մայրցամաքներ։</v>
      </c>
    </row>
    <row r="7772">
      <c r="A7772" s="5" t="s">
        <v>8142</v>
      </c>
      <c r="B7772" s="5" t="s">
        <v>8867</v>
      </c>
      <c r="C7772" s="5" t="str">
        <f>IFERROR(__xludf.DUMMYFUNCTION("GOOGLETRANSLATE(A7772,""en"",""hy"")"),"Ո՞վ է Ավստրալիայի ներկայիս վարչապետը:")</f>
        <v>Ո՞վ է Ավստրալիայի ներկայիս վարչապետը:</v>
      </c>
      <c r="D7772" s="6" t="str">
        <f>IFERROR(__xludf.DUMMYFUNCTION("GOOGLETRANSLATE(B7772,""en"",""hy"")"),"Սքոթ Մորիսոն")</f>
        <v>Սքոթ Մորիսոն</v>
      </c>
    </row>
    <row r="7773">
      <c r="A7773" s="5" t="s">
        <v>7875</v>
      </c>
      <c r="B7773" s="5" t="s">
        <v>7876</v>
      </c>
      <c r="C7773" s="5" t="str">
        <f>IFERROR(__xludf.DUMMYFUNCTION("GOOGLETRANSLATE(A7773,""en"",""hy"")"),"Ո՞րն է ազոտի քիմիական նշանը:")</f>
        <v>Ո՞րն է ազոտի քիմիական նշանը:</v>
      </c>
      <c r="D7773" s="6" t="str">
        <f>IFERROR(__xludf.DUMMYFUNCTION("GOOGLETRANSLATE(B7773,""en"",""hy"")"),"Ազոտի քիմիական նշանն է N.")</f>
        <v>Ազոտի քիմիական նշանն է N.</v>
      </c>
    </row>
    <row r="7774">
      <c r="A7774" s="5" t="s">
        <v>9620</v>
      </c>
      <c r="B7774" s="5" t="s">
        <v>9621</v>
      </c>
      <c r="C7774" s="5" t="str">
        <f>IFERROR(__xludf.DUMMYFUNCTION("GOOGLETRANSLATE(A7774,""en"",""hy"")"),"Ո՞վ էր հունական սիրո և ցանկության աստվածը:")</f>
        <v>Ո՞վ էր հունական սիրո և ցանկության աստվածը:</v>
      </c>
      <c r="D7774" s="6" t="str">
        <f>IFERROR(__xludf.DUMMYFUNCTION("GOOGLETRANSLATE(B7774,""en"",""hy"")"),"Հունական սիրո և ցանկության աստվածը Էրոսն էր:")</f>
        <v>Հունական սիրո և ցանկության աստվածը Էրոսն էր:</v>
      </c>
    </row>
    <row r="7775">
      <c r="A7775" s="5" t="s">
        <v>7471</v>
      </c>
      <c r="B7775" s="5" t="s">
        <v>8416</v>
      </c>
      <c r="C7775" s="5" t="str">
        <f>IFERROR(__xludf.DUMMYFUNCTION("GOOGLETRANSLATE(A7775,""en"",""hy"")"),"Ո՞րն է Երկրի ամենամեծ կենդանին:")</f>
        <v>Ո՞րն է Երկրի ամենամեծ կենդանին:</v>
      </c>
      <c r="D7775" s="6" t="str">
        <f>IFERROR(__xludf.DUMMYFUNCTION("GOOGLETRANSLATE(B7775,""en"",""hy"")"),"Կապույտ կետը Երկրի ամենամեծ կենդանին է:")</f>
        <v>Կապույտ կետը Երկրի ամենամեծ կենդանին է:</v>
      </c>
    </row>
    <row r="7776">
      <c r="A7776" s="5" t="s">
        <v>7903</v>
      </c>
      <c r="B7776" s="5" t="s">
        <v>5204</v>
      </c>
      <c r="C7776" s="5" t="str">
        <f>IFERROR(__xludf.DUMMYFUNCTION("GOOGLETRANSLATE(A7776,""en"",""hy"")"),"Ո՞րն է Մեքսիկայի մայրաքաղաքը:")</f>
        <v>Ո՞րն է Մեքսիկայի մայրաքաղաքը:</v>
      </c>
      <c r="D7776" s="6" t="str">
        <f>IFERROR(__xludf.DUMMYFUNCTION("GOOGLETRANSLATE(B7776,""en"",""hy"")"),"Մեխիկո Սիթի")</f>
        <v>Մեխիկո Սիթի</v>
      </c>
    </row>
    <row r="7777">
      <c r="A7777" s="5" t="s">
        <v>8332</v>
      </c>
      <c r="B7777" s="5" t="s">
        <v>9622</v>
      </c>
      <c r="C7777" s="5" t="str">
        <f>IFERROR(__xludf.DUMMYFUNCTION("GOOGLETRANSLATE(A7777,""en"",""hy"")"),"Քանի՞ լար ունի ստանդարտ կիթառը:")</f>
        <v>Քանի՞ լար ունի ստանդարտ կիթառը:</v>
      </c>
      <c r="D7777" s="6" t="str">
        <f>IFERROR(__xludf.DUMMYFUNCTION("GOOGLETRANSLATE(B7777,""en"",""hy"")"),"Ստանդարտ կիթառը ունի 6 լար:")</f>
        <v>Ստանդարտ կիթառը ունի 6 լար:</v>
      </c>
    </row>
    <row r="7778">
      <c r="A7778" s="5" t="s">
        <v>9623</v>
      </c>
      <c r="B7778" s="5" t="s">
        <v>7867</v>
      </c>
      <c r="C7778" s="5" t="str">
        <f>IFERROR(__xludf.DUMMYFUNCTION("GOOGLETRANSLATE(A7778,""en"",""hy"")"),"Ո՞վ է գրել «Հոբիթ» վեպը:")</f>
        <v>Ո՞վ է գրել «Հոբիթ» վեպը:</v>
      </c>
      <c r="D7778" s="6" t="str">
        <f>IFERROR(__xludf.DUMMYFUNCTION("GOOGLETRANSLATE(B7778,""en"",""hy"")"),"Ջ.Ռ.Ռ. Թոլքինը։")</f>
        <v>Ջ.Ռ.Ռ. Թոլքինը։</v>
      </c>
    </row>
    <row r="7779">
      <c r="A7779" s="5" t="s">
        <v>9624</v>
      </c>
      <c r="B7779" s="5" t="s">
        <v>6334</v>
      </c>
      <c r="C7779" s="5" t="str">
        <f>IFERROR(__xludf.DUMMYFUNCTION("GOOGLETRANSLATE(A7779,""en"",""hy"")"),"Ո՞ր երկրում է գտնվում հնագույն Հռոմը:")</f>
        <v>Ո՞ր երկրում է գտնվում հնագույն Հռոմը:</v>
      </c>
      <c r="D7779" s="6" t="str">
        <f>IFERROR(__xludf.DUMMYFUNCTION("GOOGLETRANSLATE(B7779,""en"",""hy"")"),"Իտալիա.")</f>
        <v>Իտալիա.</v>
      </c>
    </row>
    <row r="7780">
      <c r="A7780" s="5" t="s">
        <v>7604</v>
      </c>
      <c r="B7780" s="5" t="s">
        <v>7855</v>
      </c>
      <c r="C7780" s="5" t="str">
        <f>IFERROR(__xludf.DUMMYFUNCTION("GOOGLETRANSLATE(A7780,""en"",""hy"")"),"Ո՞րն է ածխաթթու գազի քիմիական բանաձևը:")</f>
        <v>Ո՞րն է ածխաթթու գազի քիմիական բանաձևը:</v>
      </c>
      <c r="D7780" s="6" t="str">
        <f>IFERROR(__xludf.DUMMYFUNCTION("GOOGLETRANSLATE(B7780,""en"",""hy"")"),"Ածխածնի երկօքսիդի քիմիական բանաձևը CO2 է:")</f>
        <v>Ածխածնի երկօքսիդի քիմիական բանաձևը CO2 է:</v>
      </c>
    </row>
    <row r="7781">
      <c r="A7781" s="5" t="s">
        <v>7450</v>
      </c>
      <c r="B7781" s="5" t="s">
        <v>9096</v>
      </c>
      <c r="C7781" s="5" t="str">
        <f>IFERROR(__xludf.DUMMYFUNCTION("GOOGLETRANSLATE(A7781,""en"",""hy"")"),"Ո՞րն է Ավստրալիայի մայրաքաղաքը:")</f>
        <v>Ո՞րն է Ավստրալիայի մայրաքաղաքը:</v>
      </c>
      <c r="D7781" s="6" t="str">
        <f>IFERROR(__xludf.DUMMYFUNCTION("GOOGLETRANSLATE(B7781,""en"",""hy"")"),"Կանբերա")</f>
        <v>Կանբերա</v>
      </c>
    </row>
    <row r="7782">
      <c r="A7782" s="5" t="s">
        <v>7447</v>
      </c>
      <c r="B7782" s="5" t="s">
        <v>7448</v>
      </c>
      <c r="C7782" s="5" t="str">
        <f>IFERROR(__xludf.DUMMYFUNCTION("GOOGLETRANSLATE(A7782,""en"",""hy"")"),"Ո՞վ է նկարել Մոնա Լիզան:")</f>
        <v>Ո՞վ է նկարել Մոնա Լիզան:</v>
      </c>
      <c r="D7782" s="6" t="str">
        <f>IFERROR(__xludf.DUMMYFUNCTION("GOOGLETRANSLATE(B7782,""en"",""hy"")"),"Լեոնարդո դա Վինչի.")</f>
        <v>Լեոնարդո դա Վինչի.</v>
      </c>
    </row>
    <row r="7783">
      <c r="A7783" s="5" t="s">
        <v>7465</v>
      </c>
      <c r="B7783" s="5" t="s">
        <v>7630</v>
      </c>
      <c r="C7783" s="5" t="str">
        <f>IFERROR(__xludf.DUMMYFUNCTION("GOOGLETRANSLATE(A7783,""en"",""hy"")"),"Ո՞վ է գրել «Հպարտություն և նախապաշարմունք» վեպը:")</f>
        <v>Ո՞վ է գրել «Հպարտություն և նախապաշարմունք» վեպը:</v>
      </c>
      <c r="D7783" s="6" t="str">
        <f>IFERROR(__xludf.DUMMYFUNCTION("GOOGLETRANSLATE(B7783,""en"",""hy"")"),"Ջեյն Օսթին.")</f>
        <v>Ջեյն Օսթին.</v>
      </c>
    </row>
    <row r="7784">
      <c r="A7784" s="5" t="s">
        <v>8440</v>
      </c>
      <c r="B7784" s="5" t="s">
        <v>8111</v>
      </c>
      <c r="C7784" s="5" t="str">
        <f>IFERROR(__xludf.DUMMYFUNCTION("GOOGLETRANSLATE(A7784,""en"",""hy"")"),"Քանի՞ խաղացող կա ֆուտբոլային թիմում:")</f>
        <v>Քանի՞ խաղացող կա ֆուտբոլային թիմում:</v>
      </c>
      <c r="D7784" s="6" t="str">
        <f>IFERROR(__xludf.DUMMYFUNCTION("GOOGLETRANSLATE(B7784,""en"",""hy"")"),"Ֆուտբոլային թիմում կա 11 խաղացող։")</f>
        <v>Ֆուտբոլային թիմում կա 11 խաղացող։</v>
      </c>
    </row>
    <row r="7785">
      <c r="A7785" s="5" t="s">
        <v>7528</v>
      </c>
      <c r="B7785" s="5" t="s">
        <v>7529</v>
      </c>
      <c r="C7785" s="5" t="str">
        <f>IFERROR(__xludf.DUMMYFUNCTION("GOOGLETRANSLATE(A7785,""en"",""hy"")"),"Ո՞վ է Գերմանիայի ներկայիս կանցլերը:")</f>
        <v>Ո՞վ է Գերմանիայի ներկայիս կանցլերը:</v>
      </c>
      <c r="D7785" s="6" t="str">
        <f>IFERROR(__xludf.DUMMYFUNCTION("GOOGLETRANSLATE(B7785,""en"",""hy"")"),"Անգելա Մերկել.")</f>
        <v>Անգելա Մերկել.</v>
      </c>
    </row>
    <row r="7786">
      <c r="A7786" s="5" t="s">
        <v>7632</v>
      </c>
      <c r="B7786" s="5" t="s">
        <v>7633</v>
      </c>
      <c r="C7786" s="5" t="str">
        <f>IFERROR(__xludf.DUMMYFUNCTION("GOOGLETRANSLATE(A7786,""en"",""hy"")"),"Ո՞րն է մեր արեգակնային համակարգի ամենամեծ մոլորակը:")</f>
        <v>Ո՞րն է մեր արեգակնային համակարգի ամենամեծ մոլորակը:</v>
      </c>
      <c r="D7786" s="6" t="str">
        <f>IFERROR(__xludf.DUMMYFUNCTION("GOOGLETRANSLATE(B7786,""en"",""hy"")"),"Յուպիտեր.")</f>
        <v>Յուպիտեր.</v>
      </c>
    </row>
    <row r="7787">
      <c r="A7787" s="5" t="s">
        <v>8078</v>
      </c>
      <c r="B7787" s="5" t="s">
        <v>7478</v>
      </c>
      <c r="C7787" s="5" t="str">
        <f>IFERROR(__xludf.DUMMYFUNCTION("GOOGLETRANSLATE(A7787,""en"",""hy"")"),"Ո՞ր երկիրն է հայտնի որպես Ծագող Արևի երկիր:")</f>
        <v>Ո՞ր երկիրն է հայտնի որպես Ծագող Արևի երկիր:</v>
      </c>
      <c r="D7787" s="6" t="str">
        <f>IFERROR(__xludf.DUMMYFUNCTION("GOOGLETRANSLATE(B7787,""en"",""hy"")"),"Ճապոնիա.")</f>
        <v>Ճապոնիա.</v>
      </c>
    </row>
    <row r="7788">
      <c r="A7788" s="5" t="s">
        <v>7915</v>
      </c>
      <c r="B7788" s="5" t="s">
        <v>7916</v>
      </c>
      <c r="C7788" s="5" t="str">
        <f>IFERROR(__xludf.DUMMYFUNCTION("GOOGLETRANSLATE(A7788,""en"",""hy"")"),"Քանի՞ ոսկոր կա մարդու մարմնում:")</f>
        <v>Քանի՞ ոսկոր կա մարդու մարմնում:</v>
      </c>
      <c r="D7788" s="6" t="str">
        <f>IFERROR(__xludf.DUMMYFUNCTION("GOOGLETRANSLATE(B7788,""en"",""hy"")"),"Մարդու մարմնում կա 206 ոսկոր։")</f>
        <v>Մարդու մարմնում կա 206 ոսկոր։</v>
      </c>
    </row>
    <row r="7789">
      <c r="A7789" s="5" t="s">
        <v>7534</v>
      </c>
      <c r="B7789" s="5" t="s">
        <v>7535</v>
      </c>
      <c r="C7789" s="5" t="str">
        <f>IFERROR(__xludf.DUMMYFUNCTION("GOOGLETRANSLATE(A7789,""en"",""hy"")"),"Ո՞վ է հորինել հեռախոսը:")</f>
        <v>Ո՞վ է հորինել հեռախոսը:</v>
      </c>
      <c r="D7789" s="6" t="str">
        <f>IFERROR(__xludf.DUMMYFUNCTION("GOOGLETRANSLATE(B7789,""en"",""hy"")"),"Ալեքսանդր Գրեհեմ Բել.")</f>
        <v>Ալեքսանդր Գրեհեմ Բել.</v>
      </c>
    </row>
    <row r="7790">
      <c r="A7790" s="5" t="s">
        <v>7452</v>
      </c>
      <c r="B7790" s="5" t="s">
        <v>7453</v>
      </c>
      <c r="C7790" s="5" t="str">
        <f>IFERROR(__xludf.DUMMYFUNCTION("GOOGLETRANSLATE(A7790,""en"",""hy"")"),"Ո՞րն է ոսկու քիմիական նշանը:")</f>
        <v>Ո՞րն է ոսկու քիմիական նշանը:</v>
      </c>
      <c r="D7790" s="6" t="str">
        <f>IFERROR(__xludf.DUMMYFUNCTION("GOOGLETRANSLATE(B7790,""en"",""hy"")"),"Ոսկու քիմիական նշանը Au-ն է:")</f>
        <v>Ոսկու քիմիական նշանը Au-ն է:</v>
      </c>
    </row>
    <row r="7791">
      <c r="A7791" s="5" t="s">
        <v>9625</v>
      </c>
      <c r="B7791" s="5" t="s">
        <v>8249</v>
      </c>
      <c r="C7791" s="5" t="str">
        <f>IFERROR(__xludf.DUMMYFUNCTION("GOOGLETRANSLATE(A7791,""en"",""hy"")"),"Ո՞ր երկրում կգտնեք Գիզայի մեծ բուրգը:")</f>
        <v>Ո՞ր երկրում կգտնեք Գիզայի մեծ բուրգը:</v>
      </c>
      <c r="D7791" s="6" t="str">
        <f>IFERROR(__xludf.DUMMYFUNCTION("GOOGLETRANSLATE(B7791,""en"",""hy"")"),"Եգիպտոս")</f>
        <v>Եգիպտոս</v>
      </c>
    </row>
    <row r="7792">
      <c r="A7792" s="5" t="s">
        <v>8893</v>
      </c>
      <c r="B7792" s="5" t="s">
        <v>8122</v>
      </c>
      <c r="C7792" s="5" t="str">
        <f>IFERROR(__xludf.DUMMYFUNCTION("GOOGLETRANSLATE(A7792,""en"",""hy"")"),"Քանի՞ աստղ կա ամերիկյան դրոշի վրա:")</f>
        <v>Քանի՞ աստղ կա ամերիկյան դրոշի վրա:</v>
      </c>
      <c r="D7792" s="6" t="str">
        <f>IFERROR(__xludf.DUMMYFUNCTION("GOOGLETRANSLATE(B7792,""en"",""hy"")"),"Ամերիկյան դրոշի վրա 50 աստղ կա։")</f>
        <v>Ամերիկյան դրոշի վրա 50 աստղ կա։</v>
      </c>
    </row>
    <row r="7793">
      <c r="A7793" s="5" t="s">
        <v>7454</v>
      </c>
      <c r="B7793" s="5" t="s">
        <v>8107</v>
      </c>
      <c r="C7793" s="5" t="str">
        <f>IFERROR(__xludf.DUMMYFUNCTION("GOOGLETRANSLATE(A7793,""en"",""hy"")"),"Ո՞վ է գրել Ռոմեո և Ջուլիետ պիեսը:")</f>
        <v>Ո՞վ է գրել Ռոմեո և Ջուլիետ պիեսը:</v>
      </c>
      <c r="D7793" s="6" t="str">
        <f>IFERROR(__xludf.DUMMYFUNCTION("GOOGLETRANSLATE(B7793,""en"",""hy"")"),"Ուիլյամ Շեքսպիր")</f>
        <v>Ուիլյամ Շեքսպիր</v>
      </c>
    </row>
    <row r="7794">
      <c r="A7794" s="5" t="s">
        <v>7645</v>
      </c>
      <c r="B7794" s="5" t="s">
        <v>8336</v>
      </c>
      <c r="C7794" s="5" t="str">
        <f>IFERROR(__xludf.DUMMYFUNCTION("GOOGLETRANSLATE(A7794,""en"",""hy"")"),"Ո՞րն է Երկրի ամենամեծ օվկիանոսը:")</f>
        <v>Ո՞րն է Երկրի ամենամեծ օվկիանոսը:</v>
      </c>
      <c r="D7794" s="6" t="str">
        <f>IFERROR(__xludf.DUMMYFUNCTION("GOOGLETRANSLATE(B7794,""en"",""hy"")"),"Երկրի ամենամեծ օվկիանոսը Խաղաղ օվկիանոսն է։")</f>
        <v>Երկրի ամենամեծ օվկիանոսը Խաղաղ օվկիանոսն է։</v>
      </c>
    </row>
    <row r="7795">
      <c r="A7795" s="5" t="s">
        <v>8012</v>
      </c>
      <c r="B7795" s="5" t="s">
        <v>7446</v>
      </c>
      <c r="C7795" s="5" t="str">
        <f>IFERROR(__xludf.DUMMYFUNCTION("GOOGLETRANSLATE(A7795,""en"",""hy"")"),"Ո՞ր մոլորակն է հայտնի որպես Կարմիր մոլորակ:")</f>
        <v>Ո՞ր մոլորակն է հայտնի որպես Կարմիր մոլորակ:</v>
      </c>
      <c r="D7795" s="6" t="str">
        <f>IFERROR(__xludf.DUMMYFUNCTION("GOOGLETRANSLATE(B7795,""en"",""hy"")"),"Մարս.")</f>
        <v>Մարս.</v>
      </c>
    </row>
    <row r="7796">
      <c r="A7796" s="5" t="s">
        <v>7955</v>
      </c>
      <c r="B7796" s="5" t="s">
        <v>7956</v>
      </c>
      <c r="C7796" s="5" t="str">
        <f>IFERROR(__xludf.DUMMYFUNCTION("GOOGLETRANSLATE(A7796,""en"",""hy"")"),"Ո՞վ է հայտնաբերել գրավիտացիան:")</f>
        <v>Ո՞վ է հայտնաբերել գրավիտացիան:</v>
      </c>
      <c r="D7796" s="6" t="str">
        <f>IFERROR(__xludf.DUMMYFUNCTION("GOOGLETRANSLATE(B7796,""en"",""hy"")"),"Իսահակ Նյուտոն.")</f>
        <v>Իսահակ Նյուտոն.</v>
      </c>
    </row>
    <row r="7797">
      <c r="A7797" s="5" t="s">
        <v>8011</v>
      </c>
      <c r="B7797" s="7">
        <v>1945.0</v>
      </c>
      <c r="C7797" s="5" t="str">
        <f>IFERROR(__xludf.DUMMYFUNCTION("GOOGLETRANSLATE(A7797,""en"",""hy"")"),"Ո՞ր թվականին ավարտվեց Երկրորդ համաշխարհային պատերազմը:")</f>
        <v>Ո՞ր թվականին ավարտվեց Երկրորդ համաշխարհային պատերազմը:</v>
      </c>
      <c r="D7797" s="6" t="str">
        <f>IFERROR(__xludf.DUMMYFUNCTION("GOOGLETRANSLATE(B7797,""en"",""hy"")"),"1945 թ")</f>
        <v>1945 թ</v>
      </c>
    </row>
    <row r="7798">
      <c r="A7798" s="5" t="s">
        <v>9626</v>
      </c>
      <c r="B7798" s="5" t="s">
        <v>9627</v>
      </c>
      <c r="C7798" s="5" t="str">
        <f>IFERROR(__xludf.DUMMYFUNCTION("GOOGLETRANSLATE(A7798,""en"",""hy"")"),"Ո՞ր կենդանին կարող է ամենաերկար ապրել:")</f>
        <v>Ո՞ր կենդանին կարող է ամենաերկար ապրել:</v>
      </c>
      <c r="D7798" s="6" t="str">
        <f>IFERROR(__xludf.DUMMYFUNCTION("GOOGLETRANSLATE(B7798,""en"",""hy"")"),"Ամենաերկարակյաց կենդանին աղեղնավոր կետն է, որը կարող է ապրել ավելի քան 200 տարի:")</f>
        <v>Ամենաերկարակյաց կենդանին աղեղնավոր կետն է, որը կարող է ապրել ավելի քան 200 տարի:</v>
      </c>
    </row>
    <row r="7799">
      <c r="A7799" s="5" t="s">
        <v>7722</v>
      </c>
      <c r="B7799" s="5" t="s">
        <v>7723</v>
      </c>
      <c r="C7799" s="5" t="str">
        <f>IFERROR(__xludf.DUMMYFUNCTION("GOOGLETRANSLATE(A7799,""en"",""hy"")"),"Ո՞րն է Աֆրիկայի ամենաբարձր լեռը:")</f>
        <v>Ո՞րն է Աֆրիկայի ամենաբարձր լեռը:</v>
      </c>
      <c r="D7799" s="6" t="str">
        <f>IFERROR(__xludf.DUMMYFUNCTION("GOOGLETRANSLATE(B7799,""en"",""hy"")"),"Կիլիմանջարո լեռ.")</f>
        <v>Կիլիմանջարո լեռ.</v>
      </c>
    </row>
    <row r="7800">
      <c r="A7800" s="5" t="s">
        <v>8198</v>
      </c>
      <c r="B7800" s="5" t="s">
        <v>8199</v>
      </c>
      <c r="C7800" s="5" t="str">
        <f>IFERROR(__xludf.DUMMYFUNCTION("GOOGLETRANSLATE(A7800,""en"",""hy"")"),"Ո՞րն է Չինաստանի ազգային կենդանին:")</f>
        <v>Ո՞րն է Չինաստանի ազգային կենդանին:</v>
      </c>
      <c r="D7800" s="6" t="str">
        <f>IFERROR(__xludf.DUMMYFUNCTION("GOOGLETRANSLATE(B7800,""en"",""hy"")"),"Չինաստանի ազգային կենդանին հսկա պանդան է։")</f>
        <v>Չինաստանի ազգային կենդանին հսկա պանդան է։</v>
      </c>
    </row>
    <row r="7801">
      <c r="A7801" s="5" t="s">
        <v>7502</v>
      </c>
      <c r="B7801" s="5" t="s">
        <v>7503</v>
      </c>
      <c r="C7801" s="5" t="str">
        <f>IFERROR(__xludf.DUMMYFUNCTION("GOOGLETRANSLATE(A7801,""en"",""hy"")"),"Քանի՞ կողմ ունի վեցանկյունը:")</f>
        <v>Քանի՞ կողմ ունի վեցանկյունը:</v>
      </c>
      <c r="D7801" s="6" t="str">
        <f>IFERROR(__xludf.DUMMYFUNCTION("GOOGLETRANSLATE(B7801,""en"",""hy"")"),"Վեցանկյունն ունի վեց կողմ:")</f>
        <v>Վեցանկյունն ունի վեց կողմ:</v>
      </c>
    </row>
    <row r="7802">
      <c r="A7802" s="5" t="s">
        <v>7473</v>
      </c>
      <c r="B7802" s="5" t="s">
        <v>9628</v>
      </c>
      <c r="C7802" s="5" t="str">
        <f>IFERROR(__xludf.DUMMYFUNCTION("GOOGLETRANSLATE(A7802,""en"",""hy"")"),"Ո՞վ է նկարել Սիքստինյան կապելլայի առաստաղը:")</f>
        <v>Ո՞վ է նկարել Սիքստինյան կապելլայի առաստաղը:</v>
      </c>
      <c r="D7802" s="6" t="str">
        <f>IFERROR(__xludf.DUMMYFUNCTION("GOOGLETRANSLATE(B7802,""en"",""hy"")"),"Միքելանջելոն նկարել է Սիքստինյան կապելլայի առաստաղը։")</f>
        <v>Միքելանջելոն նկարել է Սիքստինյան կապելլայի առաստաղը։</v>
      </c>
    </row>
    <row r="7803">
      <c r="A7803" s="5" t="s">
        <v>9629</v>
      </c>
      <c r="B7803" s="7">
        <v>1776.0</v>
      </c>
      <c r="C7803" s="5" t="str">
        <f>IFERROR(__xludf.DUMMYFUNCTION("GOOGLETRANSLATE(A7803,""en"",""hy"")"),"Ո՞ր տարին է Միացյալ Նահանգները հռչակել անկախությունը Մեծ Բրիտանիայից։")</f>
        <v>Ո՞ր տարին է Միացյալ Նահանգները հռչակել անկախությունը Մեծ Բրիտանիայից։</v>
      </c>
      <c r="D7803" s="6" t="str">
        <f>IFERROR(__xludf.DUMMYFUNCTION("GOOGLETRANSLATE(B7803,""en"",""hy"")"),"1776 թ")</f>
        <v>1776 թ</v>
      </c>
    </row>
    <row r="7804">
      <c r="A7804" s="5" t="s">
        <v>7592</v>
      </c>
      <c r="B7804" s="5" t="s">
        <v>7593</v>
      </c>
      <c r="C7804" s="5" t="str">
        <f>IFERROR(__xludf.DUMMYFUNCTION("GOOGLETRANSLATE(A7804,""en"",""hy"")"),"Ո՞րն է թթվածնի քիմիական նշանը:")</f>
        <v>Ո՞րն է թթվածնի քիմիական նշանը:</v>
      </c>
      <c r="D7804" s="6" t="str">
        <f>IFERROR(__xludf.DUMMYFUNCTION("GOOGLETRANSLATE(B7804,""en"",""hy"")"),"Թթվածնի քիմիական նշանը O է:")</f>
        <v>Թթվածնի քիմիական նշանը O է:</v>
      </c>
    </row>
    <row r="7805">
      <c r="A7805" s="5" t="s">
        <v>8020</v>
      </c>
      <c r="B7805" s="5" t="s">
        <v>7961</v>
      </c>
      <c r="C7805" s="5" t="str">
        <f>IFERROR(__xludf.DUMMYFUNCTION("GOOGLETRANSLATE(A7805,""en"",""hy"")"),"Ո՞ր թվականին է խորտակվել Տիտանիկը:")</f>
        <v>Ո՞ր թվականին է խորտակվել Տիտանիկը:</v>
      </c>
      <c r="D7805" s="6" t="str">
        <f>IFERROR(__xludf.DUMMYFUNCTION("GOOGLETRANSLATE(B7805,""en"",""hy"")"),"Տիտանիկը խորտակվել է 1912 թվականին։")</f>
        <v>Տիտանիկը խորտակվել է 1912 թվականին։</v>
      </c>
    </row>
    <row r="7806">
      <c r="A7806" s="5" t="s">
        <v>7566</v>
      </c>
      <c r="B7806" s="5" t="s">
        <v>7934</v>
      </c>
      <c r="C7806" s="5" t="str">
        <f>IFERROR(__xludf.DUMMYFUNCTION("GOOGLETRANSLATE(A7806,""en"",""hy"")"),"Ո՞վ է Կանադայի ներկայիս վարչապետը:")</f>
        <v>Ո՞վ է Կանադայի ներկայիս վարչապետը:</v>
      </c>
      <c r="D7806" s="6" t="str">
        <f>IFERROR(__xludf.DUMMYFUNCTION("GOOGLETRANSLATE(B7806,""en"",""hy"")"),"Ջասթին Թրյուդո.")</f>
        <v>Ջասթին Թրյուդո.</v>
      </c>
    </row>
    <row r="7807">
      <c r="A7807" s="5" t="s">
        <v>7845</v>
      </c>
      <c r="B7807" s="5" t="s">
        <v>3533</v>
      </c>
      <c r="C7807" s="5" t="str">
        <f>IFERROR(__xludf.DUMMYFUNCTION("GOOGLETRANSLATE(A7807,""en"",""hy"")"),"Ո՞րն է Բրազիլիայի պաշտոնական լեզուն:")</f>
        <v>Ո՞րն է Բրազիլիայի պաշտոնական լեզուն:</v>
      </c>
      <c r="D7807" s="6" t="str">
        <f>IFERROR(__xludf.DUMMYFUNCTION("GOOGLETRANSLATE(B7807,""en"",""hy"")"),"Բրազիլիայի պաշտոնական լեզուն պորտուգալերենն է։")</f>
        <v>Բրազիլիայի պաշտոնական լեզուն պորտուգալերենն է։</v>
      </c>
    </row>
    <row r="7808">
      <c r="A7808" s="5" t="s">
        <v>7575</v>
      </c>
      <c r="B7808" s="5" t="s">
        <v>7576</v>
      </c>
      <c r="C7808" s="5" t="str">
        <f>IFERROR(__xludf.DUMMYFUNCTION("GOOGLETRANSLATE(A7808,""en"",""hy"")"),"Քանի՞ գույն կա ծիածանի մեջ:")</f>
        <v>Քանի՞ գույն կա ծիածանի մեջ:</v>
      </c>
      <c r="D7808" s="6" t="str">
        <f>IFERROR(__xludf.DUMMYFUNCTION("GOOGLETRANSLATE(B7808,""en"",""hy"")"),"Ծիածանի մեջ յոթ գույն կա:")</f>
        <v>Ծիածանի մեջ յոթ գույն կա:</v>
      </c>
    </row>
    <row r="7809">
      <c r="A7809" s="5" t="s">
        <v>7773</v>
      </c>
      <c r="B7809" s="5" t="s">
        <v>7941</v>
      </c>
      <c r="C7809" s="5" t="str">
        <f>IFERROR(__xludf.DUMMYFUNCTION("GOOGLETRANSLATE(A7809,""en"",""hy"")"),"Ո՞վ է հայտնաբերել պենիցիլինը:")</f>
        <v>Ո՞վ է հայտնաբերել պենիցիլինը:</v>
      </c>
      <c r="D7809" s="6" t="str">
        <f>IFERROR(__xludf.DUMMYFUNCTION("GOOGLETRANSLATE(B7809,""en"",""hy"")"),"Ալեքսանդր Ֆլեմինգ")</f>
        <v>Ալեքսանդր Ֆլեմինգ</v>
      </c>
    </row>
    <row r="7810">
      <c r="A7810" s="5" t="s">
        <v>7461</v>
      </c>
      <c r="B7810" s="5" t="s">
        <v>7462</v>
      </c>
      <c r="C7810" s="5" t="str">
        <f>IFERROR(__xludf.DUMMYFUNCTION("GOOGLETRANSLATE(A7810,""en"",""hy"")"),"Ո՞րն է մարդու մարմնի ամենամեծ օրգանը:")</f>
        <v>Ո՞րն է մարդու մարմնի ամենամեծ օրգանը:</v>
      </c>
      <c r="D7810" s="6" t="str">
        <f>IFERROR(__xludf.DUMMYFUNCTION("GOOGLETRANSLATE(B7810,""en"",""hy"")"),"Մաշկը.")</f>
        <v>Մաշկը.</v>
      </c>
    </row>
    <row r="7811">
      <c r="A7811" s="5" t="s">
        <v>9630</v>
      </c>
      <c r="B7811" s="5" t="s">
        <v>8763</v>
      </c>
      <c r="C7811" s="5" t="str">
        <f>IFERROR(__xludf.DUMMYFUNCTION("GOOGLETRANSLATE(A7811,""en"",""hy"")"),"Ո՞ր կենդանին է հայտնի իր քողարկման ունակությամբ:")</f>
        <v>Ո՞ր կենդանին է հայտնի իր քողարկման ունակությամբ:</v>
      </c>
      <c r="D7811" s="6" t="str">
        <f>IFERROR(__xludf.DUMMYFUNCTION("GOOGLETRANSLATE(B7811,""en"",""hy"")"),"Քամելեոնը.")</f>
        <v>Քամելեոնը.</v>
      </c>
    </row>
    <row r="7812">
      <c r="A7812" s="5" t="s">
        <v>9631</v>
      </c>
      <c r="B7812" s="5" t="s">
        <v>3076</v>
      </c>
      <c r="C7812" s="5" t="str">
        <f>IFERROR(__xludf.DUMMYFUNCTION("GOOGLETRANSLATE(A7812,""en"",""hy"")"),"Քանի՞ երկիր կա Աֆրիկայում:")</f>
        <v>Քանի՞ երկիր կա Աֆրիկայում:</v>
      </c>
      <c r="D7812" s="6" t="str">
        <f>IFERROR(__xludf.DUMMYFUNCTION("GOOGLETRANSLATE(B7812,""en"",""hy"")"),"Աֆրիկայում կա 54 երկիր։")</f>
        <v>Աֆրիկայում կա 54 երկիր։</v>
      </c>
    </row>
    <row r="7813">
      <c r="A7813" s="5" t="s">
        <v>8399</v>
      </c>
      <c r="B7813" s="5" t="s">
        <v>7541</v>
      </c>
      <c r="C7813" s="5" t="str">
        <f>IFERROR(__xludf.DUMMYFUNCTION("GOOGLETRANSLATE(A7813,""en"",""hy"")"),"Ո՞վ է գրել «Սպանել ծաղրող թռչունին» գիրքը:")</f>
        <v>Ո՞վ է գրել «Սպանել ծաղրող թռչունին» գիրքը:</v>
      </c>
      <c r="D7813" s="6" t="str">
        <f>IFERROR(__xludf.DUMMYFUNCTION("GOOGLETRANSLATE(B7813,""en"",""hy"")"),"Հարփեր Լի.")</f>
        <v>Հարփեր Լի.</v>
      </c>
    </row>
    <row r="7814">
      <c r="A7814" s="5" t="s">
        <v>7463</v>
      </c>
      <c r="B7814" s="5" t="s">
        <v>7464</v>
      </c>
      <c r="C7814" s="5" t="str">
        <f>IFERROR(__xludf.DUMMYFUNCTION("GOOGLETRANSLATE(A7814,""en"",""hy"")"),"Ո՞րն է աշխարհի ամենաբարձր լեռը:")</f>
        <v>Ո՞րն է աշխարհի ամենաբարձր լեռը:</v>
      </c>
      <c r="D7814" s="6" t="str">
        <f>IFERROR(__xludf.DUMMYFUNCTION("GOOGLETRANSLATE(B7814,""en"",""hy"")"),"Էվերեստ լեռ.")</f>
        <v>Էվերեստ լեռ.</v>
      </c>
    </row>
    <row r="7815">
      <c r="A7815" s="5" t="s">
        <v>9632</v>
      </c>
      <c r="B7815" s="5" t="s">
        <v>9023</v>
      </c>
      <c r="C7815" s="5" t="str">
        <f>IFERROR(__xludf.DUMMYFUNCTION("GOOGLETRANSLATE(A7815,""en"",""hy"")"),"Ո՞ր քաղաքն է հայտնի որպես Մեծ խնձոր:")</f>
        <v>Ո՞ր քաղաքն է հայտնի որպես Մեծ խնձոր:</v>
      </c>
      <c r="D7815" s="6" t="str">
        <f>IFERROR(__xludf.DUMMYFUNCTION("GOOGLETRANSLATE(B7815,""en"",""hy"")"),"Նյու Յորք քաղաք")</f>
        <v>Նյու Յորք քաղաք</v>
      </c>
    </row>
    <row r="7816">
      <c r="A7816" s="5" t="s">
        <v>7854</v>
      </c>
      <c r="B7816" s="5" t="s">
        <v>7458</v>
      </c>
      <c r="C7816" s="5" t="str">
        <f>IFERROR(__xludf.DUMMYFUNCTION("GOOGLETRANSLATE(A7816,""en"",""hy"")"),"Ո՞վ էր Միացյալ Նահանգների առաջին նախագահը:")</f>
        <v>Ո՞վ էր Միացյալ Նահանգների առաջին նախագահը:</v>
      </c>
      <c r="D7816" s="6" t="str">
        <f>IFERROR(__xludf.DUMMYFUNCTION("GOOGLETRANSLATE(B7816,""en"",""hy"")"),"Ջորջ Վաշինգտոն.")</f>
        <v>Ջորջ Վաշինգտոն.</v>
      </c>
    </row>
    <row r="7817">
      <c r="A7817" s="5" t="s">
        <v>7509</v>
      </c>
      <c r="B7817" s="5" t="s">
        <v>7510</v>
      </c>
      <c r="C7817" s="5" t="str">
        <f>IFERROR(__xludf.DUMMYFUNCTION("GOOGLETRANSLATE(A7817,""en"",""hy"")"),"Ո՞րն է արծաթի քիմիական նշանը:")</f>
        <v>Ո՞րն է արծաթի քիմիական նշանը:</v>
      </c>
      <c r="D7817" s="6" t="str">
        <f>IFERROR(__xludf.DUMMYFUNCTION("GOOGLETRANSLATE(B7817,""en"",""hy"")"),"Ագ")</f>
        <v>Ագ</v>
      </c>
    </row>
    <row r="7818">
      <c r="A7818" s="5" t="s">
        <v>9633</v>
      </c>
      <c r="B7818" s="5" t="s">
        <v>7972</v>
      </c>
      <c r="C7818" s="5" t="str">
        <f>IFERROR(__xludf.DUMMYFUNCTION("GOOGLETRANSLATE(A7818,""en"",""hy"")"),"Ո՞ր երկրում կգտնեք Էյֆելյան աշտարակը:")</f>
        <v>Ո՞ր երկրում կգտնեք Էյֆելյան աշտարակը:</v>
      </c>
      <c r="D7818" s="6" t="str">
        <f>IFERROR(__xludf.DUMMYFUNCTION("GOOGLETRANSLATE(B7818,""en"",""hy"")"),"Ֆրանսիա.")</f>
        <v>Ֆրանսիա.</v>
      </c>
    </row>
    <row r="7819">
      <c r="A7819" s="5" t="s">
        <v>8129</v>
      </c>
      <c r="B7819" s="5" t="s">
        <v>8130</v>
      </c>
      <c r="C7819" s="5" t="str">
        <f>IFERROR(__xludf.DUMMYFUNCTION("GOOGLETRANSLATE(A7819,""en"",""hy"")"),"Քանի՞ ժամային գոտի կա աշխարհում:")</f>
        <v>Քանի՞ ժամային գոտի կա աշխարհում:</v>
      </c>
      <c r="D7819" s="6" t="str">
        <f>IFERROR(__xludf.DUMMYFUNCTION("GOOGLETRANSLATE(B7819,""en"",""hy"")"),"Աշխարհում կա 24 ժամային գոտի:")</f>
        <v>Աշխարհում կա 24 ժամային գոտի:</v>
      </c>
    </row>
    <row r="7820">
      <c r="A7820" s="5" t="s">
        <v>7782</v>
      </c>
      <c r="B7820" s="5" t="s">
        <v>9634</v>
      </c>
      <c r="C7820" s="5" t="str">
        <f>IFERROR(__xludf.DUMMYFUNCTION("GOOGLETRANSLATE(A7820,""en"",""hy"")"),"Ո՞րն է աշխարհի ամենամեծ անապատը:")</f>
        <v>Ո՞րն է աշխարհի ամենամեծ անապատը:</v>
      </c>
      <c r="D7820" s="6" t="str">
        <f>IFERROR(__xludf.DUMMYFUNCTION("GOOGLETRANSLATE(B7820,""en"",""hy"")"),"Աշխարհի ամենամեծ անապատը Անտարկտիդայի անապատն է:")</f>
        <v>Աշխարհի ամենամեծ անապատը Անտարկտիդայի անապատն է:</v>
      </c>
    </row>
    <row r="7821">
      <c r="A7821" s="5" t="s">
        <v>7443</v>
      </c>
      <c r="B7821" s="5" t="s">
        <v>7444</v>
      </c>
      <c r="C7821" s="5" t="str">
        <f>IFERROR(__xludf.DUMMYFUNCTION("GOOGLETRANSLATE(A7821,""en"",""hy"")"),"Ո՞վ է գրել «1984» վեպը։")</f>
        <v>Ո՞վ է գրել «1984» վեպը։</v>
      </c>
      <c r="D7821" s="6" t="str">
        <f>IFERROR(__xludf.DUMMYFUNCTION("GOOGLETRANSLATE(B7821,""en"",""hy"")"),"Ջորջ Օրուել.")</f>
        <v>Ջորջ Օրուել.</v>
      </c>
    </row>
    <row r="7822">
      <c r="A7822" s="5" t="s">
        <v>7672</v>
      </c>
      <c r="B7822" s="5" t="s">
        <v>9635</v>
      </c>
      <c r="C7822" s="5" t="str">
        <f>IFERROR(__xludf.DUMMYFUNCTION("GOOGLETRANSLATE(A7822,""en"",""hy"")"),"Ո՞րն է Հարավային Ամերիկայի ամենամեծ երկիրը:")</f>
        <v>Ո՞րն է Հարավային Ամերիկայի ամենամեծ երկիրը:</v>
      </c>
      <c r="D7822" s="6" t="str">
        <f>IFERROR(__xludf.DUMMYFUNCTION("GOOGLETRANSLATE(B7822,""en"",""hy"")"),"Բրազիլիա")</f>
        <v>Բրազիլիա</v>
      </c>
    </row>
    <row r="7823">
      <c r="A7823" s="5" t="s">
        <v>7939</v>
      </c>
      <c r="B7823" s="5" t="s">
        <v>7940</v>
      </c>
      <c r="C7823" s="5" t="str">
        <f>IFERROR(__xludf.DUMMYFUNCTION("GOOGLETRANSLATE(A7823,""en"",""hy"")"),"Քանի՞ մայրցամաք կա աշխարհում:")</f>
        <v>Քանի՞ մայրցամաք կա աշխարհում:</v>
      </c>
      <c r="D7823" s="6" t="str">
        <f>IFERROR(__xludf.DUMMYFUNCTION("GOOGLETRANSLATE(B7823,""en"",""hy"")"),"Աշխարհում կան յոթ մայրցամաքներ։")</f>
        <v>Աշխարհում կան յոթ մայրցամաքներ։</v>
      </c>
    </row>
    <row r="7824">
      <c r="A7824" s="5" t="s">
        <v>9636</v>
      </c>
      <c r="B7824" s="5" t="s">
        <v>8776</v>
      </c>
      <c r="C7824" s="5" t="str">
        <f>IFERROR(__xludf.DUMMYFUNCTION("GOOGLETRANSLATE(A7824,""en"",""hy"")"),"Ո՞վ էր հունական պատերազմի աստվածը:")</f>
        <v>Ո՞վ էր հունական պատերազմի աստվածը:</v>
      </c>
      <c r="D7824" s="6" t="str">
        <f>IFERROR(__xludf.DUMMYFUNCTION("GOOGLETRANSLATE(B7824,""en"",""hy"")"),"Արես")</f>
        <v>Արես</v>
      </c>
    </row>
    <row r="7825">
      <c r="A7825" s="5" t="s">
        <v>8314</v>
      </c>
      <c r="B7825" s="5" t="s">
        <v>8315</v>
      </c>
      <c r="C7825" s="5" t="str">
        <f>IFERROR(__xludf.DUMMYFUNCTION("GOOGLETRANSLATE(A7825,""en"",""hy"")"),"Ո՞ր տարում ավարտվեց Սառը պատերազմը:")</f>
        <v>Ո՞ր տարում ավարտվեց Սառը պատերազմը:</v>
      </c>
      <c r="D7825" s="6" t="str">
        <f>IFERROR(__xludf.DUMMYFUNCTION("GOOGLETRANSLATE(B7825,""en"",""hy"")"),"Սառը պատերազմն ավարտվեց 1991թ.")</f>
        <v>Սառը պատերազմն ավարտվեց 1991թ.</v>
      </c>
    </row>
    <row r="7826">
      <c r="A7826" s="5" t="s">
        <v>8262</v>
      </c>
      <c r="B7826" s="5" t="s">
        <v>8837</v>
      </c>
      <c r="C7826" s="5" t="str">
        <f>IFERROR(__xludf.DUMMYFUNCTION("GOOGLETRANSLATE(A7826,""en"",""hy"")"),"Ո՞րն է Ճապոնիայի պաշտոնական լեզուն:")</f>
        <v>Ո՞րն է Ճապոնիայի պաշտոնական լեզուն:</v>
      </c>
      <c r="D7826" s="6" t="str">
        <f>IFERROR(__xludf.DUMMYFUNCTION("GOOGLETRANSLATE(B7826,""en"",""hy"")"),"Ճապոնիայի պաշտոնական լեզուն ճապոներենն է։")</f>
        <v>Ճապոնիայի պաշտոնական լեզուն ճապոներենն է։</v>
      </c>
    </row>
    <row r="7827">
      <c r="A7827" s="5" t="s">
        <v>7521</v>
      </c>
      <c r="B7827" s="5" t="s">
        <v>1016</v>
      </c>
      <c r="C7827" s="5" t="str">
        <f>IFERROR(__xludf.DUMMYFUNCTION("GOOGLETRANSLATE(A7827,""en"",""hy"")"),"Ո՞վ է գրել Համլետ պիեսը:")</f>
        <v>Ո՞վ է գրել Համլետ պիեսը:</v>
      </c>
      <c r="D7827" s="6" t="str">
        <f>IFERROR(__xludf.DUMMYFUNCTION("GOOGLETRANSLATE(B7827,""en"",""hy"")"),"Ուիլյամ Շեքսպիր.")</f>
        <v>Ուիլյամ Շեքսպիր.</v>
      </c>
    </row>
    <row r="7828">
      <c r="A7828" s="5" t="s">
        <v>7589</v>
      </c>
      <c r="B7828" s="5" t="s">
        <v>7545</v>
      </c>
      <c r="C7828" s="5" t="str">
        <f>IFERROR(__xludf.DUMMYFUNCTION("GOOGLETRANSLATE(A7828,""en"",""hy"")"),"Ո՞րն է Իտալիայի մայրաքաղաքը:")</f>
        <v>Ո՞րն է Իտալիայի մայրաքաղաքը:</v>
      </c>
      <c r="D7828" s="6" t="str">
        <f>IFERROR(__xludf.DUMMYFUNCTION("GOOGLETRANSLATE(B7828,""en"",""hy"")"),"Հռոմ.")</f>
        <v>Հռոմ.</v>
      </c>
    </row>
    <row r="7829">
      <c r="A7829" s="5" t="s">
        <v>9637</v>
      </c>
      <c r="B7829" s="5" t="s">
        <v>8301</v>
      </c>
      <c r="C7829" s="5" t="str">
        <f>IFERROR(__xludf.DUMMYFUNCTION("GOOGLETRANSLATE(A7829,""en"",""hy"")"),"Պարբերական աղյուսակում ո՞ր տարրի նշանն է Hg:")</f>
        <v>Պարբերական աղյուսակում ո՞ր տարրի նշանն է Hg:</v>
      </c>
      <c r="D7829" s="6" t="str">
        <f>IFERROR(__xludf.DUMMYFUNCTION("GOOGLETRANSLATE(B7829,""en"",""hy"")"),"Մերկուրի.")</f>
        <v>Մերկուրի.</v>
      </c>
    </row>
    <row r="7830">
      <c r="A7830" s="5" t="s">
        <v>7957</v>
      </c>
      <c r="B7830" s="5" t="s">
        <v>2790</v>
      </c>
      <c r="C7830" s="5" t="str">
        <f>IFERROR(__xludf.DUMMYFUNCTION("GOOGLETRANSLATE(A7830,""en"",""hy"")"),"Ո՞ր երկրում է գտնվում Մեծ պարիսպը:")</f>
        <v>Ո՞ր երկրում է գտնվում Մեծ պարիսպը:</v>
      </c>
      <c r="D7830" s="6" t="str">
        <f>IFERROR(__xludf.DUMMYFUNCTION("GOOGLETRANSLATE(B7830,""en"",""hy"")"),"Չինաստան.")</f>
        <v>Չինաստան.</v>
      </c>
    </row>
    <row r="7831">
      <c r="A7831" s="5" t="s">
        <v>7647</v>
      </c>
      <c r="B7831" s="5" t="s">
        <v>7648</v>
      </c>
      <c r="C7831" s="5" t="str">
        <f>IFERROR(__xludf.DUMMYFUNCTION("GOOGLETRANSLATE(A7831,""en"",""hy"")"),"Ո՞վ է նկարել «Աստղային գիշերը»:")</f>
        <v>Ո՞վ է նկարել «Աստղային գիշերը»:</v>
      </c>
      <c r="D7831" s="6" t="str">
        <f>IFERROR(__xludf.DUMMYFUNCTION("GOOGLETRANSLATE(B7831,""en"",""hy"")"),"Վինսենթ վան Գոգ.")</f>
        <v>Վինսենթ վան Գոգ.</v>
      </c>
    </row>
    <row r="7832">
      <c r="A7832" s="5" t="s">
        <v>8144</v>
      </c>
      <c r="B7832" s="5" t="s">
        <v>8145</v>
      </c>
      <c r="C7832" s="5" t="str">
        <f>IFERROR(__xludf.DUMMYFUNCTION("GOOGLETRANSLATE(A7832,""en"",""hy"")"),"Ո՞րն է Իսպանիայի պաշտոնական լեզուն:")</f>
        <v>Ո՞րն է Իսպանիայի պաշտոնական լեզուն:</v>
      </c>
      <c r="D7832" s="6" t="str">
        <f>IFERROR(__xludf.DUMMYFUNCTION("GOOGLETRANSLATE(B7832,""en"",""hy"")"),"Իսպանիայի պաշտոնական լեզուն իսպաներենն է։")</f>
        <v>Իսպանիայի պաշտոնական լեզուն իսպաներենն է։</v>
      </c>
    </row>
    <row r="7833">
      <c r="A7833" s="5" t="s">
        <v>8181</v>
      </c>
      <c r="B7833" s="5" t="s">
        <v>8100</v>
      </c>
      <c r="C7833" s="5" t="str">
        <f>IFERROR(__xludf.DUMMYFUNCTION("GOOGLETRANSLATE(A7833,""en"",""hy"")"),"Քանի՞ մոլորակ կա մեր արեգակնային համակարգում:")</f>
        <v>Քանի՞ մոլորակ կա մեր արեգակնային համակարգում:</v>
      </c>
      <c r="D7833" s="6" t="str">
        <f>IFERROR(__xludf.DUMMYFUNCTION("GOOGLETRANSLATE(B7833,""en"",""hy"")"),"Մեր Արեգակնային համակարգում կա ութ մոլորակ:")</f>
        <v>Մեր Արեգակնային համակարգում կա ութ մոլորակ:</v>
      </c>
    </row>
    <row r="7834">
      <c r="A7834" s="5" t="s">
        <v>7807</v>
      </c>
      <c r="B7834" s="5" t="s">
        <v>7808</v>
      </c>
      <c r="C7834" s="5" t="str">
        <f>IFERROR(__xludf.DUMMYFUNCTION("GOOGLETRANSLATE(A7834,""en"",""hy"")"),"Ո՞վ է հորինել տպագրական մեքենան:")</f>
        <v>Ո՞վ է հորինել տպագրական մեքենան:</v>
      </c>
      <c r="D7834" s="6" t="str">
        <f>IFERROR(__xludf.DUMMYFUNCTION("GOOGLETRANSLATE(B7834,""en"",""hy"")"),"Յոհաննես Գուտենբերգ.")</f>
        <v>Յոհաննես Գուտենբերգ.</v>
      </c>
    </row>
    <row r="7835">
      <c r="A7835" s="5" t="s">
        <v>7449</v>
      </c>
      <c r="B7835" s="5" t="s">
        <v>7343</v>
      </c>
      <c r="C7835" s="5" t="str">
        <f>IFERROR(__xludf.DUMMYFUNCTION("GOOGLETRANSLATE(A7835,""en"",""hy"")"),"Ո՞րն է աշխարհի ամենամեծ երկիրը ցամաքային տարածքով:")</f>
        <v>Ո՞րն է աշխարհի ամենամեծ երկիրը ցամաքային տարածքով:</v>
      </c>
      <c r="D7835" s="6" t="str">
        <f>IFERROR(__xludf.DUMMYFUNCTION("GOOGLETRANSLATE(B7835,""en"",""hy"")"),"Ռուսաստան.")</f>
        <v>Ռուսաստան.</v>
      </c>
    </row>
    <row r="7836">
      <c r="A7836" s="5" t="s">
        <v>9638</v>
      </c>
      <c r="B7836" s="5" t="s">
        <v>9639</v>
      </c>
      <c r="C7836" s="5" t="str">
        <f>IFERROR(__xludf.DUMMYFUNCTION("GOOGLETRANSLATE(A7836,""en"",""hy"")"),"Ո՞ր թվականին Միացյալ Նահանգները ձեռք բերեց կանանց ընտրական իրավունք:")</f>
        <v>Ո՞ր թվականին Միացյալ Նահանգները ձեռք բերեց կանանց ընտրական իրավունք:</v>
      </c>
      <c r="D7836" s="6" t="str">
        <f>IFERROR(__xludf.DUMMYFUNCTION("GOOGLETRANSLATE(B7836,""en"",""hy"")"),"Միացյալ Նահանգները ձեռք բերեց կանանց ընտրական իրավունքը 1920 թ.")</f>
        <v>Միացյալ Նահանգները ձեռք բերեց կանանց ընտրական իրավունքը 1920 թ.</v>
      </c>
    </row>
    <row r="7837">
      <c r="A7837" s="5" t="s">
        <v>7557</v>
      </c>
      <c r="B7837" s="5" t="s">
        <v>7857</v>
      </c>
      <c r="C7837" s="5" t="str">
        <f>IFERROR(__xludf.DUMMYFUNCTION("GOOGLETRANSLATE(A7837,""en"",""hy"")"),"Ո՞րն է երկաթի քիմիական նշանը:")</f>
        <v>Ո՞րն է երկաթի քիմիական նշանը:</v>
      </c>
      <c r="D7837" s="6" t="str">
        <f>IFERROR(__xludf.DUMMYFUNCTION("GOOGLETRANSLATE(B7837,""en"",""hy"")"),"Երկաթի քիմիական նշանը Fe է:")</f>
        <v>Երկաթի քիմիական նշանը Fe է:</v>
      </c>
    </row>
    <row r="7838">
      <c r="A7838" s="5" t="s">
        <v>7737</v>
      </c>
      <c r="B7838" s="5" t="s">
        <v>7560</v>
      </c>
      <c r="C7838" s="5" t="str">
        <f>IFERROR(__xludf.DUMMYFUNCTION("GOOGLETRANSLATE(A7838,""en"",""hy"")"),"Ո՞վ է գրել «Շորայի մեջ բռնողը» վեպը:")</f>
        <v>Ո՞վ է գրել «Շորայի մեջ բռնողը» վեպը:</v>
      </c>
      <c r="D7838" s="6" t="str">
        <f>IFERROR(__xludf.DUMMYFUNCTION("GOOGLETRANSLATE(B7838,""en"",""hy"")"),"Ջ.Դ.Սելինջեր.")</f>
        <v>Ջ.Դ.Սելինջեր.</v>
      </c>
    </row>
    <row r="7839">
      <c r="A7839" s="5" t="s">
        <v>7780</v>
      </c>
      <c r="B7839" s="5" t="s">
        <v>2951</v>
      </c>
      <c r="C7839" s="5" t="str">
        <f>IFERROR(__xludf.DUMMYFUNCTION("GOOGLETRANSLATE(A7839,""en"",""hy"")"),"Ո՞րն է Կանադայի մայրաքաղաքը:")</f>
        <v>Ո՞րն է Կանադայի մայրաքաղաքը:</v>
      </c>
      <c r="D7839" s="6" t="str">
        <f>IFERROR(__xludf.DUMMYFUNCTION("GOOGLETRANSLATE(B7839,""en"",""hy"")"),"Օտտավա.")</f>
        <v>Օտտավա.</v>
      </c>
    </row>
    <row r="7840">
      <c r="A7840" s="5" t="s">
        <v>8332</v>
      </c>
      <c r="B7840" s="5" t="s">
        <v>8333</v>
      </c>
      <c r="C7840" s="5" t="str">
        <f>IFERROR(__xludf.DUMMYFUNCTION("GOOGLETRANSLATE(A7840,""en"",""hy"")"),"Քանի՞ լար ունի ստանդարտ կիթառը:")</f>
        <v>Քանի՞ լար ունի ստանդարտ կիթառը:</v>
      </c>
      <c r="D7840" s="6" t="str">
        <f>IFERROR(__xludf.DUMMYFUNCTION("GOOGLETRANSLATE(B7840,""en"",""hy"")"),"Ստանդարտ կիթառն ունի վեց լար:")</f>
        <v>Ստանդարտ կիթառն ունի վեց լար:</v>
      </c>
    </row>
    <row r="7841">
      <c r="A7841" s="5" t="s">
        <v>7601</v>
      </c>
      <c r="B7841" s="5" t="s">
        <v>9640</v>
      </c>
      <c r="C7841" s="5" t="str">
        <f>IFERROR(__xludf.DUMMYFUNCTION("GOOGLETRANSLATE(A7841,""en"",""hy"")"),"Ո՞վ է Ֆրանսիայի ներկայիս նախագահը.")</f>
        <v>Ո՞վ է Ֆրանսիայի ներկայիս նախագահը.</v>
      </c>
      <c r="D7841" s="6" t="str">
        <f>IFERROR(__xludf.DUMMYFUNCTION("GOOGLETRANSLATE(B7841,""en"",""hy"")"),"2021 թվականի սեպտեմբերի դրությամբ Ֆրանսիայի ներկայիս նախագահը Էմանուել Մակրոնն է։")</f>
        <v>2021 թվականի սեպտեմբերի դրությամբ Ֆրանսիայի ներկայիս նախագահը Էմանուել Մակրոնն է։</v>
      </c>
    </row>
    <row r="7842">
      <c r="A7842" s="5" t="s">
        <v>8950</v>
      </c>
      <c r="B7842" s="5" t="s">
        <v>8951</v>
      </c>
      <c r="C7842" s="5" t="str">
        <f>IFERROR(__xludf.DUMMYFUNCTION("GOOGLETRANSLATE(A7842,""en"",""hy"")"),"Ո՞րն է Հնդկաստանի պաշտոնական լեզուն:")</f>
        <v>Ո՞րն է Հնդկաստանի պաշտոնական լեզուն:</v>
      </c>
      <c r="D7842" s="6" t="str">
        <f>IFERROR(__xludf.DUMMYFUNCTION("GOOGLETRANSLATE(B7842,""en"",""hy"")"),"Հնդկաստանի պաշտոնական լեզուն հինդին է։")</f>
        <v>Հնդկաստանի պաշտոնական լեզուն հինդին է։</v>
      </c>
    </row>
    <row r="7843">
      <c r="A7843" s="5" t="s">
        <v>7517</v>
      </c>
      <c r="B7843" s="5" t="s">
        <v>7448</v>
      </c>
      <c r="C7843" s="5" t="str">
        <f>IFERROR(__xludf.DUMMYFUNCTION("GOOGLETRANSLATE(A7843,""en"",""hy"")"),"Ո՞վ է նկարել Վերջին ընթրիքը:")</f>
        <v>Ո՞վ է նկարել Վերջին ընթրիքը:</v>
      </c>
      <c r="D7843" s="6" t="str">
        <f>IFERROR(__xludf.DUMMYFUNCTION("GOOGLETRANSLATE(B7843,""en"",""hy"")"),"Լեոնարդո դա Վինչի.")</f>
        <v>Լեոնարդո դա Վինչի.</v>
      </c>
    </row>
    <row r="7844">
      <c r="A7844" s="5" t="s">
        <v>7711</v>
      </c>
      <c r="B7844" s="5" t="s">
        <v>7712</v>
      </c>
      <c r="C7844" s="5" t="str">
        <f>IFERROR(__xludf.DUMMYFUNCTION("GOOGLETRANSLATE(A7844,""en"",""hy"")"),"Ո՞րն է Միացյալ Նահանգների ամենամեծ քաղաքը:")</f>
        <v>Ո՞րն է Միացյալ Նահանգների ամենամեծ քաղաքը:</v>
      </c>
      <c r="D7844" s="6" t="str">
        <f>IFERROR(__xludf.DUMMYFUNCTION("GOOGLETRANSLATE(B7844,""en"",""hy"")"),"Նյու Յորք քաղաք.")</f>
        <v>Նյու Յորք քաղաք.</v>
      </c>
    </row>
    <row r="7845">
      <c r="A7845" s="5" t="s">
        <v>9641</v>
      </c>
      <c r="B7845" s="5" t="s">
        <v>9121</v>
      </c>
      <c r="C7845" s="5" t="str">
        <f>IFERROR(__xludf.DUMMYFUNCTION("GOOGLETRANSLATE(A7845,""en"",""hy"")"),"Քանի՞ շերտ կա ամերիկյան դրոշի վրա:")</f>
        <v>Քանի՞ շերտ կա ամերիկյան դրոշի վրա:</v>
      </c>
      <c r="D7845" s="6" t="str">
        <f>IFERROR(__xludf.DUMMYFUNCTION("GOOGLETRANSLATE(B7845,""en"",""hy"")"),"Ամերիկյան դրոշի վրա կա 13 գծեր։")</f>
        <v>Ամերիկյան դրոշի վրա կա 13 գծեր։</v>
      </c>
    </row>
    <row r="7846">
      <c r="A7846" s="5" t="s">
        <v>7920</v>
      </c>
      <c r="B7846" s="5" t="s">
        <v>7921</v>
      </c>
      <c r="C7846" s="5" t="str">
        <f>IFERROR(__xludf.DUMMYFUNCTION("GOOGLETRANSLATE(A7846,""en"",""hy"")"),"Ո՞ր երկրում է գտնվում Թաջ Մահալը:")</f>
        <v>Ո՞ր երկրում է գտնվում Թաջ Մահալը:</v>
      </c>
      <c r="D7846" s="6" t="str">
        <f>IFERROR(__xludf.DUMMYFUNCTION("GOOGLETRANSLATE(B7846,""en"",""hy"")"),"Հնդկաստան.")</f>
        <v>Հնդկաստան.</v>
      </c>
    </row>
    <row r="7847">
      <c r="A7847" s="5" t="s">
        <v>8010</v>
      </c>
      <c r="B7847" s="5" t="s">
        <v>7578</v>
      </c>
      <c r="C7847" s="5" t="str">
        <f>IFERROR(__xludf.DUMMYFUNCTION("GOOGLETRANSLATE(A7847,""en"",""hy"")"),"Ո՞վ է գրել «Մոբի-Դիկ» վեպը:")</f>
        <v>Ո՞վ է գրել «Մոբի-Դիկ» վեպը:</v>
      </c>
      <c r="D7847" s="6" t="str">
        <f>IFERROR(__xludf.DUMMYFUNCTION("GOOGLETRANSLATE(B7847,""en"",""hy"")"),"Հերման Մելվիլ.")</f>
        <v>Հերման Մելվիլ.</v>
      </c>
    </row>
    <row r="7848">
      <c r="A7848" s="5" t="s">
        <v>8270</v>
      </c>
      <c r="B7848" s="5" t="s">
        <v>8271</v>
      </c>
      <c r="C7848" s="5" t="str">
        <f>IFERROR(__xludf.DUMMYFUNCTION("GOOGLETRANSLATE(A7848,""en"",""hy"")"),"Ո՞րն է Գերմանիայի պաշտոնական լեզուն:")</f>
        <v>Ո՞րն է Գերմանիայի պաշտոնական լեզուն:</v>
      </c>
      <c r="D7848" s="6" t="str">
        <f>IFERROR(__xludf.DUMMYFUNCTION("GOOGLETRANSLATE(B7848,""en"",""hy"")"),"Գերմանիայի պաշտոնական լեզուն գերմաներենն է։")</f>
        <v>Գերմանիայի պաշտոնական լեզուն գերմաներենն է։</v>
      </c>
    </row>
    <row r="7849">
      <c r="A7849" s="5" t="s">
        <v>7809</v>
      </c>
      <c r="B7849" s="5" t="s">
        <v>7810</v>
      </c>
      <c r="C7849" s="5" t="str">
        <f>IFERROR(__xludf.DUMMYFUNCTION("GOOGLETRANSLATE(A7849,""en"",""hy"")"),"Ո՞րն է հելիումի քիմիական նշանը:")</f>
        <v>Ո՞րն է հելիումի քիմիական նշանը:</v>
      </c>
      <c r="D7849" s="6" t="str">
        <f>IFERROR(__xludf.DUMMYFUNCTION("GOOGLETRANSLATE(B7849,""en"",""hy"")"),"Նա")</f>
        <v>Նա</v>
      </c>
    </row>
    <row r="7850">
      <c r="A7850" s="5" t="s">
        <v>7479</v>
      </c>
      <c r="B7850" s="5" t="s">
        <v>1996</v>
      </c>
      <c r="C7850" s="5" t="str">
        <f>IFERROR(__xludf.DUMMYFUNCTION("GOOGLETRANSLATE(A7850,""en"",""hy"")"),"Ո՞վ է Միացյալ Թագավորության ներկայիս վարչապետը:")</f>
        <v>Ո՞վ է Միացյալ Թագավորության ներկայիս վարչապետը:</v>
      </c>
      <c r="D7850" s="6" t="str">
        <f>IFERROR(__xludf.DUMMYFUNCTION("GOOGLETRANSLATE(B7850,""en"",""hy"")"),"Բորիս Ջոնսոն.")</f>
        <v>Բորիս Ջոնսոն.</v>
      </c>
    </row>
    <row r="7851">
      <c r="A7851" s="5" t="s">
        <v>7574</v>
      </c>
      <c r="B7851" s="5" t="s">
        <v>7525</v>
      </c>
      <c r="C7851" s="5" t="str">
        <f>IFERROR(__xludf.DUMMYFUNCTION("GOOGLETRANSLATE(A7851,""en"",""hy"")"),"Ո՞րն է Չինաստանի մայրաքաղաքը:")</f>
        <v>Ո՞րն է Չինաստանի մայրաքաղաքը:</v>
      </c>
      <c r="D7851" s="6" t="str">
        <f>IFERROR(__xludf.DUMMYFUNCTION("GOOGLETRANSLATE(B7851,""en"",""hy"")"),"Պեկին.")</f>
        <v>Պեկին.</v>
      </c>
    </row>
    <row r="7852">
      <c r="A7852" s="5" t="s">
        <v>8426</v>
      </c>
      <c r="B7852" s="5" t="s">
        <v>7970</v>
      </c>
      <c r="C7852" s="5" t="str">
        <f>IFERROR(__xludf.DUMMYFUNCTION("GOOGLETRANSLATE(A7852,""en"",""hy"")"),"Քանի՞ ոսկոր կա մարդու գանգում:")</f>
        <v>Քանի՞ ոսկոր կա մարդու գանգում:</v>
      </c>
      <c r="D7852" s="6" t="str">
        <f>IFERROR(__xludf.DUMMYFUNCTION("GOOGLETRANSLATE(B7852,""en"",""hy"")"),"Մարդու գանգում կա 22 ոսկոր։")</f>
        <v>Մարդու գանգում կա 22 ոսկոր։</v>
      </c>
    </row>
    <row r="7853">
      <c r="A7853" s="5" t="s">
        <v>8223</v>
      </c>
      <c r="B7853" s="5" t="s">
        <v>9214</v>
      </c>
      <c r="C7853" s="5" t="str">
        <f>IFERROR(__xludf.DUMMYFUNCTION("GOOGLETRANSLATE(A7853,""en"",""hy"")"),"Ո՞վ է հայտնաբերել էլեկտրաէներգիան:")</f>
        <v>Ո՞վ է հայտնաբերել էլեկտրաէներգիան:</v>
      </c>
      <c r="D7853" s="6" t="str">
        <f>IFERROR(__xludf.DUMMYFUNCTION("GOOGLETRANSLATE(B7853,""en"",""hy"")"),"Բենջամին Ֆրանկլին.")</f>
        <v>Բենջամին Ֆրանկլին.</v>
      </c>
    </row>
    <row r="7854">
      <c r="A7854" s="5" t="s">
        <v>7471</v>
      </c>
      <c r="B7854" s="5" t="s">
        <v>7472</v>
      </c>
      <c r="C7854" s="5" t="str">
        <f>IFERROR(__xludf.DUMMYFUNCTION("GOOGLETRANSLATE(A7854,""en"",""hy"")"),"Ո՞րն է Երկրի ամենամեծ կենդանին:")</f>
        <v>Ո՞րն է Երկրի ամենամեծ կենդանին:</v>
      </c>
      <c r="D7854" s="6" t="str">
        <f>IFERROR(__xludf.DUMMYFUNCTION("GOOGLETRANSLATE(B7854,""en"",""hy"")"),"Կապույտ կետը.")</f>
        <v>Կապույտ կետը.</v>
      </c>
    </row>
    <row r="7855">
      <c r="A7855" s="5" t="s">
        <v>9642</v>
      </c>
      <c r="B7855" s="7">
        <v>1969.0</v>
      </c>
      <c r="C7855" s="5" t="str">
        <f>IFERROR(__xludf.DUMMYFUNCTION("GOOGLETRANSLATE(A7855,""en"",""hy"")"),"Ո՞ր թվականին է Միացյալ Նահանգները վայրէջք կատարել Լուսնի վրա:")</f>
        <v>Ո՞ր թվականին է Միացյալ Նահանգները վայրէջք կատարել Լուսնի վրա:</v>
      </c>
      <c r="D7855" s="6" t="str">
        <f>IFERROR(__xludf.DUMMYFUNCTION("GOOGLETRANSLATE(B7855,""en"",""hy"")"),"1969 թ")</f>
        <v>1969 թ</v>
      </c>
    </row>
    <row r="7856">
      <c r="A7856" s="5" t="s">
        <v>8319</v>
      </c>
      <c r="B7856" s="5" t="s">
        <v>7625</v>
      </c>
      <c r="C7856" s="5" t="str">
        <f>IFERROR(__xludf.DUMMYFUNCTION("GOOGLETRANSLATE(A7856,""en"",""hy"")"),"Ո՞ր երկիրն է հայտնի որպես Կեսգիշերային Արևի երկիր:")</f>
        <v>Ո՞ր երկիրն է հայտնի որպես Կեսգիշերային Արևի երկիր:</v>
      </c>
      <c r="D7856" s="6" t="str">
        <f>IFERROR(__xludf.DUMMYFUNCTION("GOOGLETRANSLATE(B7856,""en"",""hy"")"),"Նորվեգիա")</f>
        <v>Նորվեգիա</v>
      </c>
    </row>
    <row r="7857">
      <c r="A7857" s="5" t="s">
        <v>8414</v>
      </c>
      <c r="B7857" s="5" t="s">
        <v>8163</v>
      </c>
      <c r="C7857" s="5" t="str">
        <f>IFERROR(__xludf.DUMMYFUNCTION("GOOGLETRANSLATE(A7857,""en"",""hy"")"),"Քանի՞ խաղացող կա բասկետբոլի թիմում:")</f>
        <v>Քանի՞ խաղացող կա բասկետբոլի թիմում:</v>
      </c>
      <c r="D7857" s="6" t="str">
        <f>IFERROR(__xludf.DUMMYFUNCTION("GOOGLETRANSLATE(B7857,""en"",""hy"")"),"Բասկետբոլի թիմում 5 խաղացող կա։")</f>
        <v>Բասկետբոլի թիմում 5 խաղացող կա։</v>
      </c>
    </row>
    <row r="7858">
      <c r="A7858" s="5" t="s">
        <v>7594</v>
      </c>
      <c r="B7858" s="5" t="s">
        <v>1016</v>
      </c>
      <c r="C7858" s="5" t="str">
        <f>IFERROR(__xludf.DUMMYFUNCTION("GOOGLETRANSLATE(A7858,""en"",""hy"")"),"Ո՞վ է գրել «Մակբեթ» պիեսը:")</f>
        <v>Ո՞վ է գրել «Մակբեթ» պիեսը:</v>
      </c>
      <c r="D7858" s="6" t="str">
        <f>IFERROR(__xludf.DUMMYFUNCTION("GOOGLETRANSLATE(B7858,""en"",""hy"")"),"Ուիլյամ Շեքսպիր.")</f>
        <v>Ուիլյամ Շեքսպիր.</v>
      </c>
    </row>
    <row r="7859">
      <c r="A7859" s="5" t="s">
        <v>7691</v>
      </c>
      <c r="B7859" s="5" t="s">
        <v>7692</v>
      </c>
      <c r="C7859" s="5" t="str">
        <f>IFERROR(__xludf.DUMMYFUNCTION("GOOGLETRANSLATE(A7859,""en"",""hy"")"),"Ո՞րն է Աֆրիկայի ամենամեծ լիճը:")</f>
        <v>Ո՞րն է Աֆրիկայի ամենամեծ լիճը:</v>
      </c>
      <c r="D7859" s="6" t="str">
        <f>IFERROR(__xludf.DUMMYFUNCTION("GOOGLETRANSLATE(B7859,""en"",""hy"")"),"Վիկտորիա լիճ.")</f>
        <v>Վիկտորիա լիճ.</v>
      </c>
    </row>
    <row r="7860">
      <c r="A7860" s="5" t="s">
        <v>7791</v>
      </c>
      <c r="B7860" s="5" t="s">
        <v>8128</v>
      </c>
      <c r="C7860" s="5" t="str">
        <f>IFERROR(__xludf.DUMMYFUNCTION("GOOGLETRANSLATE(A7860,""en"",""hy"")"),"Ո՞րն է Ավստրալիայի ազգային կենդանին:")</f>
        <v>Ո՞րն է Ավստրալիայի ազգային կենդանին:</v>
      </c>
      <c r="D7860" s="6" t="str">
        <f>IFERROR(__xludf.DUMMYFUNCTION("GOOGLETRANSLATE(B7860,""en"",""hy"")"),"Կենգուրու.")</f>
        <v>Կենգուրու.</v>
      </c>
    </row>
    <row r="7861">
      <c r="A7861" s="5" t="s">
        <v>8408</v>
      </c>
      <c r="B7861" s="5" t="s">
        <v>8409</v>
      </c>
      <c r="C7861" s="5" t="str">
        <f>IFERROR(__xludf.DUMMYFUNCTION("GOOGLETRANSLATE(A7861,""en"",""hy"")"),"Քանի՞ ոտք ունի սարդը:")</f>
        <v>Քանի՞ ոտք ունի սարդը:</v>
      </c>
      <c r="D7861" s="6" t="str">
        <f>IFERROR(__xludf.DUMMYFUNCTION("GOOGLETRANSLATE(B7861,""en"",""hy"")"),"Սարդն ունի ութ ոտք:")</f>
        <v>Սարդն ունի ութ ոտք:</v>
      </c>
    </row>
    <row r="7862">
      <c r="A7862" s="5" t="s">
        <v>7473</v>
      </c>
      <c r="B7862" s="5" t="s">
        <v>7474</v>
      </c>
      <c r="C7862" s="5" t="str">
        <f>IFERROR(__xludf.DUMMYFUNCTION("GOOGLETRANSLATE(A7862,""en"",""hy"")"),"Ո՞վ է նկարել Սիքստինյան կապելլայի առաստաղը:")</f>
        <v>Ո՞վ է նկարել Սիքստինյան կապելլայի առաստաղը:</v>
      </c>
      <c r="D7862" s="6" t="str">
        <f>IFERROR(__xludf.DUMMYFUNCTION("GOOGLETRANSLATE(B7862,""en"",""hy"")"),"Միքելանջելո.")</f>
        <v>Միքելանջելո.</v>
      </c>
    </row>
    <row r="7863">
      <c r="A7863" s="5" t="s">
        <v>9643</v>
      </c>
      <c r="B7863" s="5" t="s">
        <v>9577</v>
      </c>
      <c r="C7863" s="5" t="str">
        <f>IFERROR(__xludf.DUMMYFUNCTION("GOOGLETRANSLATE(A7863,""en"",""hy"")"),"Ո՞ր թվականին սկսվեց ամերիկյան հեղափոխությունը:")</f>
        <v>Ո՞ր թվականին սկսվեց ամերիկյան հեղափոխությունը:</v>
      </c>
      <c r="D7863" s="6" t="str">
        <f>IFERROR(__xludf.DUMMYFUNCTION("GOOGLETRANSLATE(B7863,""en"",""hy"")"),"Ամերիկյան հեղափոխությունը սկսվել է 1775 թ.")</f>
        <v>Ամերիկյան հեղափոխությունը սկսվել է 1775 թ.</v>
      </c>
    </row>
    <row r="7864">
      <c r="A7864" s="5" t="s">
        <v>7699</v>
      </c>
      <c r="B7864" s="5" t="s">
        <v>8615</v>
      </c>
      <c r="C7864" s="5" t="str">
        <f>IFERROR(__xludf.DUMMYFUNCTION("GOOGLETRANSLATE(A7864,""en"",""hy"")"),"Ո՞րն է ածխածնի քիմիական նշանը:")</f>
        <v>Ո՞րն է ածխածնի քիմիական նշանը:</v>
      </c>
      <c r="D7864" s="6" t="str">
        <f>IFERROR(__xludf.DUMMYFUNCTION("GOOGLETRANSLATE(B7864,""en"",""hy"")"),"Գ")</f>
        <v>Գ</v>
      </c>
    </row>
    <row r="7865">
      <c r="A7865" s="5" t="s">
        <v>8142</v>
      </c>
      <c r="B7865" s="5" t="s">
        <v>8867</v>
      </c>
      <c r="C7865" s="5" t="str">
        <f>IFERROR(__xludf.DUMMYFUNCTION("GOOGLETRANSLATE(A7865,""en"",""hy"")"),"Ո՞վ է Ավստրալիայի ներկայիս վարչապետը:")</f>
        <v>Ո՞վ է Ավստրալիայի ներկայիս վարչապետը:</v>
      </c>
      <c r="D7865" s="6" t="str">
        <f>IFERROR(__xludf.DUMMYFUNCTION("GOOGLETRANSLATE(B7865,""en"",""hy"")"),"Սքոթ Մորիսոն")</f>
        <v>Սքոթ Մորիսոն</v>
      </c>
    </row>
    <row r="7866">
      <c r="A7866" s="5" t="s">
        <v>8127</v>
      </c>
      <c r="B7866" s="5" t="s">
        <v>6556</v>
      </c>
      <c r="C7866" s="5" t="str">
        <f>IFERROR(__xludf.DUMMYFUNCTION("GOOGLETRANSLATE(A7866,""en"",""hy"")"),"Ո՞րն է Ռուսաստանի պաշտոնական լեզուն:")</f>
        <v>Ո՞րն է Ռուսաստանի պաշտոնական լեզուն:</v>
      </c>
      <c r="D7866" s="6" t="str">
        <f>IFERROR(__xludf.DUMMYFUNCTION("GOOGLETRANSLATE(B7866,""en"",""hy"")"),"Ռուսաստանի պաշտոնական լեզուն ռուսերենն է։")</f>
        <v>Ռուսաստանի պաշտոնական լեզուն ռուսերենն է։</v>
      </c>
    </row>
    <row r="7867">
      <c r="A7867" s="5" t="s">
        <v>9644</v>
      </c>
      <c r="B7867" s="5" t="s">
        <v>9645</v>
      </c>
      <c r="C7867" s="5" t="str">
        <f>IFERROR(__xludf.DUMMYFUNCTION("GOOGLETRANSLATE(A7867,""en"",""hy"")"),"Քանի՞ քառակուսի կա շախմատի տախտակի վրա:")</f>
        <v>Քանի՞ քառակուսի կա շախմատի տախտակի վրա:</v>
      </c>
      <c r="D7867" s="6" t="str">
        <f>IFERROR(__xludf.DUMMYFUNCTION("GOOGLETRANSLATE(B7867,""en"",""hy"")"),"Շախմատի տախտակի վրա կա 64 քառակուսի։")</f>
        <v>Շախմատի տախտակի վրա կա 64 քառակուսի։</v>
      </c>
    </row>
    <row r="7868">
      <c r="A7868" s="5" t="s">
        <v>9646</v>
      </c>
      <c r="B7868" s="5" t="s">
        <v>7688</v>
      </c>
      <c r="C7868" s="5" t="str">
        <f>IFERROR(__xludf.DUMMYFUNCTION("GOOGLETRANSLATE(A7868,""en"",""hy"")"),"Ո՞վ է գրել «Հոբիթ» վեպը:")</f>
        <v>Ո՞վ է գրել «Հոբիթ» վեպը:</v>
      </c>
      <c r="D7868" s="6" t="str">
        <f>IFERROR(__xludf.DUMMYFUNCTION("GOOGLETRANSLATE(B7868,""en"",""hy"")"),"Ջ.Ռ.Ռ. Թոլքինը")</f>
        <v>Ջ.Ռ.Ռ. Թոլքինը</v>
      </c>
    </row>
    <row r="7869">
      <c r="A7869" s="5" t="s">
        <v>9647</v>
      </c>
      <c r="B7869" s="5" t="s">
        <v>9648</v>
      </c>
      <c r="C7869" s="5" t="str">
        <f>IFERROR(__xludf.DUMMYFUNCTION("GOOGLETRANSLATE(A7869,""en"",""hy"")"),"Ո՞րն է Հարավային Ամերիկայի ամենամեծ քաղաքը:")</f>
        <v>Ո՞րն է Հարավային Ամերիկայի ամենամեծ քաղաքը:</v>
      </c>
      <c r="D7869" s="6" t="str">
        <f>IFERROR(__xludf.DUMMYFUNCTION("GOOGLETRANSLATE(B7869,""en"",""hy"")"),"Սան Պաուլո.")</f>
        <v>Սան Պաուլո.</v>
      </c>
    </row>
    <row r="7870">
      <c r="A7870" s="5" t="s">
        <v>9351</v>
      </c>
      <c r="B7870" s="5" t="s">
        <v>7994</v>
      </c>
      <c r="C7870" s="5" t="str">
        <f>IFERROR(__xludf.DUMMYFUNCTION("GOOGLETRANSLATE(A7870,""en"",""hy"")"),"Ո՞ր երկրում կգտնեք Ազատության արձանը:")</f>
        <v>Ո՞ր երկրում կգտնեք Ազատության արձանը:</v>
      </c>
      <c r="D7870" s="6" t="str">
        <f>IFERROR(__xludf.DUMMYFUNCTION("GOOGLETRANSLATE(B7870,""en"",""hy"")"),"Ազատության արձանը գտնվում է ԱՄՆ-ում։")</f>
        <v>Ազատության արձանը գտնվում է ԱՄՆ-ում։</v>
      </c>
    </row>
    <row r="7871">
      <c r="A7871" s="5" t="s">
        <v>7572</v>
      </c>
      <c r="B7871" s="5" t="s">
        <v>7573</v>
      </c>
      <c r="C7871" s="5" t="str">
        <f>IFERROR(__xludf.DUMMYFUNCTION("GOOGLETRANSLATE(A7871,""en"",""hy"")"),"Ո՞վ է հորինել լամպը:")</f>
        <v>Ո՞վ է հորինել լամպը:</v>
      </c>
      <c r="D7871" s="6" t="str">
        <f>IFERROR(__xludf.DUMMYFUNCTION("GOOGLETRANSLATE(B7871,""en"",""hy"")"),"Թոմաս Էդիսոն.")</f>
        <v>Թոմաս Էդիսոն.</v>
      </c>
    </row>
    <row r="7872">
      <c r="A7872" s="5" t="s">
        <v>9550</v>
      </c>
      <c r="B7872" s="5" t="s">
        <v>9551</v>
      </c>
      <c r="C7872" s="5" t="str">
        <f>IFERROR(__xludf.DUMMYFUNCTION("GOOGLETRANSLATE(A7872,""en"",""hy"")"),"Ո՞րն է Եվրոպայի ամենաբարձր լեռը:")</f>
        <v>Ո՞րն է Եվրոպայի ամենաբարձր լեռը:</v>
      </c>
      <c r="D7872" s="6" t="str">
        <f>IFERROR(__xludf.DUMMYFUNCTION("GOOGLETRANSLATE(B7872,""en"",""hy"")"),"Էլբրուս լեռ.")</f>
        <v>Էլբրուս լեռ.</v>
      </c>
    </row>
    <row r="7873">
      <c r="A7873" s="5" t="s">
        <v>7817</v>
      </c>
      <c r="B7873" s="5" t="s">
        <v>7818</v>
      </c>
      <c r="C7873" s="5" t="str">
        <f>IFERROR(__xludf.DUMMYFUNCTION("GOOGLETRANSLATE(A7873,""en"",""hy"")"),"Ո՞րն է Կանադայի ազգային կենդանին:")</f>
        <v>Ո՞րն է Կանադայի ազգային կենդանին:</v>
      </c>
      <c r="D7873" s="6" t="str">
        <f>IFERROR(__xludf.DUMMYFUNCTION("GOOGLETRANSLATE(B7873,""en"",""hy"")"),"Կանադայի ազգային կենդանին կեղևն է:")</f>
        <v>Կանադայի ազգային կենդանին կեղևն է:</v>
      </c>
    </row>
    <row r="7874">
      <c r="A7874" s="5" t="s">
        <v>8187</v>
      </c>
      <c r="B7874" s="5" t="s">
        <v>8188</v>
      </c>
      <c r="C7874" s="5" t="str">
        <f>IFERROR(__xludf.DUMMYFUNCTION("GOOGLETRANSLATE(A7874,""en"",""hy"")"),"Քանի՞ խցիկ ունի մարդու սիրտը:")</f>
        <v>Քանի՞ խցիկ ունի մարդու սիրտը:</v>
      </c>
      <c r="D7874" s="6" t="str">
        <f>IFERROR(__xludf.DUMMYFUNCTION("GOOGLETRANSLATE(B7874,""en"",""hy"")"),"Մարդու սիրտն ունի չորս խցիկ.")</f>
        <v>Մարդու սիրտն ունի չորս խցիկ.</v>
      </c>
    </row>
    <row r="7875">
      <c r="A7875" s="5" t="s">
        <v>7504</v>
      </c>
      <c r="B7875" s="5" t="s">
        <v>8097</v>
      </c>
      <c r="C7875" s="5" t="str">
        <f>IFERROR(__xludf.DUMMYFUNCTION("GOOGLETRANSLATE(A7875,""en"",""hy"")"),"Ո՞վ է Միացյալ Նահանգների ներկայիս նախագահը:")</f>
        <v>Ո՞վ է Միացյալ Նահանգների ներկայիս նախագահը:</v>
      </c>
      <c r="D7875" s="6" t="str">
        <f>IFERROR(__xludf.DUMMYFUNCTION("GOOGLETRANSLATE(B7875,""en"",""hy"")"),"Ջո Բայդեն")</f>
        <v>Ջո Բայդեն</v>
      </c>
    </row>
    <row r="7876">
      <c r="A7876" s="5" t="s">
        <v>8053</v>
      </c>
      <c r="B7876" s="5" t="s">
        <v>8054</v>
      </c>
      <c r="C7876" s="5" t="str">
        <f>IFERROR(__xludf.DUMMYFUNCTION("GOOGLETRANSLATE(A7876,""en"",""hy"")"),"Քանի՞ կողմ ունի ութանկյունը:")</f>
        <v>Քանի՞ կողմ ունի ութանկյունը:</v>
      </c>
      <c r="D7876" s="6" t="str">
        <f>IFERROR(__xludf.DUMMYFUNCTION("GOOGLETRANSLATE(B7876,""en"",""hy"")"),"Ութանկյունն ունի ութ կողմ:")</f>
        <v>Ութանկյունն ունի ութ կողմ:</v>
      </c>
    </row>
    <row r="7877">
      <c r="A7877" s="5" t="s">
        <v>9649</v>
      </c>
      <c r="B7877" s="5" t="s">
        <v>9650</v>
      </c>
      <c r="C7877" s="5" t="str">
        <f>IFERROR(__xludf.DUMMYFUNCTION("GOOGLETRANSLATE(A7877,""en"",""hy"")"),"Ո՞վ է գրել Oedipus Rex պիեսը:")</f>
        <v>Ո՞վ է գրել Oedipus Rex պիեսը:</v>
      </c>
      <c r="D7877" s="6" t="str">
        <f>IFERROR(__xludf.DUMMYFUNCTION("GOOGLETRANSLATE(B7877,""en"",""hy"")"),"Սոֆոկլեսը.")</f>
        <v>Սոֆոկլեսը.</v>
      </c>
    </row>
    <row r="7878">
      <c r="A7878" s="5" t="s">
        <v>7500</v>
      </c>
      <c r="B7878" s="5" t="s">
        <v>7501</v>
      </c>
      <c r="C7878" s="5" t="str">
        <f>IFERROR(__xludf.DUMMYFUNCTION("GOOGLETRANSLATE(A7878,""en"",""hy"")"),"Ո՞րն է Ֆրանսիայի մայրաքաղաքը:")</f>
        <v>Ո՞րն է Ֆրանսիայի մայրաքաղաքը:</v>
      </c>
      <c r="D7878" s="6" t="str">
        <f>IFERROR(__xludf.DUMMYFUNCTION("GOOGLETRANSLATE(B7878,""en"",""hy"")"),"Փարիզ.")</f>
        <v>Փարիզ.</v>
      </c>
    </row>
    <row r="7879">
      <c r="A7879" s="5" t="s">
        <v>8327</v>
      </c>
      <c r="B7879" s="7">
        <v>1914.0</v>
      </c>
      <c r="C7879" s="5" t="str">
        <f>IFERROR(__xludf.DUMMYFUNCTION("GOOGLETRANSLATE(A7879,""en"",""hy"")"),"Ո՞ր թվականին սկսվեց Առաջին համաշխարհային պատերազմը:")</f>
        <v>Ո՞ր թվականին սկսվեց Առաջին համաշխարհային պատերազմը:</v>
      </c>
      <c r="D7879" s="6" t="str">
        <f>IFERROR(__xludf.DUMMYFUNCTION("GOOGLETRANSLATE(B7879,""en"",""hy"")"),"1914 թ")</f>
        <v>1914 թ</v>
      </c>
    </row>
    <row r="7880">
      <c r="A7880" s="5" t="s">
        <v>7665</v>
      </c>
      <c r="B7880" s="5" t="s">
        <v>7781</v>
      </c>
      <c r="C7880" s="5" t="str">
        <f>IFERROR(__xludf.DUMMYFUNCTION("GOOGLETRANSLATE(A7880,""en"",""hy"")"),"Ո՞րն է նատրիումի քիմիական նշանը:")</f>
        <v>Ո՞րն է նատրիումի քիմիական նշանը:</v>
      </c>
      <c r="D7880" s="6" t="str">
        <f>IFERROR(__xludf.DUMMYFUNCTION("GOOGLETRANSLATE(B7880,""en"",""hy"")"),"Նատրիումի քիմիական նշանը Na է:")</f>
        <v>Նատրիումի քիմիական նշանը Na է:</v>
      </c>
    </row>
    <row r="7881">
      <c r="A7881" s="5" t="s">
        <v>7678</v>
      </c>
      <c r="B7881" s="5" t="s">
        <v>9096</v>
      </c>
      <c r="C7881" s="5" t="str">
        <f>IFERROR(__xludf.DUMMYFUNCTION("GOOGLETRANSLATE(A7881,""en"",""hy"")"),"Ո՞րն է Ավստրալիայի մայրաքաղաքը:")</f>
        <v>Ո՞րն է Ավստրալիայի մայրաքաղաքը:</v>
      </c>
      <c r="D7881" s="6" t="str">
        <f>IFERROR(__xludf.DUMMYFUNCTION("GOOGLETRANSLATE(B7881,""en"",""hy"")"),"Կանբերա")</f>
        <v>Կանբերա</v>
      </c>
    </row>
    <row r="7882">
      <c r="A7882" s="5" t="s">
        <v>7769</v>
      </c>
      <c r="B7882" s="5" t="s">
        <v>7486</v>
      </c>
      <c r="C7882" s="5" t="str">
        <f>IFERROR(__xludf.DUMMYFUNCTION("GOOGLETRANSLATE(A7882,""en"",""hy"")"),"Ո՞վ է Հարրի Փոթերի գրքերի շարքի հեղինակը:")</f>
        <v>Ո՞վ է Հարրի Փոթերի գրքերի շարքի հեղինակը:</v>
      </c>
      <c r="D7882" s="6" t="str">
        <f>IFERROR(__xludf.DUMMYFUNCTION("GOOGLETRANSLATE(B7882,""en"",""hy"")"),"Ջ.Կ. Ռոուլինգ.")</f>
        <v>Ջ.Կ. Ռոուլինգ.</v>
      </c>
    </row>
    <row r="7883">
      <c r="A7883" s="5" t="s">
        <v>7632</v>
      </c>
      <c r="B7883" s="5" t="s">
        <v>7633</v>
      </c>
      <c r="C7883" s="5" t="str">
        <f>IFERROR(__xludf.DUMMYFUNCTION("GOOGLETRANSLATE(A7883,""en"",""hy"")"),"Ո՞րն է մեր արեգակնային համակարգի ամենամեծ մոլորակը:")</f>
        <v>Ո՞րն է մեր արեգակնային համակարգի ամենամեծ մոլորակը:</v>
      </c>
      <c r="D7883" s="6" t="str">
        <f>IFERROR(__xludf.DUMMYFUNCTION("GOOGLETRANSLATE(B7883,""en"",""hy"")"),"Յուպիտեր.")</f>
        <v>Յուպիտեր.</v>
      </c>
    </row>
    <row r="7884">
      <c r="A7884" s="5" t="s">
        <v>7477</v>
      </c>
      <c r="B7884" s="5" t="s">
        <v>7478</v>
      </c>
      <c r="C7884" s="5" t="str">
        <f>IFERROR(__xludf.DUMMYFUNCTION("GOOGLETRANSLATE(A7884,""en"",""hy"")"),"Ո՞ր երկիրն է հայտնի որպես «Ծագող արևի երկիր»:")</f>
        <v>Ո՞ր երկիրն է հայտնի որպես «Ծագող արևի երկիր»:</v>
      </c>
      <c r="D7884" s="6" t="str">
        <f>IFERROR(__xludf.DUMMYFUNCTION("GOOGLETRANSLATE(B7884,""en"",""hy"")"),"Ճապոնիա.")</f>
        <v>Ճապոնիա.</v>
      </c>
    </row>
    <row r="7885">
      <c r="A7885" s="5" t="s">
        <v>7447</v>
      </c>
      <c r="B7885" s="5" t="s">
        <v>7448</v>
      </c>
      <c r="C7885" s="5" t="str">
        <f>IFERROR(__xludf.DUMMYFUNCTION("GOOGLETRANSLATE(A7885,""en"",""hy"")"),"Ո՞վ է նկարել Մոնա Լիզան:")</f>
        <v>Ո՞վ է նկարել Մոնա Լիզան:</v>
      </c>
      <c r="D7885" s="6" t="str">
        <f>IFERROR(__xludf.DUMMYFUNCTION("GOOGLETRANSLATE(B7885,""en"",""hy"")"),"Լեոնարդո դա Վինչի.")</f>
        <v>Լեոնարդո դա Վինչի.</v>
      </c>
    </row>
    <row r="7886">
      <c r="A7886" s="5" t="s">
        <v>7670</v>
      </c>
      <c r="B7886" s="5" t="s">
        <v>7671</v>
      </c>
      <c r="C7886" s="5" t="str">
        <f>IFERROR(__xludf.DUMMYFUNCTION("GOOGLETRANSLATE(A7886,""en"",""hy"")"),"Ո՞րն է աշխարհի ամենաերկար գետը:")</f>
        <v>Ո՞րն է աշխարհի ամենաերկար գետը:</v>
      </c>
      <c r="D7886" s="6" t="str">
        <f>IFERROR(__xludf.DUMMYFUNCTION("GOOGLETRANSLATE(B7886,""en"",""hy"")"),"Նեղոս գետ.")</f>
        <v>Նեղոս գետ.</v>
      </c>
    </row>
    <row r="7887">
      <c r="A7887" s="5" t="s">
        <v>7926</v>
      </c>
      <c r="B7887" s="5" t="s">
        <v>7635</v>
      </c>
      <c r="C7887" s="5" t="str">
        <f>IFERROR(__xludf.DUMMYFUNCTION("GOOGLETRANSLATE(A7887,""en"",""hy"")"),"Ո՞վ էր առաջին մարդը, ով քայլեց լուսնի վրա:")</f>
        <v>Ո՞վ էր առաջին մարդը, ով քայլեց լուսնի վրա:</v>
      </c>
      <c r="D7887" s="6" t="str">
        <f>IFERROR(__xludf.DUMMYFUNCTION("GOOGLETRANSLATE(B7887,""en"",""hy"")"),"Նիլ Արմսթրոնգ.")</f>
        <v>Նիլ Արմսթրոնգ.</v>
      </c>
    </row>
    <row r="7888">
      <c r="A7888" s="5" t="s">
        <v>8330</v>
      </c>
      <c r="B7888" s="5" t="s">
        <v>8331</v>
      </c>
      <c r="C7888" s="5" t="str">
        <f>IFERROR(__xludf.DUMMYFUNCTION("GOOGLETRANSLATE(A7888,""en"",""hy"")"),"Ո՞րն է Միացյալ Նահանգների ազգային ծաղիկը:")</f>
        <v>Ո՞րն է Միացյալ Նահանգների ազգային ծաղիկը:</v>
      </c>
      <c r="D7888" s="6" t="str">
        <f>IFERROR(__xludf.DUMMYFUNCTION("GOOGLETRANSLATE(B7888,""en"",""hy"")"),"Միացյալ Նահանգների ազգային ծաղիկը վարդն է։")</f>
        <v>Միացյալ Նահանգների ազգային ծաղիկը վարդն է։</v>
      </c>
    </row>
    <row r="7889">
      <c r="A7889" s="5" t="s">
        <v>8959</v>
      </c>
      <c r="B7889" s="5" t="s">
        <v>2790</v>
      </c>
      <c r="C7889" s="5" t="str">
        <f>IFERROR(__xludf.DUMMYFUNCTION("GOOGLETRANSLATE(A7889,""en"",""hy"")"),"Ո՞ր երկրում կգտնեք Մեծ պատը:")</f>
        <v>Ո՞ր երկրում կգտնեք Մեծ պատը:</v>
      </c>
      <c r="D7889" s="6" t="str">
        <f>IFERROR(__xludf.DUMMYFUNCTION("GOOGLETRANSLATE(B7889,""en"",""hy"")"),"Չինաստան.")</f>
        <v>Չինաստան.</v>
      </c>
    </row>
    <row r="7890">
      <c r="A7890" s="5" t="s">
        <v>7763</v>
      </c>
      <c r="B7890" s="5" t="s">
        <v>7505</v>
      </c>
      <c r="C7890" s="5" t="str">
        <f>IFERROR(__xludf.DUMMYFUNCTION("GOOGLETRANSLATE(A7890,""en"",""hy"")"),"Ո՞վ է Միացյալ Նահանգների ներկայիս նախագահը.")</f>
        <v>Ո՞վ է Միացյալ Նահանգների ներկայիս նախագահը.</v>
      </c>
      <c r="D7890" s="6" t="str">
        <f>IFERROR(__xludf.DUMMYFUNCTION("GOOGLETRANSLATE(B7890,""en"",""hy"")"),"Ջո Բայդեն.")</f>
        <v>Ջո Բայդեն.</v>
      </c>
    </row>
    <row r="7891">
      <c r="A7891" s="5" t="s">
        <v>7463</v>
      </c>
      <c r="B7891" s="5" t="s">
        <v>7464</v>
      </c>
      <c r="C7891" s="5" t="str">
        <f>IFERROR(__xludf.DUMMYFUNCTION("GOOGLETRANSLATE(A7891,""en"",""hy"")"),"Ո՞րն է աշխարհի ամենաբարձր լեռը:")</f>
        <v>Ո՞րն է աշխարհի ամենաբարձր լեռը:</v>
      </c>
      <c r="D7891" s="6" t="str">
        <f>IFERROR(__xludf.DUMMYFUNCTION("GOOGLETRANSLATE(B7891,""en"",""hy"")"),"Էվերեստ լեռ.")</f>
        <v>Էվերեստ լեռ.</v>
      </c>
    </row>
    <row r="7892">
      <c r="A7892" s="5" t="s">
        <v>8519</v>
      </c>
      <c r="B7892" s="5" t="s">
        <v>1016</v>
      </c>
      <c r="C7892" s="5" t="str">
        <f>IFERROR(__xludf.DUMMYFUNCTION("GOOGLETRANSLATE(A7892,""en"",""hy"")"),"Ո՞ր հայտնի դրամատուրգն է գրել Ռոմեո և Ջուլիետ:")</f>
        <v>Ո՞ր հայտնի դրամատուրգն է գրել Ռոմեո և Ջուլիետ:</v>
      </c>
      <c r="D7892" s="6" t="str">
        <f>IFERROR(__xludf.DUMMYFUNCTION("GOOGLETRANSLATE(B7892,""en"",""hy"")"),"Ուիլյամ Շեքսպիր.")</f>
        <v>Ուիլյամ Շեքսպիր.</v>
      </c>
    </row>
    <row r="7893">
      <c r="A7893" s="5" t="s">
        <v>8592</v>
      </c>
      <c r="B7893" s="5" t="s">
        <v>7556</v>
      </c>
      <c r="C7893" s="5" t="str">
        <f>IFERROR(__xludf.DUMMYFUNCTION("GOOGLETRANSLATE(A7893,""en"",""hy"")"),"Ո՞վ է համարվում ժամանակակից ֆիզիկայի հայրը:")</f>
        <v>Ո՞վ է համարվում ժամանակակից ֆիզիկայի հայրը:</v>
      </c>
      <c r="D7893" s="6" t="str">
        <f>IFERROR(__xludf.DUMMYFUNCTION("GOOGLETRANSLATE(B7893,""en"",""hy"")"),"Albert Einstein.")</f>
        <v>Albert Einstein.</v>
      </c>
    </row>
    <row r="7894">
      <c r="A7894" s="5" t="s">
        <v>7645</v>
      </c>
      <c r="B7894" s="5" t="s">
        <v>7646</v>
      </c>
      <c r="C7894" s="5" t="str">
        <f>IFERROR(__xludf.DUMMYFUNCTION("GOOGLETRANSLATE(A7894,""en"",""hy"")"),"Ո՞րն է Երկրի ամենամեծ օվկիանոսը:")</f>
        <v>Ո՞րն է Երկրի ամենամեծ օվկիանոսը:</v>
      </c>
      <c r="D7894" s="6" t="str">
        <f>IFERROR(__xludf.DUMMYFUNCTION("GOOGLETRANSLATE(B7894,""en"",""hy"")"),"Խաղաղ օվկիանոս.")</f>
        <v>Խաղաղ օվկիանոս.</v>
      </c>
    </row>
    <row r="7895">
      <c r="A7895" s="5" t="s">
        <v>9651</v>
      </c>
      <c r="B7895" s="5" t="s">
        <v>9652</v>
      </c>
      <c r="C7895" s="5" t="str">
        <f>IFERROR(__xludf.DUMMYFUNCTION("GOOGLETRANSLATE(A7895,""en"",""hy"")"),"Ո՞ր կենդանին է հայտնի իր երկար պարանոցով և բծերով:")</f>
        <v>Ո՞ր կենդանին է հայտնի իր երկար պարանոցով և բծերով:</v>
      </c>
      <c r="D7895" s="6" t="str">
        <f>IFERROR(__xludf.DUMMYFUNCTION("GOOGLETRANSLATE(B7895,""en"",""hy"")"),"Ընձուղտ.")</f>
        <v>Ընձուղտ.</v>
      </c>
    </row>
    <row r="7896">
      <c r="A7896" s="5" t="s">
        <v>7452</v>
      </c>
      <c r="B7896" s="5" t="s">
        <v>7453</v>
      </c>
      <c r="C7896" s="5" t="str">
        <f>IFERROR(__xludf.DUMMYFUNCTION("GOOGLETRANSLATE(A7896,""en"",""hy"")"),"Ո՞րն է ոսկու քիմիական նշանը:")</f>
        <v>Ո՞րն է ոսկու քիմիական նշանը:</v>
      </c>
      <c r="D7896" s="6" t="str">
        <f>IFERROR(__xludf.DUMMYFUNCTION("GOOGLETRANSLATE(B7896,""en"",""hy"")"),"Ոսկու քիմիական նշանը Au-ն է:")</f>
        <v>Ոսկու քիմիական նշանը Au-ն է:</v>
      </c>
    </row>
    <row r="7897">
      <c r="A7897" s="5" t="s">
        <v>8039</v>
      </c>
      <c r="B7897" s="5" t="s">
        <v>7921</v>
      </c>
      <c r="C7897" s="5" t="str">
        <f>IFERROR(__xludf.DUMMYFUNCTION("GOOGLETRANSLATE(A7897,""en"",""hy"")"),"Ո՞ր երկիրն է հայտնի Թաջ Մահալով:")</f>
        <v>Ո՞ր երկիրն է հայտնի Թաջ Մահալով:</v>
      </c>
      <c r="D7897" s="6" t="str">
        <f>IFERROR(__xludf.DUMMYFUNCTION("GOOGLETRANSLATE(B7897,""en"",""hy"")"),"Հնդկաստան.")</f>
        <v>Հնդկաստան.</v>
      </c>
    </row>
    <row r="7898">
      <c r="A7898" s="5" t="s">
        <v>8238</v>
      </c>
      <c r="B7898" s="5" t="s">
        <v>7867</v>
      </c>
      <c r="C7898" s="5" t="str">
        <f>IFERROR(__xludf.DUMMYFUNCTION("GOOGLETRANSLATE(A7898,""en"",""hy"")"),"Ո՞վ է «Մատանիների տիրակալը» եռերգության հեղինակը:")</f>
        <v>Ո՞վ է «Մատանիների տիրակալը» եռերգության հեղինակը:</v>
      </c>
      <c r="D7898" s="6" t="str">
        <f>IFERROR(__xludf.DUMMYFUNCTION("GOOGLETRANSLATE(B7898,""en"",""hy"")"),"Ջ.Ռ.Ռ. Թոլքինը։")</f>
        <v>Ջ.Ռ.Ռ. Թոլքինը։</v>
      </c>
    </row>
    <row r="7899">
      <c r="A7899" s="5" t="s">
        <v>7513</v>
      </c>
      <c r="B7899" s="5" t="s">
        <v>9653</v>
      </c>
      <c r="C7899" s="5" t="str">
        <f>IFERROR(__xludf.DUMMYFUNCTION("GOOGLETRANSLATE(A7899,""en"",""hy"")"),"Ո՞րն է աշխարհի ամենամեծ անապատը:")</f>
        <v>Ո՞րն է աշխարհի ամենամեծ անապատը:</v>
      </c>
      <c r="D7899" s="6" t="str">
        <f>IFERROR(__xludf.DUMMYFUNCTION("GOOGLETRANSLATE(B7899,""en"",""hy"")"),"Սահարա անապատ.")</f>
        <v>Սահարա անապատ.</v>
      </c>
    </row>
    <row r="7900">
      <c r="A7900" s="5" t="s">
        <v>9009</v>
      </c>
      <c r="B7900" s="5" t="s">
        <v>8359</v>
      </c>
      <c r="C7900" s="5" t="str">
        <f>IFERROR(__xludf.DUMMYFUNCTION("GOOGLETRANSLATE(A7900,""en"",""hy"")"),"Ո՞ր մայրցամաքն է հայտնի որպես «Մութ մայրցամաք»:")</f>
        <v>Ո՞ր մայրցամաքն է հայտնի որպես «Մութ մայրցամաք»:</v>
      </c>
      <c r="D7900" s="6" t="str">
        <f>IFERROR(__xludf.DUMMYFUNCTION("GOOGLETRANSLATE(B7900,""en"",""hy"")"),"Աֆրիկա.")</f>
        <v>Աֆրիկա.</v>
      </c>
    </row>
    <row r="7901">
      <c r="A7901" s="5" t="s">
        <v>7642</v>
      </c>
      <c r="B7901" s="5" t="s">
        <v>7643</v>
      </c>
      <c r="C7901" s="5" t="str">
        <f>IFERROR(__xludf.DUMMYFUNCTION("GOOGLETRANSLATE(A7901,""en"",""hy"")"),"Ո՞րն է Կանադայի մայրաքաղաքը:")</f>
        <v>Ո՞րն է Կանադայի մայրաքաղաքը:</v>
      </c>
      <c r="D7901" s="6" t="str">
        <f>IFERROR(__xludf.DUMMYFUNCTION("GOOGLETRANSLATE(B7901,""en"",""hy"")"),"Օտտավա")</f>
        <v>Օտտավա</v>
      </c>
    </row>
    <row r="7902">
      <c r="A7902" s="5" t="s">
        <v>7647</v>
      </c>
      <c r="B7902" s="5" t="s">
        <v>7648</v>
      </c>
      <c r="C7902" s="5" t="str">
        <f>IFERROR(__xludf.DUMMYFUNCTION("GOOGLETRANSLATE(A7902,""en"",""hy"")"),"Ո՞վ է նկարել «Աստղային գիշերը»:")</f>
        <v>Ո՞վ է նկարել «Աստղային գիշերը»:</v>
      </c>
      <c r="D7902" s="6" t="str">
        <f>IFERROR(__xludf.DUMMYFUNCTION("GOOGLETRANSLATE(B7902,""en"",""hy"")"),"Վինսենթ վան Գոգ.")</f>
        <v>Վինսենթ վան Գոգ.</v>
      </c>
    </row>
    <row r="7903">
      <c r="A7903" s="5" t="s">
        <v>7779</v>
      </c>
      <c r="B7903" s="5" t="s">
        <v>7446</v>
      </c>
      <c r="C7903" s="5" t="str">
        <f>IFERROR(__xludf.DUMMYFUNCTION("GOOGLETRANSLATE(A7903,""en"",""hy"")"),"Ո՞ր մոլորակն է հայտնի որպես «Կարմիր մոլորակ»:")</f>
        <v>Ո՞ր մոլորակն է հայտնի որպես «Կարմիր մոլորակ»:</v>
      </c>
      <c r="D7903" s="6" t="str">
        <f>IFERROR(__xludf.DUMMYFUNCTION("GOOGLETRANSLATE(B7903,""en"",""hy"")"),"Մարս.")</f>
        <v>Մարս.</v>
      </c>
    </row>
    <row r="7904">
      <c r="A7904" s="5" t="s">
        <v>7467</v>
      </c>
      <c r="B7904" s="5" t="s">
        <v>7766</v>
      </c>
      <c r="C7904" s="5" t="str">
        <f>IFERROR(__xludf.DUMMYFUNCTION("GOOGLETRANSLATE(A7904,""en"",""hy"")"),"Ո՞րն է Ճապոնիայի արժույթը:")</f>
        <v>Ո՞րն է Ճապոնիայի արժույթը:</v>
      </c>
      <c r="D7904" s="6" t="str">
        <f>IFERROR(__xludf.DUMMYFUNCTION("GOOGLETRANSLATE(B7904,""en"",""hy"")"),"Ճապոնիայի արժույթը ճապոնական իենն է։")</f>
        <v>Ճապոնիայի արժույթը ճապոնական իենն է։</v>
      </c>
    </row>
    <row r="7905">
      <c r="A7905" s="5" t="s">
        <v>7852</v>
      </c>
      <c r="B7905" s="5" t="s">
        <v>7853</v>
      </c>
      <c r="C7905" s="5" t="str">
        <f>IFERROR(__xludf.DUMMYFUNCTION("GOOGLETRANSLATE(A7905,""en"",""hy"")"),"Ո՞վ է ներկայիս Անգլիայի թագուհին:")</f>
        <v>Ո՞վ է ներկայիս Անգլիայի թագուհին:</v>
      </c>
      <c r="D7905" s="6" t="str">
        <f>IFERROR(__xludf.DUMMYFUNCTION("GOOGLETRANSLATE(B7905,""en"",""hy"")"),"Եղիսաբեթ II թագուհին.")</f>
        <v>Եղիսաբեթ II թագուհին.</v>
      </c>
    </row>
    <row r="7906">
      <c r="A7906" s="5" t="s">
        <v>8067</v>
      </c>
      <c r="B7906" s="5" t="s">
        <v>7472</v>
      </c>
      <c r="C7906" s="5" t="str">
        <f>IFERROR(__xludf.DUMMYFUNCTION("GOOGLETRANSLATE(A7906,""en"",""hy"")"),"Ո՞րն է աշխարհի ամենամեծ կաթնասունը:")</f>
        <v>Ո՞րն է աշխարհի ամենամեծ կաթնասունը:</v>
      </c>
      <c r="D7906" s="6" t="str">
        <f>IFERROR(__xludf.DUMMYFUNCTION("GOOGLETRANSLATE(B7906,""en"",""hy"")"),"Կապույտ կետը.")</f>
        <v>Կապույտ կետը.</v>
      </c>
    </row>
    <row r="7907">
      <c r="A7907" s="5" t="s">
        <v>7971</v>
      </c>
      <c r="B7907" s="5" t="s">
        <v>7972</v>
      </c>
      <c r="C7907" s="5" t="str">
        <f>IFERROR(__xludf.DUMMYFUNCTION("GOOGLETRANSLATE(A7907,""en"",""hy"")"),"Ո՞ր երկիրն է հայտնի Էյֆելյան աշտարակով:")</f>
        <v>Ո՞ր երկիրն է հայտնի Էյֆելյան աշտարակով:</v>
      </c>
      <c r="D7907" s="6" t="str">
        <f>IFERROR(__xludf.DUMMYFUNCTION("GOOGLETRANSLATE(B7907,""en"",""hy"")"),"Ֆրանսիա.")</f>
        <v>Ֆրանսիա.</v>
      </c>
    </row>
    <row r="7908">
      <c r="A7908" s="5" t="s">
        <v>7465</v>
      </c>
      <c r="B7908" s="5" t="s">
        <v>7466</v>
      </c>
      <c r="C7908" s="5" t="str">
        <f>IFERROR(__xludf.DUMMYFUNCTION("GOOGLETRANSLATE(A7908,""en"",""hy"")"),"Ո՞վ է գրել «Հպարտություն և նախապաշարմունք» վեպը:")</f>
        <v>Ո՞վ է գրել «Հպարտություն և նախապաշարմունք» վեպը:</v>
      </c>
      <c r="D7908" s="6" t="str">
        <f>IFERROR(__xludf.DUMMYFUNCTION("GOOGLETRANSLATE(B7908,""en"",""hy"")"),"Ջեյն Օսթին")</f>
        <v>Ջեյն Օսթին</v>
      </c>
    </row>
    <row r="7909">
      <c r="A7909" s="5" t="s">
        <v>7672</v>
      </c>
      <c r="B7909" s="5" t="s">
        <v>7673</v>
      </c>
      <c r="C7909" s="5" t="str">
        <f>IFERROR(__xludf.DUMMYFUNCTION("GOOGLETRANSLATE(A7909,""en"",""hy"")"),"Ո՞րն է Հարավային Ամերիկայի ամենամեծ երկիրը:")</f>
        <v>Ո՞րն է Հարավային Ամերիկայի ամենամեծ երկիրը:</v>
      </c>
      <c r="D7909" s="6" t="str">
        <f>IFERROR(__xludf.DUMMYFUNCTION("GOOGLETRANSLATE(B7909,""en"",""hy"")"),"Բրազիլիա.")</f>
        <v>Բրազիլիա.</v>
      </c>
    </row>
    <row r="7910">
      <c r="A7910" s="5" t="s">
        <v>9654</v>
      </c>
      <c r="B7910" s="5" t="s">
        <v>9655</v>
      </c>
      <c r="C7910" s="5" t="str">
        <f>IFERROR(__xludf.DUMMYFUNCTION("GOOGLETRANSLATE(A7910,""en"",""hy"")"),"Ո՞վ է Հին Հունաստանի ամենահայտնի դրամատուրգը:")</f>
        <v>Ո՞վ է Հին Հունաստանի ամենահայտնի դրամատուրգը:</v>
      </c>
      <c r="D7910" s="6" t="str">
        <f>IFERROR(__xludf.DUMMYFUNCTION("GOOGLETRANSLATE(B7910,""en"",""hy"")"),"Հին Հունաստանի ամենահայտնի դրամատուրգը Սոֆոկլեսն է։")</f>
        <v>Հին Հունաստանի ամենահայտնի դրամատուրգը Սոֆոկլեսն է։</v>
      </c>
    </row>
    <row r="7911">
      <c r="A7911" s="5" t="s">
        <v>8023</v>
      </c>
      <c r="B7911" s="5" t="s">
        <v>8024</v>
      </c>
      <c r="C7911" s="5" t="str">
        <f>IFERROR(__xludf.DUMMYFUNCTION("GOOGLETRANSLATE(A7911,""en"",""hy"")"),"Ո՞րն է աշխարհի ամենաբարձր կենդանին:")</f>
        <v>Ո՞րն է աշխարհի ամենաբարձր կենդանին:</v>
      </c>
      <c r="D7911" s="6" t="str">
        <f>IFERROR(__xludf.DUMMYFUNCTION("GOOGLETRANSLATE(B7911,""en"",""hy"")"),"Ընձուղտը.")</f>
        <v>Ընձուղտը.</v>
      </c>
    </row>
    <row r="7912">
      <c r="A7912" s="5" t="s">
        <v>8648</v>
      </c>
      <c r="B7912" s="5" t="s">
        <v>7512</v>
      </c>
      <c r="C7912" s="5" t="str">
        <f>IFERROR(__xludf.DUMMYFUNCTION("GOOGLETRANSLATE(A7912,""en"",""hy"")"),"Ո՞ր երկիրն է հայտնի Գիզայի բուրգերով:")</f>
        <v>Ո՞ր երկիրն է հայտնի Գիզայի բուրգերով:</v>
      </c>
      <c r="D7912" s="6" t="str">
        <f>IFERROR(__xludf.DUMMYFUNCTION("GOOGLETRANSLATE(B7912,""en"",""hy"")"),"Եգիպտոս.")</f>
        <v>Եգիպտոս.</v>
      </c>
    </row>
    <row r="7913">
      <c r="A7913" s="5" t="s">
        <v>8843</v>
      </c>
      <c r="B7913" s="5" t="s">
        <v>9176</v>
      </c>
      <c r="C7913" s="5" t="str">
        <f>IFERROR(__xludf.DUMMYFUNCTION("GOOGLETRANSLATE(A7913,""en"",""hy"")"),"Ո՞վ է Հնդկաստանի ներկայիս վարչապետը:")</f>
        <v>Ո՞վ է Հնդկաստանի ներկայիս վարչապետը:</v>
      </c>
      <c r="D7913" s="6" t="str">
        <f>IFERROR(__xludf.DUMMYFUNCTION("GOOGLETRANSLATE(B7913,""en"",""hy"")"),"Նարենդրա Մոդի.")</f>
        <v>Նարենդրա Մոդի.</v>
      </c>
    </row>
    <row r="7914">
      <c r="A7914" s="5" t="s">
        <v>7653</v>
      </c>
      <c r="B7914" s="5" t="s">
        <v>1307</v>
      </c>
      <c r="C7914" s="5" t="str">
        <f>IFERROR(__xludf.DUMMYFUNCTION("GOOGLETRANSLATE(A7914,""en"",""hy"")"),"Ո՞րն է Իսպանիայի մայրաքաղաքը:")</f>
        <v>Ո՞րն է Իսպանիայի մայրաքաղաքը:</v>
      </c>
      <c r="D7914" s="6" t="str">
        <f>IFERROR(__xludf.DUMMYFUNCTION("GOOGLETRANSLATE(B7914,""en"",""hy"")"),"Մադրիդ.")</f>
        <v>Մադրիդ.</v>
      </c>
    </row>
    <row r="7915">
      <c r="A7915" s="5" t="s">
        <v>7805</v>
      </c>
      <c r="B7915" s="5" t="s">
        <v>7951</v>
      </c>
      <c r="C7915" s="5" t="str">
        <f>IFERROR(__xludf.DUMMYFUNCTION("GOOGLETRANSLATE(A7915,""en"",""hy"")"),"Ո՞ր մոլորակն է հայտնի որպես «Կապույտ մոլորակ»:")</f>
        <v>Ո՞ր մոլորակն է հայտնի որպես «Կապույտ մոլորակ»:</v>
      </c>
      <c r="D7915" s="6" t="str">
        <f>IFERROR(__xludf.DUMMYFUNCTION("GOOGLETRANSLATE(B7915,""en"",""hy"")"),"Երկիր")</f>
        <v>Երկիր</v>
      </c>
    </row>
    <row r="7916">
      <c r="A7916" s="5" t="s">
        <v>7561</v>
      </c>
      <c r="B7916" s="5" t="s">
        <v>7562</v>
      </c>
      <c r="C7916" s="5" t="str">
        <f>IFERROR(__xludf.DUMMYFUNCTION("GOOGLETRANSLATE(A7916,""en"",""hy"")"),"Ո՞րն է Մեքսիկայի արժույթը:")</f>
        <v>Ո՞րն է Մեքսիկայի արժույթը:</v>
      </c>
      <c r="D7916" s="6" t="str">
        <f>IFERROR(__xludf.DUMMYFUNCTION("GOOGLETRANSLATE(B7916,""en"",""hy"")"),"Մեքսիկայի արժույթը մեքսիկական պեսոն է։")</f>
        <v>Մեքսիկայի արժույթը մեքսիկական պեսոն է։</v>
      </c>
    </row>
    <row r="7917">
      <c r="A7917" s="5" t="s">
        <v>7801</v>
      </c>
      <c r="B7917" s="5" t="s">
        <v>7541</v>
      </c>
      <c r="C7917" s="5" t="str">
        <f>IFERROR(__xludf.DUMMYFUNCTION("GOOGLETRANSLATE(A7917,""en"",""hy"")"),"Ո՞վ է «Սպանել ծաղրող թռչունին» գրքի հեղինակը:")</f>
        <v>Ո՞վ է «Սպանել ծաղրող թռչունին» գրքի հեղինակը:</v>
      </c>
      <c r="D7917" s="6" t="str">
        <f>IFERROR(__xludf.DUMMYFUNCTION("GOOGLETRANSLATE(B7917,""en"",""hy"")"),"Հարփեր Լի.")</f>
        <v>Հարփեր Լի.</v>
      </c>
    </row>
    <row r="7918">
      <c r="A7918" s="5" t="s">
        <v>7691</v>
      </c>
      <c r="B7918" s="5" t="s">
        <v>8421</v>
      </c>
      <c r="C7918" s="5" t="str">
        <f>IFERROR(__xludf.DUMMYFUNCTION("GOOGLETRANSLATE(A7918,""en"",""hy"")"),"Ո՞րն է Աֆրիկայի ամենամեծ լիճը:")</f>
        <v>Ո՞րն է Աֆրիկայի ամենամեծ լիճը:</v>
      </c>
      <c r="D7918" s="6" t="str">
        <f>IFERROR(__xludf.DUMMYFUNCTION("GOOGLETRANSLATE(B7918,""en"",""hy"")"),"Աֆրիկայի ամենամեծ լիճը Վիկտորիա լիճն է:")</f>
        <v>Աֆրիկայի ամենամեծ լիճը Վիկտորիա լիճն է:</v>
      </c>
    </row>
    <row r="7919">
      <c r="A7919" s="5" t="s">
        <v>9656</v>
      </c>
      <c r="B7919" s="5" t="s">
        <v>9657</v>
      </c>
      <c r="C7919" s="5" t="str">
        <f>IFERROR(__xludf.DUMMYFUNCTION("GOOGLETRANSLATE(A7919,""en"",""hy"")"),"Ո՞ր կենդանիներն են հանդիպում միայն Ավստրալիայում և հայտնի են իրենց տոպրակներով:")</f>
        <v>Ո՞ր կենդանիներն են հանդիպում միայն Ավստրալիայում և հայտնի են իրենց տոպրակներով:</v>
      </c>
      <c r="D7919" s="6" t="str">
        <f>IFERROR(__xludf.DUMMYFUNCTION("GOOGLETRANSLATE(B7919,""en"",""hy"")"),"Կենգուրուներ, կոալաներ և վոմբատներ.")</f>
        <v>Կենգուրուներ, կոալաներ և վոմբատներ.</v>
      </c>
    </row>
    <row r="7920">
      <c r="A7920" s="5" t="s">
        <v>7804</v>
      </c>
      <c r="B7920" s="5" t="s">
        <v>7828</v>
      </c>
      <c r="C7920" s="5" t="str">
        <f>IFERROR(__xludf.DUMMYFUNCTION("GOOGLETRANSLATE(A7920,""en"",""hy"")"),"Ո՞վ է նկարել Վերջին ընթրիքը:")</f>
        <v>Ո՞վ է նկարել Վերջին ընթրիքը:</v>
      </c>
      <c r="D7920" s="6" t="str">
        <f>IFERROR(__xludf.DUMMYFUNCTION("GOOGLETRANSLATE(B7920,""en"",""hy"")"),"Լեոնարդո դա Վինչի")</f>
        <v>Լեոնարդո դա Վինչի</v>
      </c>
    </row>
    <row r="7921">
      <c r="A7921" s="5" t="s">
        <v>7509</v>
      </c>
      <c r="B7921" s="5" t="s">
        <v>7684</v>
      </c>
      <c r="C7921" s="5" t="str">
        <f>IFERROR(__xludf.DUMMYFUNCTION("GOOGLETRANSLATE(A7921,""en"",""hy"")"),"Ո՞րն է արծաթի քիմիական նշանը:")</f>
        <v>Ո՞րն է արծաթի քիմիական նշանը:</v>
      </c>
      <c r="D7921" s="6" t="str">
        <f>IFERROR(__xludf.DUMMYFUNCTION("GOOGLETRANSLATE(B7921,""en"",""hy"")"),"Արծաթի քիմիական խորհրդանիշն է Ag.")</f>
        <v>Արծաթի քիմիական խորհրդանիշն է Ag.</v>
      </c>
    </row>
    <row r="7922">
      <c r="A7922" s="5" t="s">
        <v>7618</v>
      </c>
      <c r="B7922" s="5" t="s">
        <v>8266</v>
      </c>
      <c r="C7922" s="5" t="str">
        <f>IFERROR(__xludf.DUMMYFUNCTION("GOOGLETRANSLATE(A7922,""en"",""hy"")"),"Ո՞րն է աշխարհի ամենամեծ ջրվեժը:")</f>
        <v>Ո՞րն է աշխարհի ամենամեծ ջրվեժը:</v>
      </c>
      <c r="D7922" s="6" t="str">
        <f>IFERROR(__xludf.DUMMYFUNCTION("GOOGLETRANSLATE(B7922,""en"",""hy"")"),"Աշխարհի ամենամեծ ջրվեժը Վենեսուելայում գտնվող Անխել ջրվեժն է:")</f>
        <v>Աշխարհի ամենամեծ ջրվեժը Վենեսուելայում գտնվող Անխել ջրվեժն է:</v>
      </c>
    </row>
    <row r="7923">
      <c r="A7923" s="5" t="s">
        <v>8639</v>
      </c>
      <c r="B7923" s="5" t="s">
        <v>6334</v>
      </c>
      <c r="C7923" s="5" t="str">
        <f>IFERROR(__xludf.DUMMYFUNCTION("GOOGLETRANSLATE(A7923,""en"",""hy"")"),"Ո՞ր երկիրն է հայտնի Կոլիզեյով:")</f>
        <v>Ո՞ր երկիրն է հայտնի Կոլիզեյով:</v>
      </c>
      <c r="D7923" s="6" t="str">
        <f>IFERROR(__xludf.DUMMYFUNCTION("GOOGLETRANSLATE(B7923,""en"",""hy"")"),"Իտալիա.")</f>
        <v>Իտալիա.</v>
      </c>
    </row>
    <row r="7924">
      <c r="A7924" s="5" t="s">
        <v>7528</v>
      </c>
      <c r="B7924" s="5" t="s">
        <v>9231</v>
      </c>
      <c r="C7924" s="5" t="str">
        <f>IFERROR(__xludf.DUMMYFUNCTION("GOOGLETRANSLATE(A7924,""en"",""hy"")"),"Ո՞վ է Գերմանիայի ներկայիս կանցլերը:")</f>
        <v>Ո՞վ է Գերմանիայի ներկայիս կանցլերը:</v>
      </c>
      <c r="D7924" s="6" t="str">
        <f>IFERROR(__xludf.DUMMYFUNCTION("GOOGLETRANSLATE(B7924,""en"",""hy"")"),"Գերմանիայի ներկայիս կանցլերն Անգելա Մերկելն է։")</f>
        <v>Գերմանիայի ներկայիս կանցլերն Անգելա Մերկելն է։</v>
      </c>
    </row>
    <row r="7925">
      <c r="A7925" s="5" t="s">
        <v>7649</v>
      </c>
      <c r="B7925" s="5" t="s">
        <v>7756</v>
      </c>
      <c r="C7925" s="5" t="str">
        <f>IFERROR(__xludf.DUMMYFUNCTION("GOOGLETRANSLATE(A7925,""en"",""hy"")"),"Ո՞րն է Ավստրալիայի արժույթը:")</f>
        <v>Ո՞րն է Ավստրալիայի արժույթը:</v>
      </c>
      <c r="D7925" s="6" t="str">
        <f>IFERROR(__xludf.DUMMYFUNCTION("GOOGLETRANSLATE(B7925,""en"",""hy"")"),"Ավստրալիայի արժույթը ավստրալիական դոլարն է։")</f>
        <v>Ավստրալիայի արժույթը ավստրալիական դոլարն է։</v>
      </c>
    </row>
    <row r="7926">
      <c r="A7926" s="5" t="s">
        <v>9658</v>
      </c>
      <c r="B7926" s="5" t="s">
        <v>7613</v>
      </c>
      <c r="C7926" s="5" t="str">
        <f>IFERROR(__xludf.DUMMYFUNCTION("GOOGLETRANSLATE(A7926,""en"",""hy"")"),"Ո՞վ է Մեծ Գեթսբիի հեղինակը:")</f>
        <v>Ո՞վ է Մեծ Գեթսբիի հեղինակը:</v>
      </c>
      <c r="D7926" s="6" t="str">
        <f>IFERROR(__xludf.DUMMYFUNCTION("GOOGLETRANSLATE(B7926,""en"",""hy"")"),"F. Scott Fitzgerald")</f>
        <v>F. Scott Fitzgerald</v>
      </c>
    </row>
    <row r="7927">
      <c r="A7927" s="5" t="s">
        <v>7489</v>
      </c>
      <c r="B7927" s="5" t="s">
        <v>7490</v>
      </c>
      <c r="C7927" s="5" t="str">
        <f>IFERROR(__xludf.DUMMYFUNCTION("GOOGLETRANSLATE(A7927,""en"",""hy"")"),"Ո՞րն է աշխարհի ամենաբարձր շենքը:")</f>
        <v>Ո՞րն է աշխարհի ամենաբարձր շենքը:</v>
      </c>
      <c r="D7927" s="6" t="str">
        <f>IFERROR(__xludf.DUMMYFUNCTION("GOOGLETRANSLATE(B7927,""en"",""hy"")"),"Աշխարհի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7928">
      <c r="A7928" s="5" t="s">
        <v>9659</v>
      </c>
      <c r="B7928" s="5" t="s">
        <v>7912</v>
      </c>
      <c r="C7928" s="5" t="str">
        <f>IFERROR(__xludf.DUMMYFUNCTION("GOOGLETRANSLATE(A7928,""en"",""hy"")"),"Ո՞ր մոլորակն է հայտնի որպես «Գազային հսկա»:")</f>
        <v>Ո՞ր մոլորակն է հայտնի որպես «Գազային հսկա»:</v>
      </c>
      <c r="D7928" s="6" t="str">
        <f>IFERROR(__xludf.DUMMYFUNCTION("GOOGLETRANSLATE(B7928,""en"",""hy"")"),"Յուպիտեր")</f>
        <v>Յուպիտեր</v>
      </c>
    </row>
    <row r="7929">
      <c r="A7929" s="5" t="s">
        <v>7595</v>
      </c>
      <c r="B7929" s="5" t="s">
        <v>7596</v>
      </c>
      <c r="C7929" s="5" t="str">
        <f>IFERROR(__xludf.DUMMYFUNCTION("GOOGLETRANSLATE(A7929,""en"",""hy"")"),"Ո՞րն է Բրազիլիայի արժույթը:")</f>
        <v>Ո՞րն է Բրազիլիայի արժույթը:</v>
      </c>
      <c r="D7929" s="6" t="str">
        <f>IFERROR(__xludf.DUMMYFUNCTION("GOOGLETRANSLATE(B7929,""en"",""hy"")"),"Բրազիլիայի արժույթը բրազիլական ռեալն է։")</f>
        <v>Բրազիլիայի արժույթը բրազիլական ռեալն է։</v>
      </c>
    </row>
    <row r="7930">
      <c r="A7930" s="5" t="s">
        <v>7521</v>
      </c>
      <c r="B7930" s="5" t="s">
        <v>1016</v>
      </c>
      <c r="C7930" s="5" t="str">
        <f>IFERROR(__xludf.DUMMYFUNCTION("GOOGLETRANSLATE(A7930,""en"",""hy"")"),"Ո՞վ է գրել Համլետ պիեսը:")</f>
        <v>Ո՞վ է գրել Համլետ պիեսը:</v>
      </c>
      <c r="D7930" s="6" t="str">
        <f>IFERROR(__xludf.DUMMYFUNCTION("GOOGLETRANSLATE(B7930,""en"",""hy"")"),"Ուիլյամ Շեքսպիր.")</f>
        <v>Ուիլյամ Շեքսպիր.</v>
      </c>
    </row>
    <row r="7931">
      <c r="A7931" s="5" t="s">
        <v>9178</v>
      </c>
      <c r="B7931" s="5" t="s">
        <v>9179</v>
      </c>
      <c r="C7931" s="5" t="str">
        <f>IFERROR(__xludf.DUMMYFUNCTION("GOOGLETRANSLATE(A7931,""en"",""hy"")"),"Ո՞րն է Հյուսիսային Ամերիկայի ամենամեծ անապատը:")</f>
        <v>Ո՞րն է Հյուսիսային Ամերիկայի ամենամեծ անապատը:</v>
      </c>
      <c r="D7931" s="6" t="str">
        <f>IFERROR(__xludf.DUMMYFUNCTION("GOOGLETRANSLATE(B7931,""en"",""hy"")"),"Հյուսիսային Ամերիկայի ամենամեծ անապատը Չիուահուան անապատն է:")</f>
        <v>Հյուսիսային Ամերիկայի ամենամեծ անապատը Չիուահուան անապատն է:</v>
      </c>
    </row>
    <row r="7932">
      <c r="A7932" s="5" t="s">
        <v>9660</v>
      </c>
      <c r="B7932" s="5" t="s">
        <v>6334</v>
      </c>
      <c r="C7932" s="5" t="str">
        <f>IFERROR(__xludf.DUMMYFUNCTION("GOOGLETRANSLATE(A7932,""en"",""hy"")"),"Ո՞ր երկիրն է հայտնի Պիզայի թեք աշտարակով:")</f>
        <v>Ո՞ր երկիրն է հայտնի Պիզայի թեք աշտարակով:</v>
      </c>
      <c r="D7932" s="6" t="str">
        <f>IFERROR(__xludf.DUMMYFUNCTION("GOOGLETRANSLATE(B7932,""en"",""hy"")"),"Իտալիա.")</f>
        <v>Իտալիա.</v>
      </c>
    </row>
    <row r="7933">
      <c r="A7933" s="5" t="s">
        <v>8159</v>
      </c>
      <c r="B7933" s="5" t="s">
        <v>8160</v>
      </c>
      <c r="C7933" s="5" t="str">
        <f>IFERROR(__xludf.DUMMYFUNCTION("GOOGLETRANSLATE(A7933,""en"",""hy"")"),"Ո՞վ է Ռուսաստանի ներկայիս նախագահը.")</f>
        <v>Ո՞վ է Ռուսաստանի ներկայիս նախագահը.</v>
      </c>
      <c r="D7933" s="6" t="str">
        <f>IFERROR(__xludf.DUMMYFUNCTION("GOOGLETRANSLATE(B7933,""en"",""hy"")"),"Վլադիմիր Պուտին.")</f>
        <v>Վլադիմիր Պուտին.</v>
      </c>
    </row>
    <row r="7934">
      <c r="A7934" s="5" t="s">
        <v>7627</v>
      </c>
      <c r="B7934" s="5" t="s">
        <v>7501</v>
      </c>
      <c r="C7934" s="5" t="str">
        <f>IFERROR(__xludf.DUMMYFUNCTION("GOOGLETRANSLATE(A7934,""en"",""hy"")"),"Ո՞րն է Ֆրանսիայի մայրաքաղաքը:")</f>
        <v>Ո՞րն է Ֆրանսիայի մայրաքաղաքը:</v>
      </c>
      <c r="D7934" s="6" t="str">
        <f>IFERROR(__xludf.DUMMYFUNCTION("GOOGLETRANSLATE(B7934,""en"",""hy"")"),"Փարիզ.")</f>
        <v>Փարիզ.</v>
      </c>
    </row>
    <row r="7935">
      <c r="A7935" s="5" t="s">
        <v>9661</v>
      </c>
      <c r="B7935" s="5" t="s">
        <v>9662</v>
      </c>
      <c r="C7935" s="5" t="str">
        <f>IFERROR(__xludf.DUMMYFUNCTION("GOOGLETRANSLATE(A7935,""en"",""hy"")"),"Ո՞րն է Հյուսիսային Ամերիկայի ամենամեծ գետը:")</f>
        <v>Ո՞րն է Հյուսիսային Ամերիկայի ամենամեծ գետը:</v>
      </c>
      <c r="D7935" s="6" t="str">
        <f>IFERROR(__xludf.DUMMYFUNCTION("GOOGLETRANSLATE(B7935,""en"",""hy"")"),"Միսիսիպի գետը.")</f>
        <v>Միսիսիպի գետը.</v>
      </c>
    </row>
    <row r="7936">
      <c r="A7936" s="5" t="s">
        <v>9048</v>
      </c>
      <c r="B7936" s="5" t="s">
        <v>7936</v>
      </c>
      <c r="C7936" s="5" t="str">
        <f>IFERROR(__xludf.DUMMYFUNCTION("GOOGLETRANSLATE(A7936,""en"",""hy"")"),"Ո՞ր կենդանին է հայտնի որպես «Ջունգլիների արքա»:")</f>
        <v>Ո՞ր կենդանին է հայտնի որպես «Ջունգլիների արքա»:</v>
      </c>
      <c r="D7936" s="6" t="str">
        <f>IFERROR(__xludf.DUMMYFUNCTION("GOOGLETRANSLATE(B7936,""en"",""hy"")"),"Առյուծը.")</f>
        <v>Առյուծը.</v>
      </c>
    </row>
    <row r="7937">
      <c r="A7937" s="5" t="s">
        <v>9663</v>
      </c>
      <c r="B7937" s="5" t="s">
        <v>7710</v>
      </c>
      <c r="C7937" s="5" t="str">
        <f>IFERROR(__xludf.DUMMYFUNCTION("GOOGLETRANSLATE(A7937,""en"",""hy"")"),"Ո՞վ է նկարել Գերնիկան:")</f>
        <v>Ո՞վ է նկարել Գերնիկան:</v>
      </c>
      <c r="D7937" s="6" t="str">
        <f>IFERROR(__xludf.DUMMYFUNCTION("GOOGLETRANSLATE(B7937,""en"",""hy"")"),"Պաբլո Պիկասո.")</f>
        <v>Պաբլո Պիկասո.</v>
      </c>
    </row>
    <row r="7938">
      <c r="A7938" s="5" t="s">
        <v>7557</v>
      </c>
      <c r="B7938" s="5" t="s">
        <v>7857</v>
      </c>
      <c r="C7938" s="5" t="str">
        <f>IFERROR(__xludf.DUMMYFUNCTION("GOOGLETRANSLATE(A7938,""en"",""hy"")"),"Ո՞րն է երկաթի քիմիական նշանը:")</f>
        <v>Ո՞րն է երկաթի քիմիական նշանը:</v>
      </c>
      <c r="D7938" s="6" t="str">
        <f>IFERROR(__xludf.DUMMYFUNCTION("GOOGLETRANSLATE(B7938,""en"",""hy"")"),"Երկաթի քիմիական նշանը Fe է:")</f>
        <v>Երկաթի քիմիական նշանը Fe է:</v>
      </c>
    </row>
    <row r="7939">
      <c r="A7939" s="5" t="s">
        <v>9128</v>
      </c>
      <c r="B7939" s="5" t="s">
        <v>7994</v>
      </c>
      <c r="C7939" s="5" t="str">
        <f>IFERROR(__xludf.DUMMYFUNCTION("GOOGLETRANSLATE(A7939,""en"",""hy"")"),"Ո՞ր երկիրն է հայտնի Ազատության արձանով:")</f>
        <v>Ո՞ր երկիրն է հայտնի Ազատության արձանով:</v>
      </c>
      <c r="D7939" s="6" t="str">
        <f>IFERROR(__xludf.DUMMYFUNCTION("GOOGLETRANSLATE(B7939,""en"",""hy"")"),"Ազատության արձանը գտնվում է ԱՄՆ-ում։")</f>
        <v>Ազատության արձանը գտնվում է ԱՄՆ-ում։</v>
      </c>
    </row>
    <row r="7940">
      <c r="A7940" s="5" t="s">
        <v>9664</v>
      </c>
      <c r="B7940" s="5" t="s">
        <v>8273</v>
      </c>
      <c r="C7940" s="5" t="str">
        <f>IFERROR(__xludf.DUMMYFUNCTION("GOOGLETRANSLATE(A7940,""en"",""hy"")"),"Ո՞վ է The Catcher in the Rye-ի հեղինակը:")</f>
        <v>Ո՞վ է The Catcher in the Rye-ի հեղինակը:</v>
      </c>
      <c r="D7940" s="6" t="str">
        <f>IFERROR(__xludf.DUMMYFUNCTION("GOOGLETRANSLATE(B7940,""en"",""hy"")"),"Ջ.Դ.Սելինջեր")</f>
        <v>Ջ.Դ.Սելինջեր</v>
      </c>
    </row>
    <row r="7941">
      <c r="A7941" s="5" t="s">
        <v>7526</v>
      </c>
      <c r="B7941" s="5" t="s">
        <v>7527</v>
      </c>
      <c r="C7941" s="5" t="str">
        <f>IFERROR(__xludf.DUMMYFUNCTION("GOOGLETRANSLATE(A7941,""en"",""hy"")"),"Ո՞րն է աշխարհի ամենամեծ կղզին:")</f>
        <v>Ո՞րն է աշխարհի ամենամեծ կղզին:</v>
      </c>
      <c r="D7941" s="6" t="str">
        <f>IFERROR(__xludf.DUMMYFUNCTION("GOOGLETRANSLATE(B7941,""en"",""hy"")"),"Գրենլանդիա.")</f>
        <v>Գրենլանդիա.</v>
      </c>
    </row>
    <row r="7942">
      <c r="A7942" s="5" t="s">
        <v>9665</v>
      </c>
      <c r="B7942" s="5" t="s">
        <v>9666</v>
      </c>
      <c r="C7942" s="5" t="str">
        <f>IFERROR(__xludf.DUMMYFUNCTION("GOOGLETRANSLATE(A7942,""en"",""hy"")"),"Ո՞ր մոլորակն է հայտնի որպես «Սառցե հսկա գնդակ»:")</f>
        <v>Ո՞ր մոլորակն է հայտնի որպես «Սառցե հսկա գնդակ»:</v>
      </c>
      <c r="D7942" s="6" t="str">
        <f>IFERROR(__xludf.DUMMYFUNCTION("GOOGLETRANSLATE(B7942,""en"",""hy"")"),"Նեպտուն.")</f>
        <v>Նեպտուն.</v>
      </c>
    </row>
    <row r="7943">
      <c r="A7943" s="5" t="s">
        <v>7522</v>
      </c>
      <c r="B7943" s="5" t="s">
        <v>9667</v>
      </c>
      <c r="C7943" s="5" t="str">
        <f>IFERROR(__xludf.DUMMYFUNCTION("GOOGLETRANSLATE(A7943,""en"",""hy"")"),"Ո՞րն է Չինաստանի արժույթը:")</f>
        <v>Ո՞րն է Չինաստանի արժույթը:</v>
      </c>
      <c r="D7943" s="6" t="str">
        <f>IFERROR(__xludf.DUMMYFUNCTION("GOOGLETRANSLATE(B7943,""en"",""hy"")"),"Չինաստանի արժույթը չինական յուանն է կամ ռենմինբին։")</f>
        <v>Չինաստանի արժույթը չինական յուանն է կամ ռենմինբին։</v>
      </c>
    </row>
    <row r="7944">
      <c r="A7944" s="5" t="s">
        <v>7566</v>
      </c>
      <c r="B7944" s="5" t="s">
        <v>8978</v>
      </c>
      <c r="C7944" s="5" t="str">
        <f>IFERROR(__xludf.DUMMYFUNCTION("GOOGLETRANSLATE(A7944,""en"",""hy"")"),"Ո՞վ է Կանադայի ներկայիս վարչապետը:")</f>
        <v>Ո՞վ է Կանադայի ներկայիս վարչապետը:</v>
      </c>
      <c r="D7944" s="6" t="str">
        <f>IFERROR(__xludf.DUMMYFUNCTION("GOOGLETRANSLATE(B7944,""en"",""hy"")"),"Կանադայի ներկայիս վարչապետը Ջասթին Թրյուդոն է։")</f>
        <v>Կանադայի ներկայիս վարչապետը Ջասթին Թրյուդոն է։</v>
      </c>
    </row>
    <row r="7945">
      <c r="A7945" s="5" t="s">
        <v>7686</v>
      </c>
      <c r="B7945" s="5" t="s">
        <v>7814</v>
      </c>
      <c r="C7945" s="5" t="str">
        <f>IFERROR(__xludf.DUMMYFUNCTION("GOOGLETRANSLATE(A7945,""en"",""hy"")"),"Ո՞րն է Գերմանիայի մայրաքաղաքը:")</f>
        <v>Ո՞րն է Գերմանիայի մայրաքաղաքը:</v>
      </c>
      <c r="D7945" s="6" t="str">
        <f>IFERROR(__xludf.DUMMYFUNCTION("GOOGLETRANSLATE(B7945,""en"",""hy"")"),"Գերմանիայի մայրաքաղաքը Բեռլինն է։")</f>
        <v>Գերմանիայի մայրաքաղաքը Բեռլինն է։</v>
      </c>
    </row>
    <row r="7946">
      <c r="A7946" s="5" t="s">
        <v>9147</v>
      </c>
      <c r="B7946" s="5" t="s">
        <v>9110</v>
      </c>
      <c r="C7946" s="5" t="str">
        <f>IFERROR(__xludf.DUMMYFUNCTION("GOOGLETRANSLATE(A7946,""en"",""hy"")"),"Ո՞ր գետն է հոսում Գրանդ Կանյոնով:")</f>
        <v>Ո՞ր գետն է հոսում Գրանդ Կանյոնով:</v>
      </c>
      <c r="D7946" s="6" t="str">
        <f>IFERROR(__xludf.DUMMYFUNCTION("GOOGLETRANSLATE(B7946,""en"",""hy"")"),"Կոլորադո գետը.")</f>
        <v>Կոլորադո գետը.</v>
      </c>
    </row>
    <row r="7947">
      <c r="A7947" s="5" t="s">
        <v>7508</v>
      </c>
      <c r="B7947" s="5" t="s">
        <v>7444</v>
      </c>
      <c r="C7947" s="5" t="str">
        <f>IFERROR(__xludf.DUMMYFUNCTION("GOOGLETRANSLATE(A7947,""en"",""hy"")"),"Ո՞վ է գրել վեպը 1984 թ.")</f>
        <v>Ո՞վ է գրել վեպը 1984 թ.</v>
      </c>
      <c r="D7947" s="6" t="str">
        <f>IFERROR(__xludf.DUMMYFUNCTION("GOOGLETRANSLATE(B7947,""en"",""hy"")"),"Ջորջ Օրուել.")</f>
        <v>Ջորջ Օրուել.</v>
      </c>
    </row>
    <row r="7948">
      <c r="A7948" s="5" t="s">
        <v>9668</v>
      </c>
      <c r="B7948" s="5" t="s">
        <v>9669</v>
      </c>
      <c r="C7948" s="5" t="str">
        <f>IFERROR(__xludf.DUMMYFUNCTION("GOOGLETRANSLATE(A7948,""en"",""hy"")"),"Ո՞րն է Հարավային Ամերիկայի ամենամեծ լիճը:")</f>
        <v>Ո՞րն է Հարավային Ամերիկայի ամենամեծ լիճը:</v>
      </c>
      <c r="D7948" s="6" t="str">
        <f>IFERROR(__xludf.DUMMYFUNCTION("GOOGLETRANSLATE(B7948,""en"",""hy"")"),"Հարավային Ամերիկայի ամենամեծ լիճը Տիտիկակա լիճն է։")</f>
        <v>Հարավային Ամերիկայի ամենամեծ լիճը Տիտիկակա լիճն է։</v>
      </c>
    </row>
    <row r="7949">
      <c r="A7949" s="5" t="s">
        <v>9670</v>
      </c>
      <c r="B7949" s="5" t="s">
        <v>9671</v>
      </c>
      <c r="C7949" s="5" t="str">
        <f>IFERROR(__xludf.DUMMYFUNCTION("GOOGLETRANSLATE(A7949,""en"",""hy"")"),"Ո՞ր կենդանիներն են հայտնի իրենց սև և սպիտակ գծերով:")</f>
        <v>Ո՞ր կենդանիներն են հայտնի իրենց սև և սպիտակ գծերով:</v>
      </c>
      <c r="D7949" s="6" t="str">
        <f>IFERROR(__xludf.DUMMYFUNCTION("GOOGLETRANSLATE(B7949,""en"",""hy"")"),"Զեբրեր.")</f>
        <v>Զեբրեր.</v>
      </c>
    </row>
    <row r="7950">
      <c r="A7950" s="5" t="s">
        <v>9672</v>
      </c>
      <c r="B7950" s="5" t="s">
        <v>7585</v>
      </c>
      <c r="C7950" s="5" t="str">
        <f>IFERROR(__xludf.DUMMYFUNCTION("GOOGLETRANSLATE(A7950,""en"",""hy"")"),"Ո՞վ է նկարել The Scream-ը:")</f>
        <v>Ո՞վ է նկարել The Scream-ը:</v>
      </c>
      <c r="D7950" s="6" t="str">
        <f>IFERROR(__xludf.DUMMYFUNCTION("GOOGLETRANSLATE(B7950,""en"",""hy"")"),"Էդվարդ Մունկ.")</f>
        <v>Էդվարդ Մունկ.</v>
      </c>
    </row>
    <row r="7951">
      <c r="A7951" s="5" t="s">
        <v>8068</v>
      </c>
      <c r="B7951" s="5" t="s">
        <v>8374</v>
      </c>
      <c r="C7951" s="5" t="str">
        <f>IFERROR(__xludf.DUMMYFUNCTION("GOOGLETRANSLATE(A7951,""en"",""hy"")"),"Ո՞րն է պղնձի քիմիական նշանը:")</f>
        <v>Ո՞րն է պղնձի քիմիական նշանը:</v>
      </c>
      <c r="D7951" s="6" t="str">
        <f>IFERROR(__xludf.DUMMYFUNCTION("GOOGLETRANSLATE(B7951,""en"",""hy"")"),"Պղնձի քիմիական նշանը Cu-ն է։")</f>
        <v>Պղնձի քիմիական նշանը Cu-ն է։</v>
      </c>
    </row>
    <row r="7952">
      <c r="A7952" s="5" t="s">
        <v>9673</v>
      </c>
      <c r="B7952" s="5" t="s">
        <v>9674</v>
      </c>
      <c r="C7952" s="5" t="str">
        <f>IFERROR(__xludf.DUMMYFUNCTION("GOOGLETRANSLATE(A7952,""en"",""hy"")"),"Ո՞րն է Եվրոպայի ամենամեծ ջրվեժը:")</f>
        <v>Ո՞րն է Եվրոպայի ամենամեծ ջրվեժը:</v>
      </c>
      <c r="D7952" s="6" t="str">
        <f>IFERROR(__xludf.DUMMYFUNCTION("GOOGLETRANSLATE(B7952,""en"",""hy"")"),"Եվրոպայի ամենամեծ ջրվեժը Հռենոսի ջրվեժն է Շվեյցարիայում:")</f>
        <v>Եվրոպայի ամենամեծ ջրվեժը Հռենոսի ջրվեժն է Շվեյցարիայում:</v>
      </c>
    </row>
    <row r="7953">
      <c r="A7953" s="5" t="s">
        <v>8665</v>
      </c>
      <c r="B7953" s="5" t="s">
        <v>8725</v>
      </c>
      <c r="C7953" s="5" t="str">
        <f>IFERROR(__xludf.DUMMYFUNCTION("GOOGLETRANSLATE(A7953,""en"",""hy"")"),"Ո՞ր երկիրն է հայտնի Ակրոպոլիսով:")</f>
        <v>Ո՞ր երկիրն է հայտնի Ակրոպոլիսով:</v>
      </c>
      <c r="D7953" s="6" t="str">
        <f>IFERROR(__xludf.DUMMYFUNCTION("GOOGLETRANSLATE(B7953,""en"",""hy"")"),"Հունաստան")</f>
        <v>Հունաստան</v>
      </c>
    </row>
    <row r="7954">
      <c r="A7954" s="5" t="s">
        <v>7601</v>
      </c>
      <c r="B7954" s="5" t="s">
        <v>8838</v>
      </c>
      <c r="C7954" s="5" t="str">
        <f>IFERROR(__xludf.DUMMYFUNCTION("GOOGLETRANSLATE(A7954,""en"",""hy"")"),"Ո՞վ է Ֆրանսիայի ներկայիս նախագահը.")</f>
        <v>Ո՞վ է Ֆրանսիայի ներկայիս նախագահը.</v>
      </c>
      <c r="D7954" s="6" t="str">
        <f>IFERROR(__xludf.DUMMYFUNCTION("GOOGLETRANSLATE(B7954,""en"",""hy"")"),"Ֆրանսիայի ներկայիս նախագահը Էմանուել Մակրոնն է։")</f>
        <v>Ֆրանսիայի ներկայիս նախագահը Էմանուել Մակրոնն է։</v>
      </c>
    </row>
    <row r="7955">
      <c r="A7955" s="5" t="s">
        <v>7706</v>
      </c>
      <c r="B7955" s="5" t="s">
        <v>7707</v>
      </c>
      <c r="C7955" s="5" t="str">
        <f>IFERROR(__xludf.DUMMYFUNCTION("GOOGLETRANSLATE(A7955,""en"",""hy"")"),"Ո՞րն է Միացյալ Թագավորության արժույթը:")</f>
        <v>Ո՞րն է Միացյալ Թագավորության արժույթը:</v>
      </c>
      <c r="D7955" s="6" t="str">
        <f>IFERROR(__xludf.DUMMYFUNCTION("GOOGLETRANSLATE(B7955,""en"",""hy"")"),"Միացյալ Թագավորության արժույթը բրիտանական ֆունտն է։")</f>
        <v>Միացյալ Թագավորության արժույթը բրիտանական ֆունտն է։</v>
      </c>
    </row>
    <row r="7956">
      <c r="A7956" s="5" t="s">
        <v>9675</v>
      </c>
      <c r="B7956" s="5" t="s">
        <v>7906</v>
      </c>
      <c r="C7956" s="5" t="str">
        <f>IFERROR(__xludf.DUMMYFUNCTION("GOOGLETRANSLATE(A7956,""en"",""hy"")"),"Ո՞վ է «Նարնիայի քրոնիկները» գրքի հեղինակը:")</f>
        <v>Ո՞վ է «Նարնիայի քրոնիկները» գրքի հեղինակը:</v>
      </c>
      <c r="D7956" s="6" t="str">
        <f>IFERROR(__xludf.DUMMYFUNCTION("GOOGLETRANSLATE(B7956,""en"",""hy"")"),"C.S. Լյուիս.")</f>
        <v>C.S. Լյուիս.</v>
      </c>
    </row>
    <row r="7957">
      <c r="A7957" s="5" t="s">
        <v>7582</v>
      </c>
      <c r="B7957" s="5" t="s">
        <v>8048</v>
      </c>
      <c r="C7957" s="5" t="str">
        <f>IFERROR(__xludf.DUMMYFUNCTION("GOOGLETRANSLATE(A7957,""en"",""hy"")"),"Ո՞րն է աշխարհի ամենաբարձր ծառը:")</f>
        <v>Ո՞րն է աշխարհի ամենաբարձր ծառը:</v>
      </c>
      <c r="D7957" s="6" t="str">
        <f>IFERROR(__xludf.DUMMYFUNCTION("GOOGLETRANSLATE(B7957,""en"",""hy"")"),"Աշխարհի ամենաբարձր ծառը ծովափնյա կարմիր փայտն է:")</f>
        <v>Աշխարհի ամենաբարձր ծառը ծովափնյա կարմիր փայտն է:</v>
      </c>
    </row>
    <row r="7958">
      <c r="A7958" s="5" t="s">
        <v>9676</v>
      </c>
      <c r="B7958" s="5" t="s">
        <v>7496</v>
      </c>
      <c r="C7958" s="5" t="str">
        <f>IFERROR(__xludf.DUMMYFUNCTION("GOOGLETRANSLATE(A7958,""en"",""hy"")"),"Ո՞ր մոլորակն է հայտնի որպես «Օղակավոր մոլորակ»:")</f>
        <v>Ո՞ր մոլորակն է հայտնի որպես «Օղակավոր մոլորակ»:</v>
      </c>
      <c r="D7958" s="6" t="str">
        <f>IFERROR(__xludf.DUMMYFUNCTION("GOOGLETRANSLATE(B7958,""en"",""hy"")"),"Սատուրն.")</f>
        <v>Սատուրն.</v>
      </c>
    </row>
    <row r="7959">
      <c r="A7959" s="5" t="s">
        <v>7908</v>
      </c>
      <c r="B7959" s="5" t="s">
        <v>8035</v>
      </c>
      <c r="C7959" s="5" t="str">
        <f>IFERROR(__xludf.DUMMYFUNCTION("GOOGLETRANSLATE(A7959,""en"",""hy"")"),"Ո՞րն է Իտալիայի արժույթը:")</f>
        <v>Ո՞րն է Իտալիայի արժույթը:</v>
      </c>
      <c r="D7959" s="6" t="str">
        <f>IFERROR(__xludf.DUMMYFUNCTION("GOOGLETRANSLATE(B7959,""en"",""hy"")"),"եվրո.")</f>
        <v>եվրո.</v>
      </c>
    </row>
    <row r="7960">
      <c r="A7960" s="5" t="s">
        <v>7594</v>
      </c>
      <c r="B7960" s="5" t="s">
        <v>8107</v>
      </c>
      <c r="C7960" s="5" t="str">
        <f>IFERROR(__xludf.DUMMYFUNCTION("GOOGLETRANSLATE(A7960,""en"",""hy"")"),"Ո՞վ է գրել «Մակբեթ» պիեսը:")</f>
        <v>Ո՞վ է գրել «Մակբեթ» պիեսը:</v>
      </c>
      <c r="D7960" s="6" t="str">
        <f>IFERROR(__xludf.DUMMYFUNCTION("GOOGLETRANSLATE(B7960,""en"",""hy"")"),"Ուիլյամ Շեքսպիր")</f>
        <v>Ուիլյամ Շեքսպիր</v>
      </c>
    </row>
    <row r="7961">
      <c r="A7961" s="5" t="s">
        <v>9677</v>
      </c>
      <c r="B7961" s="5" t="s">
        <v>9678</v>
      </c>
      <c r="C7961" s="5" t="str">
        <f>IFERROR(__xludf.DUMMYFUNCTION("GOOGLETRANSLATE(A7961,""en"",""hy"")"),"Ո՞րն է Եվրոպայի ամենամեծ անապատը:")</f>
        <v>Ո՞րն է Եվրոպայի ամենամեծ անապատը:</v>
      </c>
      <c r="D7961" s="6" t="str">
        <f>IFERROR(__xludf.DUMMYFUNCTION("GOOGLETRANSLATE(B7961,""en"",""hy"")"),"Եվրոպայի ամենամեծ անապատը Պանոնյան ավազանն է։")</f>
        <v>Եվրոպայի ամենամեծ անապատը Պանոնյան ավազանն է։</v>
      </c>
    </row>
    <row r="7962">
      <c r="A7962" s="5" t="s">
        <v>9679</v>
      </c>
      <c r="B7962" s="5" t="s">
        <v>8703</v>
      </c>
      <c r="C7962" s="5" t="str">
        <f>IFERROR(__xludf.DUMMYFUNCTION("GOOGLETRANSLATE(A7962,""en"",""hy"")"),"Ո՞ր երկիրն է հայտնի Այա Սոֆիայի տաճարով:")</f>
        <v>Ո՞ր երկիրն է հայտնի Այա Սոֆիայի տաճարով:</v>
      </c>
      <c r="D7962" s="6" t="str">
        <f>IFERROR(__xludf.DUMMYFUNCTION("GOOGLETRANSLATE(B7962,""en"",""hy"")"),"Հնդկահավ.")</f>
        <v>Հնդկահավ.</v>
      </c>
    </row>
    <row r="7963">
      <c r="A7963" s="5" t="s">
        <v>8142</v>
      </c>
      <c r="B7963" s="5" t="s">
        <v>8143</v>
      </c>
      <c r="C7963" s="5" t="str">
        <f>IFERROR(__xludf.DUMMYFUNCTION("GOOGLETRANSLATE(A7963,""en"",""hy"")"),"Ո՞վ է Ավստրալիայի ներկայիս վարչապետը:")</f>
        <v>Ո՞վ է Ավստրալիայի ներկայիս վարչապետը:</v>
      </c>
      <c r="D7963" s="6" t="str">
        <f>IFERROR(__xludf.DUMMYFUNCTION("GOOGLETRANSLATE(B7963,""en"",""hy"")"),"Սքոթ Մորիսոն.")</f>
        <v>Սքոթ Մորիսոն.</v>
      </c>
    </row>
    <row r="7964">
      <c r="A7964" s="5" t="s">
        <v>7703</v>
      </c>
      <c r="B7964" s="5" t="s">
        <v>7545</v>
      </c>
      <c r="C7964" s="5" t="str">
        <f>IFERROR(__xludf.DUMMYFUNCTION("GOOGLETRANSLATE(A7964,""en"",""hy"")"),"Ո՞րն է Իտալիայի մայրաքաղաքը:")</f>
        <v>Ո՞րն է Իտալիայի մայրաքաղաքը:</v>
      </c>
      <c r="D7964" s="6" t="str">
        <f>IFERROR(__xludf.DUMMYFUNCTION("GOOGLETRANSLATE(B7964,""en"",""hy"")"),"Հռոմ.")</f>
        <v>Հռոմ.</v>
      </c>
    </row>
    <row r="7965">
      <c r="A7965" s="5" t="s">
        <v>9491</v>
      </c>
      <c r="B7965" s="5" t="s">
        <v>9680</v>
      </c>
      <c r="C7965" s="5" t="str">
        <f>IFERROR(__xludf.DUMMYFUNCTION("GOOGLETRANSLATE(A7965,""en"",""hy"")"),"Ո՞րն է Հարավային Ամերիկայի ամենամեծ գետը:")</f>
        <v>Ո՞րն է Հարավային Ամերիկայի ամենամեծ գետը:</v>
      </c>
      <c r="D7965" s="6" t="str">
        <f>IFERROR(__xludf.DUMMYFUNCTION("GOOGLETRANSLATE(B7965,""en"",""hy"")"),"Հարավային Ամերիկայի ամենամեծ գետը Ամազոն գետն է։")</f>
        <v>Հարավային Ամերիկայի ամենամեծ գետը Ամազոն գետն է։</v>
      </c>
    </row>
    <row r="7966">
      <c r="A7966" s="5" t="s">
        <v>9681</v>
      </c>
      <c r="B7966" s="5" t="s">
        <v>9682</v>
      </c>
      <c r="C7966" s="5" t="str">
        <f>IFERROR(__xludf.DUMMYFUNCTION("GOOGLETRANSLATE(A7966,""en"",""hy"")"),"Ո՞ր կենդանին է Միացյալ Նահանգների ազգային խորհրդանիշը:")</f>
        <v>Ո՞ր կենդանին է Միացյալ Նահանգների ազգային խորհրդանիշը:</v>
      </c>
      <c r="D7966" s="6" t="str">
        <f>IFERROR(__xludf.DUMMYFUNCTION("GOOGLETRANSLATE(B7966,""en"",""hy"")"),"Արծիվը.")</f>
        <v>Արծիվը.</v>
      </c>
    </row>
    <row r="7967">
      <c r="A7967" s="5" t="s">
        <v>9072</v>
      </c>
      <c r="B7967" s="5" t="s">
        <v>8642</v>
      </c>
      <c r="C7967" s="5" t="str">
        <f>IFERROR(__xludf.DUMMYFUNCTION("GOOGLETRANSLATE(A7967,""en"",""hy"")"),"Ո՞վ է նկարել «Հիշողության համառությունը»:")</f>
        <v>Ո՞վ է նկարել «Հիշողության համառությունը»:</v>
      </c>
      <c r="D7967" s="6" t="str">
        <f>IFERROR(__xludf.DUMMYFUNCTION("GOOGLETRANSLATE(B7967,""en"",""hy"")"),"Սալվադոր Դալի")</f>
        <v>Սալվադոր Դալի</v>
      </c>
    </row>
    <row r="7968">
      <c r="A7968" s="5" t="s">
        <v>7592</v>
      </c>
      <c r="B7968" s="5" t="s">
        <v>7593</v>
      </c>
      <c r="C7968" s="5" t="str">
        <f>IFERROR(__xludf.DUMMYFUNCTION("GOOGLETRANSLATE(A7968,""en"",""hy"")"),"Ո՞րն է թթվածնի քիմիական նշանը:")</f>
        <v>Ո՞րն է թթվածնի քիմիական նշանը:</v>
      </c>
      <c r="D7968" s="6" t="str">
        <f>IFERROR(__xludf.DUMMYFUNCTION("GOOGLETRANSLATE(B7968,""en"",""hy"")"),"Թթվածնի քիմիական նշանը O է:")</f>
        <v>Թթվածնի քիմիական նշանը O է:</v>
      </c>
    </row>
    <row r="7969">
      <c r="A7969" s="5" t="s">
        <v>9683</v>
      </c>
      <c r="B7969" s="5" t="s">
        <v>9684</v>
      </c>
      <c r="C7969" s="5" t="str">
        <f>IFERROR(__xludf.DUMMYFUNCTION("GOOGLETRANSLATE(A7969,""en"",""hy"")"),"Ո՞ր երկիրն է հայտնի Պետրա հնագիտական ​​վայրով:")</f>
        <v>Ո՞ր երկիրն է հայտնի Պետրա հնագիտական ​​վայրով:</v>
      </c>
      <c r="D7969" s="6" t="str">
        <f>IFERROR(__xludf.DUMMYFUNCTION("GOOGLETRANSLATE(B7969,""en"",""hy"")"),"Հորդանան.")</f>
        <v>Հորդանան.</v>
      </c>
    </row>
    <row r="7970">
      <c r="A7970" s="5" t="s">
        <v>9685</v>
      </c>
      <c r="B7970" s="5" t="s">
        <v>9686</v>
      </c>
      <c r="C7970" s="5" t="str">
        <f>IFERROR(__xludf.DUMMYFUNCTION("GOOGLETRANSLATE(A7970,""en"",""hy"")"),"Ո՞վ է Միացյալ Թագավորության ներկայիս կանցլերը:")</f>
        <v>Ո՞վ է Միացյալ Թագավորության ներկայիս կանցլերը:</v>
      </c>
      <c r="D7970" s="6" t="str">
        <f>IFERROR(__xludf.DUMMYFUNCTION("GOOGLETRANSLATE(B7970,""en"",""hy"")"),"Ռիշի Սունակ.")</f>
        <v>Ռիշի Սունակ.</v>
      </c>
    </row>
    <row r="7971">
      <c r="A7971" s="5" t="s">
        <v>9687</v>
      </c>
      <c r="B7971" s="5" t="s">
        <v>8035</v>
      </c>
      <c r="C7971" s="5" t="str">
        <f>IFERROR(__xludf.DUMMYFUNCTION("GOOGLETRANSLATE(A7971,""en"",""hy"")"),"Ո՞րն է Իսպանիայի արժույթը:")</f>
        <v>Ո՞րն է Իսպանիայի արժույթը:</v>
      </c>
      <c r="D7971" s="6" t="str">
        <f>IFERROR(__xludf.DUMMYFUNCTION("GOOGLETRANSLATE(B7971,""en"",""hy"")"),"եվրո.")</f>
        <v>եվրո.</v>
      </c>
    </row>
    <row r="7972">
      <c r="A7972" s="5" t="s">
        <v>9688</v>
      </c>
      <c r="B7972" s="5" t="s">
        <v>7578</v>
      </c>
      <c r="C7972" s="5" t="str">
        <f>IFERROR(__xludf.DUMMYFUNCTION("GOOGLETRANSLATE(A7972,""en"",""hy"")"),"Ո՞վ է Մոբի-Դիկի հեղինակը:")</f>
        <v>Ո՞վ է Մոբի-Դիկի հեղինակը:</v>
      </c>
      <c r="D7972" s="6" t="str">
        <f>IFERROR(__xludf.DUMMYFUNCTION("GOOGLETRANSLATE(B7972,""en"",""hy"")"),"Հերման Մելվիլ.")</f>
        <v>Հերման Մելվիլ.</v>
      </c>
    </row>
    <row r="7973">
      <c r="A7973" s="5" t="s">
        <v>9689</v>
      </c>
      <c r="B7973" s="5" t="s">
        <v>9690</v>
      </c>
      <c r="C7973" s="5" t="str">
        <f>IFERROR(__xludf.DUMMYFUNCTION("GOOGLETRANSLATE(A7973,""en"",""hy"")"),"Ո՞րն է Եվրոպայի ամենամեծ լիճը:")</f>
        <v>Ո՞րն է Եվրոպայի ամենամեծ լիճը:</v>
      </c>
      <c r="D7973" s="6" t="str">
        <f>IFERROR(__xludf.DUMMYFUNCTION("GOOGLETRANSLATE(B7973,""en"",""hy"")"),"Լադոգա լիճ.")</f>
        <v>Լադոգա լիճ.</v>
      </c>
    </row>
    <row r="7974">
      <c r="A7974" s="5" t="s">
        <v>9691</v>
      </c>
      <c r="B7974" s="5" t="s">
        <v>9692</v>
      </c>
      <c r="C7974" s="5" t="str">
        <f>IFERROR(__xludf.DUMMYFUNCTION("GOOGLETRANSLATE(A7974,""en"",""hy"")"),"Ո՞ր կենդանիներն են հայտնի իրենց երկար կոճղերով և ժանիքներով:")</f>
        <v>Ո՞ր կենդանիներն են հայտնի իրենց երկար կոճղերով և ժանիքներով:</v>
      </c>
      <c r="D7974" s="6" t="str">
        <f>IFERROR(__xludf.DUMMYFUNCTION("GOOGLETRANSLATE(B7974,""en"",""hy"")"),"Փղեր.")</f>
        <v>Փղեր.</v>
      </c>
    </row>
    <row r="7975">
      <c r="A7975" s="5" t="s">
        <v>9093</v>
      </c>
      <c r="B7975" s="5" t="s">
        <v>7832</v>
      </c>
      <c r="C7975" s="5" t="str">
        <f>IFERROR(__xludf.DUMMYFUNCTION("GOOGLETRANSLATE(A7975,""en"",""hy"")"),"Ո՞վ է նկարել Վեներայի ծնունդը:")</f>
        <v>Ո՞վ է նկարել Վեներայի ծնունդը:</v>
      </c>
      <c r="D7975" s="6" t="str">
        <f>IFERROR(__xludf.DUMMYFUNCTION("GOOGLETRANSLATE(B7975,""en"",""hy"")"),"Սանդրո Բոտիչելի")</f>
        <v>Սանդրո Բոտիչելի</v>
      </c>
    </row>
    <row r="7976">
      <c r="A7976" s="5" t="s">
        <v>7699</v>
      </c>
      <c r="B7976" s="5" t="s">
        <v>7700</v>
      </c>
      <c r="C7976" s="5" t="str">
        <f>IFERROR(__xludf.DUMMYFUNCTION("GOOGLETRANSLATE(A7976,""en"",""hy"")"),"Ո՞րն է ածխածնի քիմիական նշանը:")</f>
        <v>Ո՞րն է ածխածնի քիմիական նշանը:</v>
      </c>
      <c r="D7976" s="6" t="str">
        <f>IFERROR(__xludf.DUMMYFUNCTION("GOOGLETRANSLATE(B7976,""en"",""hy"")"),"Ածխածնի քիմիական նշանը C է:")</f>
        <v>Ածխածնի քիմիական նշանը C է:</v>
      </c>
    </row>
    <row r="7977">
      <c r="A7977" s="5" t="s">
        <v>9693</v>
      </c>
      <c r="B7977" s="5" t="s">
        <v>9694</v>
      </c>
      <c r="C7977" s="5" t="str">
        <f>IFERROR(__xludf.DUMMYFUNCTION("GOOGLETRANSLATE(A7977,""en"",""hy"")"),"Ո՞րն է Ասիայի ամենամեծ ջրվեժը:")</f>
        <v>Ո՞րն է Ասիայի ամենամեծ ջրվեժը:</v>
      </c>
      <c r="D7977" s="6" t="str">
        <f>IFERROR(__xludf.DUMMYFUNCTION("GOOGLETRANSLATE(B7977,""en"",""hy"")"),"Ասիայի ամենամեծ ջրվեժը Անխելի ջրվեժն է:")</f>
        <v>Ասիայի ամենամեծ ջրվեժը Անխելի ջրվեժն է:</v>
      </c>
    </row>
    <row r="7978">
      <c r="A7978" s="5" t="s">
        <v>8654</v>
      </c>
      <c r="B7978" s="5" t="s">
        <v>7343</v>
      </c>
      <c r="C7978" s="5" t="str">
        <f>IFERROR(__xludf.DUMMYFUNCTION("GOOGLETRANSLATE(A7978,""en"",""hy"")"),"Ո՞ր երկիրն է հայտնի Կրեմլով:")</f>
        <v>Ո՞ր երկիրն է հայտնի Կրեմլով:</v>
      </c>
      <c r="D7978" s="6" t="str">
        <f>IFERROR(__xludf.DUMMYFUNCTION("GOOGLETRANSLATE(B7978,""en"",""hy"")"),"Ռուսաստան.")</f>
        <v>Ռուսաստան.</v>
      </c>
    </row>
    <row r="7979">
      <c r="A7979" s="5" t="s">
        <v>8134</v>
      </c>
      <c r="B7979" s="5" t="s">
        <v>8135</v>
      </c>
      <c r="C7979" s="5" t="str">
        <f>IFERROR(__xludf.DUMMYFUNCTION("GOOGLETRANSLATE(A7979,""en"",""hy"")"),"Ո՞վ է Չինաստանի ներկայիս նախագահը.")</f>
        <v>Ո՞վ է Չինաստանի ներկայիս նախագահը.</v>
      </c>
      <c r="D7979" s="6" t="str">
        <f>IFERROR(__xludf.DUMMYFUNCTION("GOOGLETRANSLATE(B7979,""en"",""hy"")"),"Չինաստանի ներկայիս նախագահը Սի Ցզինպինն է։")</f>
        <v>Չինաստանի ներկայիս նախագահը Սի Ցզինպինն է։</v>
      </c>
    </row>
    <row r="7980">
      <c r="A7980" s="5" t="s">
        <v>9537</v>
      </c>
      <c r="B7980" s="5" t="s">
        <v>9695</v>
      </c>
      <c r="C7980" s="5" t="str">
        <f>IFERROR(__xludf.DUMMYFUNCTION("GOOGLETRANSLATE(A7980,""en"",""hy"")"),"Ո՞րն է Ռուսաստանի մայրաքաղաքը:")</f>
        <v>Ո՞րն է Ռուսաստանի մայրաքաղաքը:</v>
      </c>
      <c r="D7980" s="6" t="str">
        <f>IFERROR(__xludf.DUMMYFUNCTION("GOOGLETRANSLATE(B7980,""en"",""hy"")"),"Ռուսաստանի մայրաքաղաքը Մոսկվան է։")</f>
        <v>Ռուսաստանի մայրաքաղաքը Մոսկվան է։</v>
      </c>
    </row>
    <row r="7981">
      <c r="A7981" s="5" t="s">
        <v>7450</v>
      </c>
      <c r="B7981" s="5" t="s">
        <v>7451</v>
      </c>
      <c r="C7981" s="5" t="str">
        <f>IFERROR(__xludf.DUMMYFUNCTION("GOOGLETRANSLATE(A7981,""en"",""hy"")"),"Ո՞րն է Ավստրալիայի մայրաքաղաքը:")</f>
        <v>Ո՞րն է Ավստրալիայի մայրաքաղաքը:</v>
      </c>
      <c r="D7981" s="6" t="str">
        <f>IFERROR(__xludf.DUMMYFUNCTION("GOOGLETRANSLATE(B7981,""en"",""hy"")"),"Կանբերա.")</f>
        <v>Կանբերա.</v>
      </c>
    </row>
    <row r="7982">
      <c r="A7982" s="5" t="s">
        <v>7485</v>
      </c>
      <c r="B7982" s="5" t="s">
        <v>8110</v>
      </c>
      <c r="C7982" s="5" t="str">
        <f>IFERROR(__xludf.DUMMYFUNCTION("GOOGLETRANSLATE(A7982,""en"",""hy"")"),"Ո՞վ է Հարի Փոթերի շարքի հեղինակը:")</f>
        <v>Ո՞վ է Հարի Փոթերի շարքի հեղինակը:</v>
      </c>
      <c r="D7982" s="6" t="str">
        <f>IFERROR(__xludf.DUMMYFUNCTION("GOOGLETRANSLATE(B7982,""en"",""hy"")"),"Ջ.Կ. Ռոուլինգ")</f>
        <v>Ջ.Կ. Ռոուլինգ</v>
      </c>
    </row>
    <row r="7983">
      <c r="A7983" s="5" t="s">
        <v>7632</v>
      </c>
      <c r="B7983" s="5" t="s">
        <v>7633</v>
      </c>
      <c r="C7983" s="5" t="str">
        <f>IFERROR(__xludf.DUMMYFUNCTION("GOOGLETRANSLATE(A7983,""en"",""hy"")"),"Ո՞րն է մեր արեգակնային համակարգի ամենամեծ մոլորակը:")</f>
        <v>Ո՞րն է մեր արեգակնային համակարգի ամենամեծ մոլորակը:</v>
      </c>
      <c r="D7983" s="6" t="str">
        <f>IFERROR(__xludf.DUMMYFUNCTION("GOOGLETRANSLATE(B7983,""en"",""hy"")"),"Յուպիտեր.")</f>
        <v>Յուպիտեր.</v>
      </c>
    </row>
    <row r="7984">
      <c r="A7984" s="5" t="s">
        <v>7477</v>
      </c>
      <c r="B7984" s="5" t="s">
        <v>7784</v>
      </c>
      <c r="C7984" s="5" t="str">
        <f>IFERROR(__xludf.DUMMYFUNCTION("GOOGLETRANSLATE(A7984,""en"",""hy"")"),"Ո՞ր երկիրն է հայտնի որպես «Ծագող արևի երկիր»:")</f>
        <v>Ո՞ր երկիրն է հայտնի որպես «Ծագող արևի երկիր»:</v>
      </c>
      <c r="D7984" s="6" t="str">
        <f>IFERROR(__xludf.DUMMYFUNCTION("GOOGLETRANSLATE(B7984,""en"",""hy"")"),"Ճապոնիա")</f>
        <v>Ճապոնիա</v>
      </c>
    </row>
    <row r="7985">
      <c r="A7985" s="5" t="s">
        <v>8016</v>
      </c>
      <c r="B7985" s="5" t="s">
        <v>8017</v>
      </c>
      <c r="C7985" s="5" t="str">
        <f>IFERROR(__xludf.DUMMYFUNCTION("GOOGLETRANSLATE(A7985,""en"",""hy"")"),"Ո՞րն է Անգլիայի ազգային ծաղիկը:")</f>
        <v>Ո՞րն է Անգլիայի ազգային ծաղիկը:</v>
      </c>
      <c r="D7985" s="6" t="str">
        <f>IFERROR(__xludf.DUMMYFUNCTION("GOOGLETRANSLATE(B7985,""en"",""hy"")"),"Անգլիայի ազգային ծաղիկը վարդն է։")</f>
        <v>Անգլիայի ազգային ծաղիկը վարդն է։</v>
      </c>
    </row>
    <row r="7986">
      <c r="A7986" s="5" t="s">
        <v>9297</v>
      </c>
      <c r="B7986" s="7">
        <v>1776.0</v>
      </c>
      <c r="C7986" s="5" t="str">
        <f>IFERROR(__xludf.DUMMYFUNCTION("GOOGLETRANSLATE(A7986,""en"",""hy"")"),"Ո՞ր թվականին է Միացյալ Նահանգները հռչակել անկախությունը Մեծ Բրիտանիայից.")</f>
        <v>Ո՞ր թվականին է Միացյալ Նահանգները հռչակել անկախությունը Մեծ Բրիտանիայից.</v>
      </c>
      <c r="D7986" s="6" t="str">
        <f>IFERROR(__xludf.DUMMYFUNCTION("GOOGLETRANSLATE(B7986,""en"",""hy"")"),"1776 թ")</f>
        <v>1776 թ</v>
      </c>
    </row>
    <row r="7987">
      <c r="A7987" s="5" t="s">
        <v>7447</v>
      </c>
      <c r="B7987" s="5" t="s">
        <v>7828</v>
      </c>
      <c r="C7987" s="5" t="str">
        <f>IFERROR(__xludf.DUMMYFUNCTION("GOOGLETRANSLATE(A7987,""en"",""hy"")"),"Ո՞վ է նկարել Մոնա Լիզան:")</f>
        <v>Ո՞վ է նկարել Մոնա Լիզան:</v>
      </c>
      <c r="D7987" s="6" t="str">
        <f>IFERROR(__xludf.DUMMYFUNCTION("GOOGLETRANSLATE(B7987,""en"",""hy"")"),"Լեոնարդո դա Վինչի")</f>
        <v>Լեոնարդո դա Վինչի</v>
      </c>
    </row>
    <row r="7988">
      <c r="A7988" s="5" t="s">
        <v>7452</v>
      </c>
      <c r="B7988" s="5" t="s">
        <v>7631</v>
      </c>
      <c r="C7988" s="5" t="str">
        <f>IFERROR(__xludf.DUMMYFUNCTION("GOOGLETRANSLATE(A7988,""en"",""hy"")"),"Ո՞րն է ոսկու քիմիական նշանը:")</f>
        <v>Ո՞րն է ոսկու քիմիական նշանը:</v>
      </c>
      <c r="D7988" s="6" t="str">
        <f>IFERROR(__xludf.DUMMYFUNCTION("GOOGLETRANSLATE(B7988,""en"",""hy"")"),"Ավ")</f>
        <v>Ավ</v>
      </c>
    </row>
    <row r="7989">
      <c r="A7989" s="5" t="s">
        <v>7722</v>
      </c>
      <c r="B7989" s="5" t="s">
        <v>7723</v>
      </c>
      <c r="C7989" s="5" t="str">
        <f>IFERROR(__xludf.DUMMYFUNCTION("GOOGLETRANSLATE(A7989,""en"",""hy"")"),"Ո՞րն է Աֆրիկայի ամենաբարձր լեռը:")</f>
        <v>Ո՞րն է Աֆրիկայի ամենաբարձր լեռը:</v>
      </c>
      <c r="D7989" s="6" t="str">
        <f>IFERROR(__xludf.DUMMYFUNCTION("GOOGLETRANSLATE(B7989,""en"",""hy"")"),"Կիլիմանջարո լեռ.")</f>
        <v>Կիլիմանջարո լեռ.</v>
      </c>
    </row>
    <row r="7990">
      <c r="A7990" s="5" t="s">
        <v>7467</v>
      </c>
      <c r="B7990" s="5" t="s">
        <v>8790</v>
      </c>
      <c r="C7990" s="5" t="str">
        <f>IFERROR(__xludf.DUMMYFUNCTION("GOOGLETRANSLATE(A7990,""en"",""hy"")"),"Ո՞րն է Ճապոնիայի արժույթը:")</f>
        <v>Ո՞րն է Ճապոնիայի արժույթը:</v>
      </c>
      <c r="D7990" s="6" t="str">
        <f>IFERROR(__xludf.DUMMYFUNCTION("GOOGLETRANSLATE(B7990,""en"",""hy"")"),"Ճապոնիայի արժույթը իենն է։")</f>
        <v>Ճապոնիայի արժույթը իենն է։</v>
      </c>
    </row>
    <row r="7991">
      <c r="A7991" s="5" t="s">
        <v>7534</v>
      </c>
      <c r="B7991" s="5" t="s">
        <v>7535</v>
      </c>
      <c r="C7991" s="5" t="str">
        <f>IFERROR(__xludf.DUMMYFUNCTION("GOOGLETRANSLATE(A7991,""en"",""hy"")"),"Ո՞վ է հորինել հեռախոսը:")</f>
        <v>Ո՞վ է հորինել հեռախոսը:</v>
      </c>
      <c r="D7991" s="6" t="str">
        <f>IFERROR(__xludf.DUMMYFUNCTION("GOOGLETRANSLATE(B7991,""en"",""hy"")"),"Ալեքսանդր Գրեհեմ Բել.")</f>
        <v>Ալեքսանդր Գրեհեմ Բել.</v>
      </c>
    </row>
    <row r="7992">
      <c r="A7992" s="5" t="s">
        <v>7455</v>
      </c>
      <c r="B7992" s="5" t="s">
        <v>7646</v>
      </c>
      <c r="C7992" s="5" t="str">
        <f>IFERROR(__xludf.DUMMYFUNCTION("GOOGLETRANSLATE(A7992,""en"",""hy"")"),"Ո՞րն է աշխարհի ամենամեծ օվկիանոսը:")</f>
        <v>Ո՞րն է աշխարհի ամենամեծ օվկիանոսը:</v>
      </c>
      <c r="D7992" s="6" t="str">
        <f>IFERROR(__xludf.DUMMYFUNCTION("GOOGLETRANSLATE(B7992,""en"",""hy"")"),"Խաղաղ օվկիանոս.")</f>
        <v>Խաղաղ օվկիանոս.</v>
      </c>
    </row>
    <row r="7993">
      <c r="A7993" s="5" t="s">
        <v>7779</v>
      </c>
      <c r="B7993" s="5" t="s">
        <v>7446</v>
      </c>
      <c r="C7993" s="5" t="str">
        <f>IFERROR(__xludf.DUMMYFUNCTION("GOOGLETRANSLATE(A7993,""en"",""hy"")"),"Ո՞ր մոլորակն է հայտնի որպես «Կարմիր մոլորակ»:")</f>
        <v>Ո՞ր մոլորակն է հայտնի որպես «Կարմիր մոլորակ»:</v>
      </c>
      <c r="D7993" s="6" t="str">
        <f>IFERROR(__xludf.DUMMYFUNCTION("GOOGLETRANSLATE(B7993,""en"",""hy"")"),"Մարս.")</f>
        <v>Մարս.</v>
      </c>
    </row>
    <row r="7994">
      <c r="A7994" s="5" t="s">
        <v>7817</v>
      </c>
      <c r="B7994" s="5" t="s">
        <v>7818</v>
      </c>
      <c r="C7994" s="5" t="str">
        <f>IFERROR(__xludf.DUMMYFUNCTION("GOOGLETRANSLATE(A7994,""en"",""hy"")"),"Ո՞րն է Կանադայի ազգային կենդանին:")</f>
        <v>Ո՞րն է Կանադայի ազգային կենդանին:</v>
      </c>
      <c r="D7994" s="6" t="str">
        <f>IFERROR(__xludf.DUMMYFUNCTION("GOOGLETRANSLATE(B7994,""en"",""hy"")"),"Կանադայի ազգային կենդանին կեղևն է:")</f>
        <v>Կանադայի ազգային կենդանին կեղևն է:</v>
      </c>
    </row>
    <row r="7995">
      <c r="A7995" s="5" t="s">
        <v>7454</v>
      </c>
      <c r="B7995" s="5" t="s">
        <v>1016</v>
      </c>
      <c r="C7995" s="5" t="str">
        <f>IFERROR(__xludf.DUMMYFUNCTION("GOOGLETRANSLATE(A7995,""en"",""hy"")"),"Ո՞վ է գրել Ռոմեո և Ջուլիետ պիեսը:")</f>
        <v>Ո՞վ է գրել Ռոմեո և Ջուլիետ պիեսը:</v>
      </c>
      <c r="D7995" s="6" t="str">
        <f>IFERROR(__xludf.DUMMYFUNCTION("GOOGLETRANSLATE(B7995,""en"",""hy"")"),"Ուիլյամ Շեքսպիր.")</f>
        <v>Ուիլյամ Շեքսպիր.</v>
      </c>
    </row>
    <row r="7996">
      <c r="A7996" s="5" t="s">
        <v>7497</v>
      </c>
      <c r="B7996" s="5" t="s">
        <v>1299</v>
      </c>
      <c r="C7996" s="5" t="str">
        <f>IFERROR(__xludf.DUMMYFUNCTION("GOOGLETRANSLATE(A7996,""en"",""hy"")"),"Ո՞րն է աշխարհի ամենամեծ մայրցամաքը:")</f>
        <v>Ո՞րն է աշխարհի ամենամեծ մայրցամաքը:</v>
      </c>
      <c r="D7996" s="6" t="str">
        <f>IFERROR(__xludf.DUMMYFUNCTION("GOOGLETRANSLATE(B7996,""en"",""hy"")"),"Ասիա.")</f>
        <v>Ասիա.</v>
      </c>
    </row>
    <row r="7997">
      <c r="A7997" s="5" t="s">
        <v>9696</v>
      </c>
      <c r="B7997" s="5" t="s">
        <v>5525</v>
      </c>
      <c r="C7997" s="5" t="str">
        <f>IFERROR(__xludf.DUMMYFUNCTION("GOOGLETRANSLATE(A7997,""en"",""hy"")"),"Ո՞ր երկիրն է հայտնի որպես «Վիկինգների երկիր»:")</f>
        <v>Ո՞ր երկիրն է հայտնի որպես «Վիկինգների երկիր»:</v>
      </c>
      <c r="D7997" s="6" t="str">
        <f>IFERROR(__xludf.DUMMYFUNCTION("GOOGLETRANSLATE(B7997,""en"",""hy"")"),"Շվեդիա.")</f>
        <v>Շվեդիա.</v>
      </c>
    </row>
    <row r="7998">
      <c r="A7998" s="5" t="s">
        <v>9697</v>
      </c>
      <c r="B7998" s="5" t="s">
        <v>7813</v>
      </c>
      <c r="C7998" s="5" t="str">
        <f>IFERROR(__xludf.DUMMYFUNCTION("GOOGLETRANSLATE(A7998,""en"",""hy"")"),"Ինչպե՞ս է կոչվում Փարիզի աշտարակը, որը հայտնի է իր հիասքանչ տեսարաններով:")</f>
        <v>Ինչպե՞ս է կոչվում Փարիզի աշտարակը, որը հայտնի է իր հիասքանչ տեսարաններով:</v>
      </c>
      <c r="D7998" s="6" t="str">
        <f>IFERROR(__xludf.DUMMYFUNCTION("GOOGLETRANSLATE(B7998,""en"",""hy"")"),"Էյֆելյան աշտարակ.")</f>
        <v>Էյֆելյան աշտարակ.</v>
      </c>
    </row>
    <row r="7999">
      <c r="A7999" s="5" t="s">
        <v>8105</v>
      </c>
      <c r="B7999" s="5" t="s">
        <v>7635</v>
      </c>
      <c r="C7999" s="5" t="str">
        <f>IFERROR(__xludf.DUMMYFUNCTION("GOOGLETRANSLATE(A7999,""en"",""hy"")"),"Ո՞վ էր առաջին մարդը, ով քայլեց լուսնի վրա:")</f>
        <v>Ո՞վ էր առաջին մարդը, ով քայլեց լուսնի վրա:</v>
      </c>
      <c r="D7999" s="6" t="str">
        <f>IFERROR(__xludf.DUMMYFUNCTION("GOOGLETRANSLATE(B7999,""en"",""hy"")"),"Նիլ Արմսթրոնգ.")</f>
        <v>Նիլ Արմսթրոնգ.</v>
      </c>
    </row>
    <row r="8000">
      <c r="A8000" s="5" t="s">
        <v>7592</v>
      </c>
      <c r="B8000" s="5" t="s">
        <v>7593</v>
      </c>
      <c r="C8000" s="5" t="str">
        <f>IFERROR(__xludf.DUMMYFUNCTION("GOOGLETRANSLATE(A8000,""en"",""hy"")"),"Ո՞րն է թթվածնի քիմիական նշանը:")</f>
        <v>Ո՞րն է թթվածնի քիմիական նշանը:</v>
      </c>
      <c r="D8000" s="6" t="str">
        <f>IFERROR(__xludf.DUMMYFUNCTION("GOOGLETRANSLATE(B8000,""en"",""hy"")"),"Թթվածնի քիմիական նշանը O է:")</f>
        <v>Թթվածնի քիմիական նշանը O է:</v>
      </c>
    </row>
    <row r="8001">
      <c r="A8001" s="5" t="s">
        <v>7920</v>
      </c>
      <c r="B8001" s="5" t="s">
        <v>7921</v>
      </c>
      <c r="C8001" s="5" t="str">
        <f>IFERROR(__xludf.DUMMYFUNCTION("GOOGLETRANSLATE(A8001,""en"",""hy"")"),"Ո՞ր երկրում է գտնվում Թաջ Մահալը:")</f>
        <v>Ո՞ր երկրում է գտնվում Թաջ Մահալը:</v>
      </c>
      <c r="D8001" s="6" t="str">
        <f>IFERROR(__xludf.DUMMYFUNCTION("GOOGLETRANSLATE(B8001,""en"",""hy"")"),"Հնդկաստան.")</f>
        <v>Հնդկաստան.</v>
      </c>
    </row>
    <row r="8002">
      <c r="A8002" s="5" t="s">
        <v>8246</v>
      </c>
      <c r="B8002" s="5" t="s">
        <v>7648</v>
      </c>
      <c r="C8002" s="5" t="str">
        <f>IFERROR(__xludf.DUMMYFUNCTION("GOOGLETRANSLATE(A8002,""en"",""hy"")"),"Ո՞վ է նկարել հայտնի «Աստղային գիշերը» արվեստի գործը:")</f>
        <v>Ո՞վ է նկարել հայտնի «Աստղային գիշերը» արվեստի գործը:</v>
      </c>
      <c r="D8002" s="6" t="str">
        <f>IFERROR(__xludf.DUMMYFUNCTION("GOOGLETRANSLATE(B8002,""en"",""hy"")"),"Վինսենթ վան Գոգ.")</f>
        <v>Վինսենթ վան Գոգ.</v>
      </c>
    </row>
    <row r="8003">
      <c r="A8003" s="5" t="s">
        <v>8260</v>
      </c>
      <c r="B8003" s="5" t="s">
        <v>7956</v>
      </c>
      <c r="C8003" s="5" t="str">
        <f>IFERROR(__xludf.DUMMYFUNCTION("GOOGLETRANSLATE(A8003,""en"",""hy"")"),"Ո՞ր հայտնի գիտնականն է մշակել ձգողության տեսությունը:")</f>
        <v>Ո՞ր հայտնի գիտնականն է մշակել ձգողության տեսությունը:</v>
      </c>
      <c r="D8003" s="6" t="str">
        <f>IFERROR(__xludf.DUMMYFUNCTION("GOOGLETRANSLATE(B8003,""en"",""hy"")"),"Իսահակ Նյուտոն.")</f>
        <v>Իսահակ Նյուտոն.</v>
      </c>
    </row>
    <row r="8004">
      <c r="A8004" s="5" t="s">
        <v>7922</v>
      </c>
      <c r="B8004" s="5" t="s">
        <v>7923</v>
      </c>
      <c r="C8004" s="5" t="str">
        <f>IFERROR(__xludf.DUMMYFUNCTION("GOOGLETRANSLATE(A8004,""en"",""hy"")"),"Ո՞րն է Բրազիլիայում խոսվող հիմնական լեզուն:")</f>
        <v>Ո՞րն է Բրազիլիայում խոսվող հիմնական լեզուն:</v>
      </c>
      <c r="D8004" s="6" t="str">
        <f>IFERROR(__xludf.DUMMYFUNCTION("GOOGLETRANSLATE(B8004,""en"",""hy"")"),"Բրազիլիայում խոսվող հիմնական լեզուն պորտուգալերենն է։")</f>
        <v>Բրազիլիայում խոսվող հիմնական լեզուն պորտուգալերենն է։</v>
      </c>
    </row>
    <row r="8005">
      <c r="A8005" s="5" t="s">
        <v>7511</v>
      </c>
      <c r="B8005" s="5" t="s">
        <v>7512</v>
      </c>
      <c r="C8005" s="5" t="str">
        <f>IFERROR(__xludf.DUMMYFUNCTION("GOOGLETRANSLATE(A8005,""en"",""hy"")"),"Ո՞ր երկիրն է հայտնի իր բուրգերով:")</f>
        <v>Ո՞ր երկիրն է հայտնի իր բուրգերով:</v>
      </c>
      <c r="D8005" s="6" t="str">
        <f>IFERROR(__xludf.DUMMYFUNCTION("GOOGLETRANSLATE(B8005,""en"",""hy"")"),"Եգիպտոս.")</f>
        <v>Եգիպտոս.</v>
      </c>
    </row>
    <row r="8006">
      <c r="A8006" s="5" t="s">
        <v>9698</v>
      </c>
      <c r="B8006" s="5" t="s">
        <v>9699</v>
      </c>
      <c r="C8006" s="5" t="str">
        <f>IFERROR(__xludf.DUMMYFUNCTION("GOOGLETRANSLATE(A8006,""en"",""hy"")"),"Ինչպե՞ս է կոչվում Արթուր Կոնան Դոյլի ստեղծած հայտնի դետեկտիվը:")</f>
        <v>Ինչպե՞ս է կոչվում Արթուր Կոնան Դոյլի ստեղծած հայտնի դետեկտիվը:</v>
      </c>
      <c r="D8006" s="6" t="str">
        <f>IFERROR(__xludf.DUMMYFUNCTION("GOOGLETRANSLATE(B8006,""en"",""hy"")"),"Շերլոկ Հոլմս.")</f>
        <v>Շերլոկ Հոլմս.</v>
      </c>
    </row>
    <row r="8007">
      <c r="A8007" s="5" t="s">
        <v>7536</v>
      </c>
      <c r="B8007" s="5" t="s">
        <v>7870</v>
      </c>
      <c r="C8007" s="5" t="str">
        <f>IFERROR(__xludf.DUMMYFUNCTION("GOOGLETRANSLATE(A8007,""en"",""hy"")"),"Ո՞րն է Ռուսաստանի մայրաքաղաքը:")</f>
        <v>Ո՞րն է Ռուսաստանի մայրաքաղաքը:</v>
      </c>
      <c r="D8007" s="6" t="str">
        <f>IFERROR(__xludf.DUMMYFUNCTION("GOOGLETRANSLATE(B8007,""en"",""hy"")"),"Մոսկվա.")</f>
        <v>Մոսկվա.</v>
      </c>
    </row>
    <row r="8008">
      <c r="A8008" s="5" t="s">
        <v>7540</v>
      </c>
      <c r="B8008" s="5" t="s">
        <v>8463</v>
      </c>
      <c r="C8008" s="5" t="str">
        <f>IFERROR(__xludf.DUMMYFUNCTION("GOOGLETRANSLATE(A8008,""en"",""hy"")"),"Ո՞վ է գրել «Սպանել ծաղրող թռչունին» վեպը:")</f>
        <v>Ո՞վ է գրել «Սպանել ծաղրող թռչունին» վեպը:</v>
      </c>
      <c r="D8008" s="6" t="str">
        <f>IFERROR(__xludf.DUMMYFUNCTION("GOOGLETRANSLATE(B8008,""en"",""hy"")"),"Հարփեր Լի")</f>
        <v>Հարփեր Լի</v>
      </c>
    </row>
    <row r="8009">
      <c r="A8009" s="5" t="s">
        <v>7513</v>
      </c>
      <c r="B8009" s="5" t="s">
        <v>8337</v>
      </c>
      <c r="C8009" s="5" t="str">
        <f>IFERROR(__xludf.DUMMYFUNCTION("GOOGLETRANSLATE(A8009,""en"",""hy"")"),"Ո՞րն է աշխարհի ամենամեծ անապատը:")</f>
        <v>Ո՞րն է աշխարհի ամենամեծ անապատը:</v>
      </c>
      <c r="D8009" s="6" t="str">
        <f>IFERROR(__xludf.DUMMYFUNCTION("GOOGLETRANSLATE(B8009,""en"",""hy"")"),"Աշխարհի ամենամեծ անապատը Անտարկտիդայի անապատն է։")</f>
        <v>Աշխարհի ամենամեծ անապատը Անտարկտիդայի անապատն է։</v>
      </c>
    </row>
    <row r="8010">
      <c r="A8010" s="5" t="s">
        <v>7793</v>
      </c>
      <c r="B8010" s="5" t="s">
        <v>1958</v>
      </c>
      <c r="C8010" s="5" t="str">
        <f>IFERROR(__xludf.DUMMYFUNCTION("GOOGLETRANSLATE(A8010,""en"",""hy"")"),"Ո՞ր երկիրն է հայտնի իր կակաչներով և հողմաղացներով:")</f>
        <v>Ո՞ր երկիրն է հայտնի իր կակաչներով և հողմաղացներով:</v>
      </c>
      <c r="D8010" s="6" t="str">
        <f>IFERROR(__xludf.DUMMYFUNCTION("GOOGLETRANSLATE(B8010,""en"",""hy"")"),"Նիդեռլանդներ.")</f>
        <v>Նիդեռլանդներ.</v>
      </c>
    </row>
    <row r="8011">
      <c r="A8011" s="5" t="s">
        <v>8792</v>
      </c>
      <c r="B8011" s="5" t="s">
        <v>9700</v>
      </c>
      <c r="C8011" s="5" t="str">
        <f>IFERROR(__xludf.DUMMYFUNCTION("GOOGLETRANSLATE(A8011,""en"",""hy"")"),"Ո՞րն է աշխարհի ամենամեծ կորալային խութ համակարգը:")</f>
        <v>Ո՞րն է աշխարհի ամենամեծ կորալային խութ համակարգը:</v>
      </c>
      <c r="D8011" s="6" t="str">
        <f>IFERROR(__xludf.DUMMYFUNCTION("GOOGLETRANSLATE(B8011,""en"",""hy"")"),"Մեծ արգելախութ")</f>
        <v>Մեծ արգելախութ</v>
      </c>
    </row>
    <row r="8012">
      <c r="A8012" s="5" t="s">
        <v>7852</v>
      </c>
      <c r="B8012" s="5" t="s">
        <v>7853</v>
      </c>
      <c r="C8012" s="5" t="str">
        <f>IFERROR(__xludf.DUMMYFUNCTION("GOOGLETRANSLATE(A8012,""en"",""hy"")"),"Ո՞վ է ներկայիս Անգլիայի թագուհին:")</f>
        <v>Ո՞վ է ներկայիս Անգլիայի թագուհին:</v>
      </c>
      <c r="D8012" s="6" t="str">
        <f>IFERROR(__xludf.DUMMYFUNCTION("GOOGLETRANSLATE(B8012,""en"",""hy"")"),"Եղիսաբեթ II թագուհին.")</f>
        <v>Եղիսաբեթ II թագուհին.</v>
      </c>
    </row>
    <row r="8013">
      <c r="A8013" s="5" t="s">
        <v>7561</v>
      </c>
      <c r="B8013" s="5" t="s">
        <v>7669</v>
      </c>
      <c r="C8013" s="5" t="str">
        <f>IFERROR(__xludf.DUMMYFUNCTION("GOOGLETRANSLATE(A8013,""en"",""hy"")"),"Ո՞րն է Մեքսիկայի արժույթը:")</f>
        <v>Ո՞րն է Մեքսիկայի արժույթը:</v>
      </c>
      <c r="D8013" s="6" t="str">
        <f>IFERROR(__xludf.DUMMYFUNCTION("GOOGLETRANSLATE(B8013,""en"",""hy"")"),"Մեքսիկայի արժույթը մեքսիկական պեսոն է։")</f>
        <v>Մեքսիկայի արժույթը մեքսիկական պեսոն է։</v>
      </c>
    </row>
    <row r="8014">
      <c r="A8014" s="5" t="s">
        <v>9701</v>
      </c>
      <c r="B8014" s="5" t="s">
        <v>9702</v>
      </c>
      <c r="C8014" s="5" t="str">
        <f>IFERROR(__xludf.DUMMYFUNCTION("GOOGLETRANSLATE(A8014,""en"",""hy"")"),"Ո՞ր քաղաքում է գտնվում Պիզայի թեք աշտարակը:")</f>
        <v>Ո՞ր քաղաքում է գտնվում Պիզայի թեք աշտարակը:</v>
      </c>
      <c r="D8014" s="6" t="str">
        <f>IFERROR(__xludf.DUMMYFUNCTION("GOOGLETRANSLATE(B8014,""en"",""hy"")"),"Պիզա.")</f>
        <v>Պիզա.</v>
      </c>
    </row>
    <row r="8015">
      <c r="A8015" s="5" t="s">
        <v>7789</v>
      </c>
      <c r="B8015" s="5" t="s">
        <v>8405</v>
      </c>
      <c r="C8015" s="5" t="str">
        <f>IFERROR(__xludf.DUMMYFUNCTION("GOOGLETRANSLATE(A8015,""en"",""hy"")"),"Ո՞վ է հունական ամպրոպի աստվածը:")</f>
        <v>Ո՞վ է հունական ամպրոպի աստվածը:</v>
      </c>
      <c r="D8015" s="6" t="str">
        <f>IFERROR(__xludf.DUMMYFUNCTION("GOOGLETRANSLATE(B8015,""en"",""hy"")"),"Զևս.")</f>
        <v>Զևս.</v>
      </c>
    </row>
    <row r="8016">
      <c r="A8016" s="5" t="s">
        <v>8114</v>
      </c>
      <c r="B8016" s="5" t="s">
        <v>9345</v>
      </c>
      <c r="C8016" s="5" t="str">
        <f>IFERROR(__xludf.DUMMYFUNCTION("GOOGLETRANSLATE(A8016,""en"",""hy"")"),"Ո՞րն է Չինաստանում խոսվող հիմնական լեզուն:")</f>
        <v>Ո՞րն է Չինաստանում խոսվող հիմնական լեզուն:</v>
      </c>
      <c r="D8016" s="6" t="str">
        <f>IFERROR(__xludf.DUMMYFUNCTION("GOOGLETRANSLATE(B8016,""en"",""hy"")"),"Չինաստանում խոսվող հիմնական լեզուն մանդարինն է։")</f>
        <v>Չինաստանում խոսվող հիմնական լեզուն մանդարինն է։</v>
      </c>
    </row>
    <row r="8017">
      <c r="A8017" s="5" t="s">
        <v>7791</v>
      </c>
      <c r="B8017" s="5" t="s">
        <v>8128</v>
      </c>
      <c r="C8017" s="5" t="str">
        <f>IFERROR(__xludf.DUMMYFUNCTION("GOOGLETRANSLATE(A8017,""en"",""hy"")"),"Ո՞րն է Ավստրալիայի ազգային կենդանին:")</f>
        <v>Ո՞րն է Ավստրալիայի ազգային կենդանին:</v>
      </c>
      <c r="D8017" s="6" t="str">
        <f>IFERROR(__xludf.DUMMYFUNCTION("GOOGLETRANSLATE(B8017,""en"",""hy"")"),"Կենգուրու.")</f>
        <v>Կենգուրու.</v>
      </c>
    </row>
    <row r="8018">
      <c r="A8018" s="5" t="s">
        <v>8624</v>
      </c>
      <c r="B8018" s="5" t="s">
        <v>2790</v>
      </c>
      <c r="C8018" s="5" t="str">
        <f>IFERROR(__xludf.DUMMYFUNCTION("GOOGLETRANSLATE(A8018,""en"",""hy"")"),"Ո՞ր երկիրն է հայտնի Մեծ պարիսպով:")</f>
        <v>Ո՞ր երկիրն է հայտնի Մեծ պարիսպով:</v>
      </c>
      <c r="D8018" s="6" t="str">
        <f>IFERROR(__xludf.DUMMYFUNCTION("GOOGLETRANSLATE(B8018,""en"",""hy"")"),"Չինաստան.")</f>
        <v>Չինաստան.</v>
      </c>
    </row>
    <row r="8019">
      <c r="A8019" s="5" t="s">
        <v>8123</v>
      </c>
      <c r="B8019" s="5" t="s">
        <v>7448</v>
      </c>
      <c r="C8019" s="5" t="str">
        <f>IFERROR(__xludf.DUMMYFUNCTION("GOOGLETRANSLATE(A8019,""en"",""hy"")"),"Ո՞վ է նկարել հայտնի «Վերջին ընթրիքը» ստեղծագործությունը:")</f>
        <v>Ո՞վ է նկարել հայտնի «Վերջին ընթրիքը» ստեղծագործությունը:</v>
      </c>
      <c r="D8019" s="6" t="str">
        <f>IFERROR(__xludf.DUMMYFUNCTION("GOOGLETRANSLATE(B8019,""en"",""hy"")"),"Լեոնարդո դա Վինչի.")</f>
        <v>Լեոնարդո դա Վինչի.</v>
      </c>
    </row>
    <row r="8020">
      <c r="A8020" s="5" t="s">
        <v>7872</v>
      </c>
      <c r="B8020" s="5" t="s">
        <v>1307</v>
      </c>
      <c r="C8020" s="5" t="str">
        <f>IFERROR(__xludf.DUMMYFUNCTION("GOOGLETRANSLATE(A8020,""en"",""hy"")"),"Ո՞րն է Իսպանիայի մայրաքաղաքը:")</f>
        <v>Ո՞րն է Իսպանիայի մայրաքաղաքը:</v>
      </c>
      <c r="D8020" s="6" t="str">
        <f>IFERROR(__xludf.DUMMYFUNCTION("GOOGLETRANSLATE(B8020,""en"",""hy"")"),"Մադրիդ.")</f>
        <v>Մադրիդ.</v>
      </c>
    </row>
    <row r="8021">
      <c r="A8021" s="5" t="s">
        <v>9703</v>
      </c>
      <c r="B8021" s="5" t="s">
        <v>9704</v>
      </c>
      <c r="C8021" s="5" t="str">
        <f>IFERROR(__xludf.DUMMYFUNCTION("GOOGLETRANSLATE(A8021,""en"",""hy"")"),"Ո՞վ է Մոբի-Դիկ վեպի գլխավոր հերոսը:")</f>
        <v>Ո՞վ է Մոբի-Դիկ վեպի գլխավոր հերոսը:</v>
      </c>
      <c r="D8021" s="6" t="str">
        <f>IFERROR(__xludf.DUMMYFUNCTION("GOOGLETRANSLATE(B8021,""en"",""hy"")"),"Մոբի-Դիկը վեպի գլխավոր հերոսը կապիտան Աքաբն է։")</f>
        <v>Մոբի-Դիկը վեպի գլխավոր հերոսը կապիտան Աքաբն է։</v>
      </c>
    </row>
    <row r="8022">
      <c r="A8022" s="5" t="s">
        <v>8247</v>
      </c>
      <c r="B8022" s="5" t="s">
        <v>3535</v>
      </c>
      <c r="C8022" s="5" t="str">
        <f>IFERROR(__xludf.DUMMYFUNCTION("GOOGLETRANSLATE(A8022,""en"",""hy"")"),"Ո՞ր երկրում է գտնվում Մեծ արգելախութը:")</f>
        <v>Ո՞ր երկրում է գտնվում Մեծ արգելախութը:</v>
      </c>
      <c r="D8022" s="6" t="str">
        <f>IFERROR(__xludf.DUMMYFUNCTION("GOOGLETRANSLATE(B8022,""en"",""hy"")"),"Ավստրալիա.")</f>
        <v>Ավստրալիա.</v>
      </c>
    </row>
    <row r="8023">
      <c r="A8023" s="5" t="s">
        <v>7506</v>
      </c>
      <c r="B8023" s="5" t="s">
        <v>9705</v>
      </c>
      <c r="C8023" s="5" t="str">
        <f>IFERROR(__xludf.DUMMYFUNCTION("GOOGLETRANSLATE(A8023,""en"",""hy"")"),"Ո՞րն է աշխարհի ամենափոքր երկիրը:")</f>
        <v>Ո՞րն է աշխարհի ամենափոքր երկիրը:</v>
      </c>
      <c r="D8023" s="6" t="str">
        <f>IFERROR(__xludf.DUMMYFUNCTION("GOOGLETRANSLATE(B8023,""en"",""hy"")"),"Քաղաք Վատիկան")</f>
        <v>Քաղաք Վատիկան</v>
      </c>
    </row>
    <row r="8024">
      <c r="A8024" s="5" t="s">
        <v>9706</v>
      </c>
      <c r="B8024" s="5" t="s">
        <v>9347</v>
      </c>
      <c r="C8024" s="5" t="str">
        <f>IFERROR(__xludf.DUMMYFUNCTION("GOOGLETRANSLATE(A8024,""en"",""hy"")"),"Ո՞ր երկիրն է հայտնի իր համեղ պիցցայով և մակարոնեղենով:")</f>
        <v>Ո՞ր երկիրն է հայտնի իր համեղ պիցցայով և մակարոնեղենով:</v>
      </c>
      <c r="D8024" s="6" t="str">
        <f>IFERROR(__xludf.DUMMYFUNCTION("GOOGLETRANSLATE(B8024,""en"",""hy"")"),"Իտալիա")</f>
        <v>Իտալիա</v>
      </c>
    </row>
    <row r="8025">
      <c r="A8025" s="5" t="s">
        <v>7465</v>
      </c>
      <c r="B8025" s="5" t="s">
        <v>7630</v>
      </c>
      <c r="C8025" s="5" t="str">
        <f>IFERROR(__xludf.DUMMYFUNCTION("GOOGLETRANSLATE(A8025,""en"",""hy"")"),"Ո՞վ է գրել «Հպարտություն և նախապաշարմունք» վեպը:")</f>
        <v>Ո՞վ է գրել «Հպարտություն և նախապաշարմունք» վեպը:</v>
      </c>
      <c r="D8025" s="6" t="str">
        <f>IFERROR(__xludf.DUMMYFUNCTION("GOOGLETRANSLATE(B8025,""en"",""hy"")"),"Ջեյն Օսթին.")</f>
        <v>Ջեյն Օսթին.</v>
      </c>
    </row>
    <row r="8026">
      <c r="A8026" s="5" t="s">
        <v>7711</v>
      </c>
      <c r="B8026" s="5" t="s">
        <v>7712</v>
      </c>
      <c r="C8026" s="5" t="str">
        <f>IFERROR(__xludf.DUMMYFUNCTION("GOOGLETRANSLATE(A8026,""en"",""hy"")"),"Ո՞րն է Միացյալ Նահանգների ամենամեծ քաղաքը:")</f>
        <v>Ո՞րն է Միացյալ Նահանգների ամենամեծ քաղաքը:</v>
      </c>
      <c r="D8026" s="6" t="str">
        <f>IFERROR(__xludf.DUMMYFUNCTION("GOOGLETRANSLATE(B8026,""en"",""hy"")"),"Նյու Յորք քաղաք.")</f>
        <v>Նյու Յորք քաղաք.</v>
      </c>
    </row>
    <row r="8027">
      <c r="A8027" s="5" t="s">
        <v>9249</v>
      </c>
      <c r="B8027" s="5" t="s">
        <v>7633</v>
      </c>
      <c r="C8027" s="5" t="str">
        <f>IFERROR(__xludf.DUMMYFUNCTION("GOOGLETRANSLATE(A8027,""en"",""hy"")"),"Ո՞ր մոլորակն է հայտնի որպես «Արեգակնային համակարգի հսկա»:")</f>
        <v>Ո՞ր մոլորակն է հայտնի որպես «Արեգակնային համակարգի հսկա»:</v>
      </c>
      <c r="D8027" s="6" t="str">
        <f>IFERROR(__xludf.DUMMYFUNCTION("GOOGLETRANSLATE(B8027,""en"",""hy"")"),"Յուպիտեր.")</f>
        <v>Յուպիտեր.</v>
      </c>
    </row>
    <row r="8028">
      <c r="A8028" s="5" t="s">
        <v>8151</v>
      </c>
      <c r="B8028" s="5" t="s">
        <v>8152</v>
      </c>
      <c r="C8028" s="5" t="str">
        <f>IFERROR(__xludf.DUMMYFUNCTION("GOOGLETRANSLATE(A8028,""en"",""hy"")"),"Ո՞րն է Հնդկաստանի ազգային կենդանին:")</f>
        <v>Ո՞րն է Հնդկաստանի ազգային կենդանին:</v>
      </c>
      <c r="D8028" s="6" t="str">
        <f>IFERROR(__xludf.DUMMYFUNCTION("GOOGLETRANSLATE(B8028,""en"",""hy"")"),"Հնդկաստանի ազգային կենդանին Բենգալյան վագրն է:")</f>
        <v>Հնդկաստանի ազգային կենդանին Բենգալյան վագրն է:</v>
      </c>
    </row>
    <row r="8029">
      <c r="A8029" s="5" t="s">
        <v>7504</v>
      </c>
      <c r="B8029" s="5" t="s">
        <v>7505</v>
      </c>
      <c r="C8029" s="5" t="str">
        <f>IFERROR(__xludf.DUMMYFUNCTION("GOOGLETRANSLATE(A8029,""en"",""hy"")"),"Ո՞վ է Միացյալ Նահանգների ներկայիս նախագահը:")</f>
        <v>Ո՞վ է Միացյալ Նահանգների ներկայիս նախագահը:</v>
      </c>
      <c r="D8029" s="6" t="str">
        <f>IFERROR(__xludf.DUMMYFUNCTION("GOOGLETRANSLATE(B8029,""en"",""hy"")"),"Ջո Բայդեն.")</f>
        <v>Ջո Բայդեն.</v>
      </c>
    </row>
    <row r="8030">
      <c r="A8030" s="5" t="s">
        <v>8798</v>
      </c>
      <c r="B8030" s="5" t="s">
        <v>7972</v>
      </c>
      <c r="C8030" s="5" t="str">
        <f>IFERROR(__xludf.DUMMYFUNCTION("GOOGLETRANSLATE(A8030,""en"",""hy"")"),"Ո՞ր երկրում է գտնվում Էյֆելյան աշտարակը:")</f>
        <v>Ո՞ր երկրում է գտնվում Էյֆելյան աշտարակը:</v>
      </c>
      <c r="D8030" s="6" t="str">
        <f>IFERROR(__xludf.DUMMYFUNCTION("GOOGLETRANSLATE(B8030,""en"",""hy"")"),"Ֆրանսիա.")</f>
        <v>Ֆրանսիա.</v>
      </c>
    </row>
    <row r="8031">
      <c r="A8031" s="5" t="s">
        <v>7699</v>
      </c>
      <c r="B8031" s="5" t="s">
        <v>8615</v>
      </c>
      <c r="C8031" s="5" t="str">
        <f>IFERROR(__xludf.DUMMYFUNCTION("GOOGLETRANSLATE(A8031,""en"",""hy"")"),"Ո՞րն է ածխածնի քիմիական նշանը:")</f>
        <v>Ո՞րն է ածխածնի քիմիական նշանը:</v>
      </c>
      <c r="D8031" s="6" t="str">
        <f>IFERROR(__xludf.DUMMYFUNCTION("GOOGLETRANSLATE(B8031,""en"",""hy"")"),"Գ")</f>
        <v>Գ</v>
      </c>
    </row>
    <row r="8032">
      <c r="A8032" s="5" t="s">
        <v>8753</v>
      </c>
      <c r="B8032" s="5" t="s">
        <v>9707</v>
      </c>
      <c r="C8032" s="5" t="str">
        <f>IFERROR(__xludf.DUMMYFUNCTION("GOOGLETRANSLATE(A8032,""en"",""hy"")"),"Ո՞րն է Հյուսիսային Ամերիկայի ամենաբարձր լեռը:")</f>
        <v>Ո՞րն է Հյուսիսային Ամերիկայի ամենաբարձր լեռը:</v>
      </c>
      <c r="D8032" s="6" t="str">
        <f>IFERROR(__xludf.DUMMYFUNCTION("GOOGLETRANSLATE(B8032,""en"",""hy"")"),"Դենալի (կամ ՄաքՔինլի լեռ)")</f>
        <v>Դենալի (կամ ՄաքՔինլի լեռ)</v>
      </c>
    </row>
    <row r="8033">
      <c r="A8033" s="5" t="s">
        <v>9708</v>
      </c>
      <c r="B8033" s="5" t="s">
        <v>7181</v>
      </c>
      <c r="C8033" s="5" t="str">
        <f>IFERROR(__xludf.DUMMYFUNCTION("GOOGLETRANSLATE(A8033,""en"",""hy"")"),"Ո՞ր երկիրն է հայտնի իր կենգուրուներով և կոալաներով:")</f>
        <v>Ո՞ր երկիրն է հայտնի իր կենգուրուներով և կոալաներով:</v>
      </c>
      <c r="D8033" s="6" t="str">
        <f>IFERROR(__xludf.DUMMYFUNCTION("GOOGLETRANSLATE(B8033,""en"",""hy"")"),"Ավստրալիա")</f>
        <v>Ավստրալիա</v>
      </c>
    </row>
    <row r="8034">
      <c r="A8034" s="5" t="s">
        <v>7612</v>
      </c>
      <c r="B8034" s="5" t="s">
        <v>7661</v>
      </c>
      <c r="C8034" s="5" t="str">
        <f>IFERROR(__xludf.DUMMYFUNCTION("GOOGLETRANSLATE(A8034,""en"",""hy"")"),"Ո՞վ է գրել «Մեծն Գեթսբի» վեպը:")</f>
        <v>Ո՞վ է գրել «Մեծն Գեթսբի» վեպը:</v>
      </c>
      <c r="D8034" s="6" t="str">
        <f>IFERROR(__xludf.DUMMYFUNCTION("GOOGLETRANSLATE(B8034,""en"",""hy"")"),"F. Scott Fitzgerald.")</f>
        <v>F. Scott Fitzgerald.</v>
      </c>
    </row>
    <row r="8035">
      <c r="A8035" s="5" t="s">
        <v>7579</v>
      </c>
      <c r="B8035" s="5" t="s">
        <v>7615</v>
      </c>
      <c r="C8035" s="5" t="str">
        <f>IFERROR(__xludf.DUMMYFUNCTION("GOOGLETRANSLATE(A8035,""en"",""hy"")"),"Ո՞րն է Գերմանիայի արժույթը:")</f>
        <v>Ո՞րն է Գերմանիայի արժույթը:</v>
      </c>
      <c r="D8035" s="6" t="str">
        <f>IFERROR(__xludf.DUMMYFUNCTION("GOOGLETRANSLATE(B8035,""en"",""hy"")"),"եվրո")</f>
        <v>եվրո</v>
      </c>
    </row>
    <row r="8036">
      <c r="A8036" s="5" t="s">
        <v>8250</v>
      </c>
      <c r="B8036" s="5" t="s">
        <v>7712</v>
      </c>
      <c r="C8036" s="5" t="str">
        <f>IFERROR(__xludf.DUMMYFUNCTION("GOOGLETRANSLATE(A8036,""en"",""hy"")"),"Ո՞ր քաղաքում է գտնվում Ազատության արձանը:")</f>
        <v>Ո՞ր քաղաքում է գտնվում Ազատության արձանը:</v>
      </c>
      <c r="D8036" s="6" t="str">
        <f>IFERROR(__xludf.DUMMYFUNCTION("GOOGLETRANSLATE(B8036,""en"",""hy"")"),"Նյու Յորք քաղաք.")</f>
        <v>Նյու Յորք քաղաք.</v>
      </c>
    </row>
    <row r="8037">
      <c r="A8037" s="5" t="s">
        <v>8198</v>
      </c>
      <c r="B8037" s="5" t="s">
        <v>8199</v>
      </c>
      <c r="C8037" s="5" t="str">
        <f>IFERROR(__xludf.DUMMYFUNCTION("GOOGLETRANSLATE(A8037,""en"",""hy"")"),"Ո՞րն է Չինաստանի ազգային կենդանին:")</f>
        <v>Ո՞րն է Չինաստանի ազգային կենդանին:</v>
      </c>
      <c r="D8037" s="6" t="str">
        <f>IFERROR(__xludf.DUMMYFUNCTION("GOOGLETRANSLATE(B8037,""en"",""hy"")"),"Չինաստանի ազգային կենդանին հսկա պանդան է։")</f>
        <v>Չինաստանի ազգային կենդանին հսկա պանդան է։</v>
      </c>
    </row>
    <row r="8038">
      <c r="A8038" s="5" t="s">
        <v>8325</v>
      </c>
      <c r="B8038" s="5" t="s">
        <v>8326</v>
      </c>
      <c r="C8038" s="5" t="str">
        <f>IFERROR(__xludf.DUMMYFUNCTION("GOOGLETRANSLATE(A8038,""en"",""hy"")"),"Ո՞վ է հունական սիրո և գեղեցկության աստվածուհին:")</f>
        <v>Ո՞վ է հունական սիրո և գեղեցկության աստվածուհին:</v>
      </c>
      <c r="D8038" s="6" t="str">
        <f>IFERROR(__xludf.DUMMYFUNCTION("GOOGLETRANSLATE(B8038,""en"",""hy"")"),"Աֆրոդիտե.")</f>
        <v>Աֆրոդիտե.</v>
      </c>
    </row>
    <row r="8039">
      <c r="A8039" s="5" t="s">
        <v>7589</v>
      </c>
      <c r="B8039" s="5" t="s">
        <v>7545</v>
      </c>
      <c r="C8039" s="5" t="str">
        <f>IFERROR(__xludf.DUMMYFUNCTION("GOOGLETRANSLATE(A8039,""en"",""hy"")"),"Ո՞րն է Իտալիայի մայրաքաղաքը:")</f>
        <v>Ո՞րն է Իտալիայի մայրաքաղաքը:</v>
      </c>
      <c r="D8039" s="6" t="str">
        <f>IFERROR(__xludf.DUMMYFUNCTION("GOOGLETRANSLATE(B8039,""en"",""hy"")"),"Հռոմ.")</f>
        <v>Հռոմ.</v>
      </c>
    </row>
    <row r="8040">
      <c r="A8040" s="5" t="s">
        <v>7744</v>
      </c>
      <c r="B8040" s="5" t="s">
        <v>8218</v>
      </c>
      <c r="C8040" s="5" t="str">
        <f>IFERROR(__xludf.DUMMYFUNCTION("GOOGLETRANSLATE(A8040,""en"",""hy"")"),"Ո՞վ է նկարել հայտնի «Հիշողության համառությունը» ստեղծագործությունը:")</f>
        <v>Ո՞վ է նկարել հայտնի «Հիշողության համառությունը» ստեղծագործությունը:</v>
      </c>
      <c r="D8040" s="6" t="str">
        <f>IFERROR(__xludf.DUMMYFUNCTION("GOOGLETRANSLATE(B8040,""en"",""hy"")"),"Սալվադոր Դալի")</f>
        <v>Սալվադոր Դալի</v>
      </c>
    </row>
    <row r="8041">
      <c r="A8041" s="5" t="s">
        <v>7937</v>
      </c>
      <c r="B8041" s="5" t="s">
        <v>9709</v>
      </c>
      <c r="C8041" s="5" t="str">
        <f>IFERROR(__xludf.DUMMYFUNCTION("GOOGLETRANSLATE(A8041,""en"",""hy"")"),"Ո՞րն է Ճապոնիայում խոսվող հիմնական լեզուն:")</f>
        <v>Ո՞րն է Ճապոնիայում խոսվող հիմնական լեզուն:</v>
      </c>
      <c r="D8041" s="6" t="str">
        <f>IFERROR(__xludf.DUMMYFUNCTION("GOOGLETRANSLATE(B8041,""en"",""hy"")"),"Ճապոնիայում խոսվող հիմնական լեզուն ճապոներենն է։")</f>
        <v>Ճապոնիայում խոսվող հիմնական լեզուն ճապոներենն է։</v>
      </c>
    </row>
    <row r="8042">
      <c r="A8042" s="5" t="s">
        <v>9710</v>
      </c>
      <c r="B8042" s="5" t="s">
        <v>9711</v>
      </c>
      <c r="C8042" s="5" t="str">
        <f>IFERROR(__xludf.DUMMYFUNCTION("GOOGLETRANSLATE(A8042,""en"",""hy"")"),"Ո՞ր երկիրն է հայտնի իր համեղ շոկոլադով և վաֆլիներով:")</f>
        <v>Ո՞ր երկիրն է հայտնի իր համեղ շոկոլադով և վաֆլիներով:</v>
      </c>
      <c r="D8042" s="6" t="str">
        <f>IFERROR(__xludf.DUMMYFUNCTION("GOOGLETRANSLATE(B8042,""en"",""hy"")"),"Բելգիա")</f>
        <v>Բելգիա</v>
      </c>
    </row>
    <row r="8043">
      <c r="A8043" s="5" t="s">
        <v>7521</v>
      </c>
      <c r="B8043" s="5" t="s">
        <v>1016</v>
      </c>
      <c r="C8043" s="5" t="str">
        <f>IFERROR(__xludf.DUMMYFUNCTION("GOOGLETRANSLATE(A8043,""en"",""hy"")"),"Ո՞վ է գրել Համլետ պիեսը:")</f>
        <v>Ո՞վ է գրել Համլետ պիեսը:</v>
      </c>
      <c r="D8043" s="6" t="str">
        <f>IFERROR(__xludf.DUMMYFUNCTION("GOOGLETRANSLATE(B8043,""en"",""hy"")"),"Ուիլյամ Շեքսպիր.")</f>
        <v>Ուիլյամ Շեքսպիր.</v>
      </c>
    </row>
    <row r="8044">
      <c r="A8044" s="5" t="s">
        <v>7509</v>
      </c>
      <c r="B8044" s="5" t="s">
        <v>7510</v>
      </c>
      <c r="C8044" s="5" t="str">
        <f>IFERROR(__xludf.DUMMYFUNCTION("GOOGLETRANSLATE(A8044,""en"",""hy"")"),"Ո՞րն է արծաթի քիմիական նշանը:")</f>
        <v>Ո՞րն է արծաթի քիմիական նշանը:</v>
      </c>
      <c r="D8044" s="6" t="str">
        <f>IFERROR(__xludf.DUMMYFUNCTION("GOOGLETRANSLATE(B8044,""en"",""hy"")"),"Ագ")</f>
        <v>Ագ</v>
      </c>
    </row>
    <row r="8045">
      <c r="A8045" s="5" t="s">
        <v>7618</v>
      </c>
      <c r="B8045" s="5" t="s">
        <v>7733</v>
      </c>
      <c r="C8045" s="5" t="str">
        <f>IFERROR(__xludf.DUMMYFUNCTION("GOOGLETRANSLATE(A8045,""en"",""hy"")"),"Ո՞րն է աշխարհի ամենամեծ ջրվեժը:")</f>
        <v>Ո՞րն է աշխարհի ամենամեծ ջրվեժը:</v>
      </c>
      <c r="D8045" s="6" t="str">
        <f>IFERROR(__xludf.DUMMYFUNCTION("GOOGLETRANSLATE(B8045,""en"",""hy"")"),"Angel Falls.")</f>
        <v>Angel Falls.</v>
      </c>
    </row>
    <row r="8046">
      <c r="A8046" s="5" t="s">
        <v>8235</v>
      </c>
      <c r="B8046" s="5" t="s">
        <v>6334</v>
      </c>
      <c r="C8046" s="5" t="str">
        <f>IFERROR(__xludf.DUMMYFUNCTION("GOOGLETRANSLATE(A8046,""en"",""hy"")"),"Ո՞ր երկրում է գտնվում Կոլիզեյը:")</f>
        <v>Ո՞ր երկրում է գտնվում Կոլիզեյը:</v>
      </c>
      <c r="D8046" s="6" t="str">
        <f>IFERROR(__xludf.DUMMYFUNCTION("GOOGLETRANSLATE(B8046,""en"",""hy"")"),"Իտալիա.")</f>
        <v>Իտալիա.</v>
      </c>
    </row>
    <row r="8047">
      <c r="A8047" s="5" t="s">
        <v>9712</v>
      </c>
      <c r="B8047" s="5" t="s">
        <v>9713</v>
      </c>
      <c r="C8047" s="5" t="str">
        <f>IFERROR(__xludf.DUMMYFUNCTION("GOOGLETRANSLATE(A8047,""en"",""hy"")"),"Ո՞վ է «The Catcher in the Rye» վեպի գլխավոր հերոսը:")</f>
        <v>Ո՞վ է «The Catcher in the Rye» վեպի գլխավոր հերոսը:</v>
      </c>
      <c r="D8047" s="6" t="str">
        <f>IFERROR(__xludf.DUMMYFUNCTION("GOOGLETRANSLATE(B8047,""en"",""hy"")"),"The Catcher in the Rye վեպի գլխավոր հերոսը Հոլդեն Քոլֆիլդն է։")</f>
        <v>The Catcher in the Rye վեպի գլխավոր հերոսը Հոլդեն Քոլֆիլդն է։</v>
      </c>
    </row>
    <row r="8048">
      <c r="A8048" s="5" t="s">
        <v>7463</v>
      </c>
      <c r="B8048" s="5" t="s">
        <v>7464</v>
      </c>
      <c r="C8048" s="5" t="str">
        <f>IFERROR(__xludf.DUMMYFUNCTION("GOOGLETRANSLATE(A8048,""en"",""hy"")"),"Ո՞րն է աշխարհի ամենաբարձր լեռը:")</f>
        <v>Ո՞րն է աշխարհի ամենաբարձր լեռը:</v>
      </c>
      <c r="D8048" s="6" t="str">
        <f>IFERROR(__xludf.DUMMYFUNCTION("GOOGLETRANSLATE(B8048,""en"",""hy"")"),"Էվերեստ լեռ.")</f>
        <v>Էվերեստ լեռ.</v>
      </c>
    </row>
    <row r="8049">
      <c r="A8049" s="5" t="s">
        <v>9714</v>
      </c>
      <c r="B8049" s="5" t="s">
        <v>9715</v>
      </c>
      <c r="C8049" s="5" t="str">
        <f>IFERROR(__xludf.DUMMYFUNCTION("GOOGLETRANSLATE(A8049,""en"",""hy"")"),"Ո՞ր երկիրն է հայտնի իր գեղեցիկ լողափերով և տանգոյով:")</f>
        <v>Ո՞ր երկիրն է հայտնի իր գեղեցիկ լողափերով և տանգոյով:</v>
      </c>
      <c r="D8049" s="6" t="str">
        <f>IFERROR(__xludf.DUMMYFUNCTION("GOOGLETRANSLATE(B8049,""en"",""hy"")"),"Արգենտինա")</f>
        <v>Արգենտինա</v>
      </c>
    </row>
    <row r="8050">
      <c r="A8050" s="5" t="s">
        <v>8310</v>
      </c>
      <c r="B8050" s="5" t="s">
        <v>7585</v>
      </c>
      <c r="C8050" s="5" t="str">
        <f>IFERROR(__xludf.DUMMYFUNCTION("GOOGLETRANSLATE(A8050,""en"",""hy"")"),"Ո՞վ է նկարել հայտնի «Ճիչ»-ը:")</f>
        <v>Ո՞վ է նկարել հայտնի «Ճիչ»-ը:</v>
      </c>
      <c r="D8050" s="6" t="str">
        <f>IFERROR(__xludf.DUMMYFUNCTION("GOOGLETRANSLATE(B8050,""en"",""hy"")"),"Էդվարդ Մունկ.")</f>
        <v>Էդվարդ Մունկ.</v>
      </c>
    </row>
    <row r="8051">
      <c r="A8051" s="5" t="s">
        <v>7500</v>
      </c>
      <c r="B8051" s="5" t="s">
        <v>7501</v>
      </c>
      <c r="C8051" s="5" t="str">
        <f>IFERROR(__xludf.DUMMYFUNCTION("GOOGLETRANSLATE(A8051,""en"",""hy"")"),"Ո՞րն է Ֆրանսիայի մայրաքաղաքը:")</f>
        <v>Ո՞րն է Ֆրանսիայի մայրաքաղաքը:</v>
      </c>
      <c r="D8051" s="6" t="str">
        <f>IFERROR(__xludf.DUMMYFUNCTION("GOOGLETRANSLATE(B8051,""en"",""hy"")"),"Փարիզ.")</f>
        <v>Փարիզ.</v>
      </c>
    </row>
    <row r="8052">
      <c r="A8052" s="5" t="s">
        <v>7674</v>
      </c>
      <c r="B8052" s="5" t="s">
        <v>7675</v>
      </c>
      <c r="C8052" s="5" t="str">
        <f>IFERROR(__xludf.DUMMYFUNCTION("GOOGLETRANSLATE(A8052,""en"",""hy"")"),"Ո՞վ է հունական ծովի աստվածը:")</f>
        <v>Ո՞վ է հունական ծովի աստվածը:</v>
      </c>
      <c r="D8052" s="6" t="str">
        <f>IFERROR(__xludf.DUMMYFUNCTION("GOOGLETRANSLATE(B8052,""en"",""hy"")"),"Պոսեյդոն.")</f>
        <v>Պոսեյդոն.</v>
      </c>
    </row>
    <row r="8053">
      <c r="A8053" s="5" t="s">
        <v>8290</v>
      </c>
      <c r="B8053" s="5" t="s">
        <v>8291</v>
      </c>
      <c r="C8053" s="5" t="str">
        <f>IFERROR(__xludf.DUMMYFUNCTION("GOOGLETRANSLATE(A8053,""en"",""hy"")"),"Ո՞րն է Հարավային Աֆրիկայի ազգային կենդանին:")</f>
        <v>Ո՞րն է Հարավային Աֆրիկայի ազգային կենդանին:</v>
      </c>
      <c r="D8053" s="6" t="str">
        <f>IFERROR(__xludf.DUMMYFUNCTION("GOOGLETRANSLATE(B8053,""en"",""hy"")"),"Հարավային Աֆրիկայի ազգային կենդանին սփրինգբոկն է։")</f>
        <v>Հարավային Աֆրիկայի ազգային կենդանին սփրինգբոկն է։</v>
      </c>
    </row>
    <row r="8054">
      <c r="A8054" s="5" t="s">
        <v>9716</v>
      </c>
      <c r="B8054" s="5" t="s">
        <v>7673</v>
      </c>
      <c r="C8054" s="5" t="str">
        <f>IFERROR(__xludf.DUMMYFUNCTION("GOOGLETRANSLATE(A8054,""en"",""hy"")"),"Ո՞ր երկիրն է հայտնի Ամազոնի անձրևային անտառներով:")</f>
        <v>Ո՞ր երկիրն է հայտնի Ամազոնի անձրևային անտառներով:</v>
      </c>
      <c r="D8054" s="6" t="str">
        <f>IFERROR(__xludf.DUMMYFUNCTION("GOOGLETRANSLATE(B8054,""en"",""hy"")"),"Բրազիլիա.")</f>
        <v>Բրազիլիա.</v>
      </c>
    </row>
    <row r="8055">
      <c r="A8055" s="5" t="s">
        <v>7594</v>
      </c>
      <c r="B8055" s="5" t="s">
        <v>8107</v>
      </c>
      <c r="C8055" s="5" t="str">
        <f>IFERROR(__xludf.DUMMYFUNCTION("GOOGLETRANSLATE(A8055,""en"",""hy"")"),"Ո՞վ է գրել «Մակբեթ» պիեսը:")</f>
        <v>Ո՞վ է գրել «Մակբեթ» պիեսը:</v>
      </c>
      <c r="D8055" s="6" t="str">
        <f>IFERROR(__xludf.DUMMYFUNCTION("GOOGLETRANSLATE(B8055,""en"",""hy"")"),"Ուիլյամ Շեքսպիր")</f>
        <v>Ուիլյամ Շեքսպիր</v>
      </c>
    </row>
    <row r="8056">
      <c r="A8056" s="5" t="s">
        <v>7761</v>
      </c>
      <c r="B8056" s="5" t="s">
        <v>7762</v>
      </c>
      <c r="C8056" s="5" t="str">
        <f>IFERROR(__xludf.DUMMYFUNCTION("GOOGLETRANSLATE(A8056,""en"",""hy"")"),"Ո՞րն է ջրածնի քիմիական նշանը:")</f>
        <v>Ո՞րն է ջրածնի քիմիական նշանը:</v>
      </c>
      <c r="D8056" s="6" t="str">
        <f>IFERROR(__xludf.DUMMYFUNCTION("GOOGLETRANSLATE(B8056,""en"",""hy"")"),"Հ")</f>
        <v>Հ</v>
      </c>
    </row>
    <row r="8057">
      <c r="A8057" s="5" t="s">
        <v>8808</v>
      </c>
      <c r="B8057" s="5" t="s">
        <v>8201</v>
      </c>
      <c r="C8057" s="5" t="str">
        <f>IFERROR(__xludf.DUMMYFUNCTION("GOOGLETRANSLATE(A8057,""en"",""hy"")"),"Ո՞ր երկրում է գտնվում Ակրոպոլիսը:")</f>
        <v>Ո՞ր երկրում է գտնվում Ակրոպոլիսը:</v>
      </c>
      <c r="D8057" s="6" t="str">
        <f>IFERROR(__xludf.DUMMYFUNCTION("GOOGLETRANSLATE(B8057,""en"",""hy"")"),"Հունաստան.")</f>
        <v>Հունաստան.</v>
      </c>
    </row>
    <row r="8058">
      <c r="A8058" s="5" t="s">
        <v>8213</v>
      </c>
      <c r="B8058" s="5" t="s">
        <v>8214</v>
      </c>
      <c r="C8058" s="5" t="str">
        <f>IFERROR(__xludf.DUMMYFUNCTION("GOOGLETRANSLATE(A8058,""en"",""hy"")"),"Ո՞րն է Ռուսաստանի ազգային կենդանին:")</f>
        <v>Ո՞րն է Ռուսաստանի ազգային կենդանին:</v>
      </c>
      <c r="D8058" s="6" t="str">
        <f>IFERROR(__xludf.DUMMYFUNCTION("GOOGLETRANSLATE(B8058,""en"",""hy"")"),"Ռուսաստանի ազգային կենդանին գորշ արջն է։")</f>
        <v>Ռուսաստանի ազգային կենդանին գորշ արջն է։</v>
      </c>
    </row>
    <row r="8059">
      <c r="A8059" s="5" t="s">
        <v>7566</v>
      </c>
      <c r="B8059" s="5" t="s">
        <v>7934</v>
      </c>
      <c r="C8059" s="5" t="str">
        <f>IFERROR(__xludf.DUMMYFUNCTION("GOOGLETRANSLATE(A8059,""en"",""hy"")"),"Ո՞վ է Կանադայի ներկայիս վարչապետը:")</f>
        <v>Ո՞վ է Կանադայի ներկայիս վարչապետը:</v>
      </c>
      <c r="D8059" s="6" t="str">
        <f>IFERROR(__xludf.DUMMYFUNCTION("GOOGLETRANSLATE(B8059,""en"",""hy"")"),"Ջասթին Թրյուդո.")</f>
        <v>Ջասթին Թրյուդո.</v>
      </c>
    </row>
    <row r="8060">
      <c r="A8060" s="5" t="s">
        <v>7691</v>
      </c>
      <c r="B8060" s="5" t="s">
        <v>7692</v>
      </c>
      <c r="C8060" s="5" t="str">
        <f>IFERROR(__xludf.DUMMYFUNCTION("GOOGLETRANSLATE(A8060,""en"",""hy"")"),"Ո՞րն է Աֆրիկայի ամենամեծ լիճը:")</f>
        <v>Ո՞րն է Աֆրիկայի ամենամեծ լիճը:</v>
      </c>
      <c r="D8060" s="6" t="str">
        <f>IFERROR(__xludf.DUMMYFUNCTION("GOOGLETRANSLATE(B8060,""en"",""hy"")"),"Վիկտորիա լիճ.")</f>
        <v>Վիկտորիա լիճ.</v>
      </c>
    </row>
    <row r="8061">
      <c r="A8061" s="5" t="s">
        <v>9717</v>
      </c>
      <c r="B8061" s="5" t="s">
        <v>8614</v>
      </c>
      <c r="C8061" s="5" t="str">
        <f>IFERROR(__xludf.DUMMYFUNCTION("GOOGLETRANSLATE(A8061,""en"",""hy"")"),"Ո՞ր երկիրն է հայտնի իր գեղեցիկ ֆյորդներով և վիկինգներով:")</f>
        <v>Ո՞ր երկիրն է հայտնի իր գեղեցիկ ֆյորդներով և վիկինգներով:</v>
      </c>
      <c r="D8061" s="6" t="str">
        <f>IFERROR(__xludf.DUMMYFUNCTION("GOOGLETRANSLATE(B8061,""en"",""hy"")"),"Նորվեգիա.")</f>
        <v>Նորվեգիա.</v>
      </c>
    </row>
    <row r="8062">
      <c r="A8062" s="5" t="s">
        <v>7626</v>
      </c>
      <c r="B8062" s="5" t="s">
        <v>8066</v>
      </c>
      <c r="C8062" s="5" t="str">
        <f>IFERROR(__xludf.DUMMYFUNCTION("GOOGLETRANSLATE(A8062,""en"",""hy"")"),"Ո՞րն է Գերմանիայի մայրաքաղաքը:")</f>
        <v>Ո՞րն է Գերմանիայի մայրաքաղաքը:</v>
      </c>
      <c r="D8062" s="6" t="str">
        <f>IFERROR(__xludf.DUMMYFUNCTION("GOOGLETRANSLATE(B8062,""en"",""hy"")"),"Բեռլին.")</f>
        <v>Բեռլին.</v>
      </c>
    </row>
    <row r="8063">
      <c r="A8063" s="5" t="s">
        <v>8308</v>
      </c>
      <c r="B8063" s="5" t="s">
        <v>8309</v>
      </c>
      <c r="C8063" s="5" t="str">
        <f>IFERROR(__xludf.DUMMYFUNCTION("GOOGLETRANSLATE(A8063,""en"",""hy"")"),"Ո՞վ է հունական իմաստության աստվածուհին:")</f>
        <v>Ո՞վ է հունական իմաստության աստվածուհին:</v>
      </c>
      <c r="D8063" s="6" t="str">
        <f>IFERROR(__xludf.DUMMYFUNCTION("GOOGLETRANSLATE(B8063,""en"",""hy"")"),"Աթենա.")</f>
        <v>Աթենա.</v>
      </c>
    </row>
    <row r="8064">
      <c r="A8064" s="5" t="s">
        <v>7948</v>
      </c>
      <c r="B8064" s="5" t="s">
        <v>9718</v>
      </c>
      <c r="C8064" s="5" t="str">
        <f>IFERROR(__xludf.DUMMYFUNCTION("GOOGLETRANSLATE(A8064,""en"",""hy"")"),"Ո՞րն է Ռուսաստանում խոսվող հիմնական լեզուն:")</f>
        <v>Ո՞րն է Ռուսաստանում խոսվող հիմնական լեզուն:</v>
      </c>
      <c r="D8064" s="6" t="str">
        <f>IFERROR(__xludf.DUMMYFUNCTION("GOOGLETRANSLATE(B8064,""en"",""hy"")"),"Ռուսաստանում խոսվող հիմնական լեզուն ռուսերենն է։")</f>
        <v>Ռուսաստանում խոսվող հիմնական լեզուն ռուսերենն է։</v>
      </c>
    </row>
    <row r="8065">
      <c r="A8065" s="5" t="s">
        <v>9719</v>
      </c>
      <c r="B8065" s="5" t="s">
        <v>998</v>
      </c>
      <c r="C8065" s="5" t="str">
        <f>IFERROR(__xludf.DUMMYFUNCTION("GOOGLETRANSLATE(A8065,""en"",""hy"")"),"Ո՞ր երկիրն է հայտնի իր գեղեցիկ ջրանցքներով և հեծանիվներով:")</f>
        <v>Ո՞ր երկիրն է հայտնի իր գեղեցիկ ջրանցքներով և հեծանիվներով:</v>
      </c>
      <c r="D8065" s="6" t="str">
        <f>IFERROR(__xludf.DUMMYFUNCTION("GOOGLETRANSLATE(B8065,""en"",""hy"")"),"Նիդերլանդներ.")</f>
        <v>Նիդերլանդներ.</v>
      </c>
    </row>
    <row r="8066">
      <c r="A8066" s="5" t="s">
        <v>8318</v>
      </c>
      <c r="B8066" s="5" t="s">
        <v>7549</v>
      </c>
      <c r="C8066" s="5" t="str">
        <f>IFERROR(__xludf.DUMMYFUNCTION("GOOGLETRANSLATE(A8066,""en"",""hy"")"),"Ո՞վ է նկարել հայտնի «Մարգարտյա ականջօղով աղջիկը» ստեղծագործությունը:")</f>
        <v>Ո՞վ է նկարել հայտնի «Մարգարտյա ականջօղով աղջիկը» ստեղծագործությունը:</v>
      </c>
      <c r="D8066" s="6" t="str">
        <f>IFERROR(__xludf.DUMMYFUNCTION("GOOGLETRANSLATE(B8066,""en"",""hy"")"),"Յոհաննես Վերմեեր.")</f>
        <v>Յոհաննես Վերմեեր.</v>
      </c>
    </row>
    <row r="8067">
      <c r="A8067" s="5" t="s">
        <v>7614</v>
      </c>
      <c r="B8067" s="5" t="s">
        <v>7721</v>
      </c>
      <c r="C8067" s="5" t="str">
        <f>IFERROR(__xludf.DUMMYFUNCTION("GOOGLETRANSLATE(A8067,""en"",""hy"")"),"Ո՞րն է Ֆրանսիայի արժույթը:")</f>
        <v>Ո՞րն է Ֆրանսիայի արժույթը:</v>
      </c>
      <c r="D8067" s="6" t="str">
        <f>IFERROR(__xludf.DUMMYFUNCTION("GOOGLETRANSLATE(B8067,""en"",""hy"")"),"Ֆրանսիայի արժույթը եվրոն է։")</f>
        <v>Ֆրանսիայի արժույթը եվրոն է։</v>
      </c>
    </row>
    <row r="8068">
      <c r="A8068" s="5" t="s">
        <v>9300</v>
      </c>
      <c r="B8068" s="5" t="s">
        <v>7598</v>
      </c>
      <c r="C8068" s="5" t="str">
        <f>IFERROR(__xludf.DUMMYFUNCTION("GOOGLETRANSLATE(A8068,""en"",""hy"")"),"Ո՞ր քաղաքում է գտնվում Սիդնեյի օպերային թատրոնը:")</f>
        <v>Ո՞ր քաղաքում է գտնվում Սիդնեյի օպերային թատրոնը:</v>
      </c>
      <c r="D8068" s="6" t="str">
        <f>IFERROR(__xludf.DUMMYFUNCTION("GOOGLETRANSLATE(B8068,""en"",""hy"")"),"Սիդնեյ.")</f>
        <v>Սիդնեյ.</v>
      </c>
    </row>
    <row r="8069">
      <c r="A8069" s="5" t="s">
        <v>9720</v>
      </c>
      <c r="B8069" s="5" t="s">
        <v>9721</v>
      </c>
      <c r="C8069" s="5" t="str">
        <f>IFERROR(__xludf.DUMMYFUNCTION("GOOGLETRANSLATE(A8069,""en"",""hy"")"),"Ո՞վ է «1984» վեպի գլխավոր հերոսը:")</f>
        <v>Ո՞վ է «1984» վեպի գլխավոր հերոսը:</v>
      </c>
      <c r="D8069" s="6" t="str">
        <f>IFERROR(__xludf.DUMMYFUNCTION("GOOGLETRANSLATE(B8069,""en"",""hy"")"),"1984 թվականի վեպի գլխավոր հերոսը Ուինսթոն Սմիթն է։")</f>
        <v>1984 թվականի վեպի գլխավոր հերոսը Ուինսթոն Սմիթն է։</v>
      </c>
    </row>
    <row r="8070">
      <c r="A8070" s="5" t="s">
        <v>7665</v>
      </c>
      <c r="B8070" s="5" t="s">
        <v>7666</v>
      </c>
      <c r="C8070" s="5" t="str">
        <f>IFERROR(__xludf.DUMMYFUNCTION("GOOGLETRANSLATE(A8070,""en"",""hy"")"),"Ո՞րն է նատրիումի քիմիական նշանը:")</f>
        <v>Ո՞րն է նատրիումի քիմիական նշանը:</v>
      </c>
      <c r="D8070" s="6" t="str">
        <f>IFERROR(__xludf.DUMMYFUNCTION("GOOGLETRANSLATE(B8070,""en"",""hy"")"),"Նա")</f>
        <v>Նա</v>
      </c>
    </row>
    <row r="8071">
      <c r="A8071" s="5" t="s">
        <v>9557</v>
      </c>
      <c r="B8071" s="5" t="s">
        <v>9558</v>
      </c>
      <c r="C8071" s="5" t="str">
        <f>IFERROR(__xludf.DUMMYFUNCTION("GOOGLETRANSLATE(A8071,""en"",""hy"")"),"Ո՞րն է Հարավային Ամերիկայի ամենաբարձր լեռը:")</f>
        <v>Ո՞րն է Հարավային Ամերիկայի ամենաբարձր լեռը:</v>
      </c>
      <c r="D8071" s="6" t="str">
        <f>IFERROR(__xludf.DUMMYFUNCTION("GOOGLETRANSLATE(B8071,""en"",""hy"")"),"Հարավային Ամերիկայի ամենաբարձր լեռը Ակոնկագուա լեռն է։")</f>
        <v>Հարավային Ամերիկայի ամենաբարձր լեռը Ակոնկագուա լեռն է։</v>
      </c>
    </row>
    <row r="8072">
      <c r="A8072" s="5" t="s">
        <v>9430</v>
      </c>
      <c r="B8072" s="5" t="s">
        <v>9722</v>
      </c>
      <c r="C8072" s="5" t="str">
        <f>IFERROR(__xludf.DUMMYFUNCTION("GOOGLETRANSLATE(A8072,""en"",""hy"")"),"Ո՞րն է Ֆրանսիայի ազգային կենդանին:")</f>
        <v>Ո՞րն է Ֆրանսիայի ազգային կենդանին:</v>
      </c>
      <c r="D8072" s="6" t="str">
        <f>IFERROR(__xludf.DUMMYFUNCTION("GOOGLETRANSLATE(B8072,""en"",""hy"")"),"Ֆրանսիայի ազգային կենդանին գալլական աքլորն է։")</f>
        <v>Ֆրանսիայի ազգային կենդանին գալլական աքլորն է։</v>
      </c>
    </row>
    <row r="8073">
      <c r="A8073" s="5" t="s">
        <v>9723</v>
      </c>
      <c r="B8073" s="5" t="s">
        <v>7512</v>
      </c>
      <c r="C8073" s="5" t="str">
        <f>IFERROR(__xludf.DUMMYFUNCTION("GOOGLETRANSLATE(A8073,""en"",""hy"")"),"Ո՞ր երկիրն է հայտնի իր հնագույն բուրգերով և փարավոններով:")</f>
        <v>Ո՞ր երկիրն է հայտնի իր հնագույն բուրգերով և փարավոններով:</v>
      </c>
      <c r="D8073" s="6" t="str">
        <f>IFERROR(__xludf.DUMMYFUNCTION("GOOGLETRANSLATE(B8073,""en"",""hy"")"),"Եգիպտոս.")</f>
        <v>Եգիպտոս.</v>
      </c>
    </row>
    <row r="8074">
      <c r="A8074" s="5" t="s">
        <v>8070</v>
      </c>
      <c r="B8074" s="5" t="s">
        <v>1016</v>
      </c>
      <c r="C8074" s="5" t="str">
        <f>IFERROR(__xludf.DUMMYFUNCTION("GOOGLETRANSLATE(A8074,""en"",""hy"")"),"Ո՞վ է գրել «Օթելլո» պիեսը:")</f>
        <v>Ո՞վ է գրել «Օթելլո» պիեսը:</v>
      </c>
      <c r="D8074" s="6" t="str">
        <f>IFERROR(__xludf.DUMMYFUNCTION("GOOGLETRANSLATE(B8074,""en"",""hy"")"),"Ուիլյամ Շեքսպիր.")</f>
        <v>Ուիլյամ Շեքսպիր.</v>
      </c>
    </row>
    <row r="8075">
      <c r="A8075" s="5" t="s">
        <v>7574</v>
      </c>
      <c r="B8075" s="5" t="s">
        <v>7525</v>
      </c>
      <c r="C8075" s="5" t="str">
        <f>IFERROR(__xludf.DUMMYFUNCTION("GOOGLETRANSLATE(A8075,""en"",""hy"")"),"Ո՞րն է Չինաստանի մայրաքաղաքը:")</f>
        <v>Ո՞րն է Չինաստանի մայրաքաղաքը:</v>
      </c>
      <c r="D8075" s="6" t="str">
        <f>IFERROR(__xludf.DUMMYFUNCTION("GOOGLETRANSLATE(B8075,""en"",""hy"")"),"Պեկին.")</f>
        <v>Պեկին.</v>
      </c>
    </row>
    <row r="8076">
      <c r="A8076" s="5" t="s">
        <v>8316</v>
      </c>
      <c r="B8076" s="5" t="s">
        <v>8317</v>
      </c>
      <c r="C8076" s="5" t="str">
        <f>IFERROR(__xludf.DUMMYFUNCTION("GOOGLETRANSLATE(A8076,""en"",""hy"")"),"Ո՞վ է հունական պատերազմի աստվածը:")</f>
        <v>Ո՞վ է հունական պատերազմի աստվածը:</v>
      </c>
      <c r="D8076" s="6" t="str">
        <f>IFERROR(__xludf.DUMMYFUNCTION("GOOGLETRANSLATE(B8076,""en"",""hy"")"),"Հունական պատերազմի աստվածը Արեսն է:")</f>
        <v>Հունական պատերազմի աստվածը Արեսն է:</v>
      </c>
    </row>
    <row r="8077">
      <c r="A8077" s="5" t="s">
        <v>8372</v>
      </c>
      <c r="B8077" s="5" t="s">
        <v>9724</v>
      </c>
      <c r="C8077" s="5" t="str">
        <f>IFERROR(__xludf.DUMMYFUNCTION("GOOGLETRANSLATE(A8077,""en"",""hy"")"),"Ո՞րն է Ճապոնիայի ազգային կենդանին:")</f>
        <v>Ո՞րն է Ճապոնիայի ազգային կենդանին:</v>
      </c>
      <c r="D8077" s="6" t="str">
        <f>IFERROR(__xludf.DUMMYFUNCTION("GOOGLETRANSLATE(B8077,""en"",""hy"")"),"Ճապոնիայի ազգային կենդանին կանաչ փասիանն է։")</f>
        <v>Ճապոնիայի ազգային կենդանին կանաչ փասիանն է։</v>
      </c>
    </row>
    <row r="8078">
      <c r="A8078" s="5" t="s">
        <v>8659</v>
      </c>
      <c r="B8078" s="5" t="s">
        <v>8660</v>
      </c>
      <c r="C8078" s="5" t="str">
        <f>IFERROR(__xludf.DUMMYFUNCTION("GOOGLETRANSLATE(A8078,""en"",""hy"")"),"Ո՞ր երկիրն է հայտնի Սերենգետի ազգային պարկով:")</f>
        <v>Ո՞ր երկիրն է հայտնի Սերենգետի ազգային պարկով:</v>
      </c>
      <c r="D8078" s="6" t="str">
        <f>IFERROR(__xludf.DUMMYFUNCTION("GOOGLETRANSLATE(B8078,""en"",""hy"")"),"Տանզանիա.")</f>
        <v>Տանզանիա.</v>
      </c>
    </row>
    <row r="8079">
      <c r="A8079" s="5" t="s">
        <v>8264</v>
      </c>
      <c r="B8079" s="5" t="s">
        <v>7621</v>
      </c>
      <c r="C8079" s="5" t="str">
        <f>IFERROR(__xludf.DUMMYFUNCTION("GOOGLETRANSLATE(A8079,""en"",""hy"")"),"Ո՞վ է նկարել հայտնի «Վեներայի ծնունդը» ստեղծագործությունը:")</f>
        <v>Ո՞վ է նկարել հայտնի «Վեներայի ծնունդը» ստեղծագործությունը:</v>
      </c>
      <c r="D8079" s="6" t="str">
        <f>IFERROR(__xludf.DUMMYFUNCTION("GOOGLETRANSLATE(B8079,""en"",""hy"")"),"Սանդրո Բոտիչելի.")</f>
        <v>Սանդրո Բոտիչելի.</v>
      </c>
    </row>
    <row r="8080">
      <c r="A8080" s="5" t="s">
        <v>7706</v>
      </c>
      <c r="B8080" s="5" t="s">
        <v>8148</v>
      </c>
      <c r="C8080" s="5" t="str">
        <f>IFERROR(__xludf.DUMMYFUNCTION("GOOGLETRANSLATE(A8080,""en"",""hy"")"),"Ո՞րն է Միացյալ Թագավորության արժույթը:")</f>
        <v>Ո՞րն է Միացյալ Թագավորության արժույթը:</v>
      </c>
      <c r="D8080" s="6" t="str">
        <f>IFERROR(__xludf.DUMMYFUNCTION("GOOGLETRANSLATE(B8080,""en"",""hy"")"),"Միացյալ Թագավորության արժույթը բրիտանական ֆունտն է (GBP):")</f>
        <v>Միացյալ Թագավորության արժույթը բրիտանական ֆունտն է (GBP):</v>
      </c>
    </row>
    <row r="8081">
      <c r="A8081" s="5" t="s">
        <v>7504</v>
      </c>
      <c r="B8081" s="5" t="s">
        <v>8097</v>
      </c>
      <c r="C8081" s="5" t="str">
        <f>IFERROR(__xludf.DUMMYFUNCTION("GOOGLETRANSLATE(A8081,""en"",""hy"")"),"Ո՞վ է Միացյալ Նահանգների ներկայիս նախագահը:")</f>
        <v>Ո՞վ է Միացյալ Նահանգների ներկայիս նախագահը:</v>
      </c>
      <c r="D8081" s="6" t="str">
        <f>IFERROR(__xludf.DUMMYFUNCTION("GOOGLETRANSLATE(B8081,""en"",""hy"")"),"Ջո Բայդեն")</f>
        <v>Ջո Բայդեն</v>
      </c>
    </row>
    <row r="8082">
      <c r="A8082" s="5" t="s">
        <v>7450</v>
      </c>
      <c r="B8082" s="5" t="s">
        <v>7451</v>
      </c>
      <c r="C8082" s="5" t="str">
        <f>IFERROR(__xludf.DUMMYFUNCTION("GOOGLETRANSLATE(A8082,""en"",""hy"")"),"Ո՞րն է Ավստրալիայի մայրաքաղաքը:")</f>
        <v>Ո՞րն է Ավստրալիայի մայրաքաղաքը:</v>
      </c>
      <c r="D8082" s="6" t="str">
        <f>IFERROR(__xludf.DUMMYFUNCTION("GOOGLETRANSLATE(B8082,""en"",""hy"")"),"Կանբերա.")</f>
        <v>Կանբերա.</v>
      </c>
    </row>
    <row r="8083">
      <c r="A8083" s="5" t="s">
        <v>7447</v>
      </c>
      <c r="B8083" s="5" t="s">
        <v>7448</v>
      </c>
      <c r="C8083" s="5" t="str">
        <f>IFERROR(__xludf.DUMMYFUNCTION("GOOGLETRANSLATE(A8083,""en"",""hy"")"),"Ո՞վ է նկարել Մոնա Լիզան:")</f>
        <v>Ո՞վ է նկարել Մոնա Լիզան:</v>
      </c>
      <c r="D8083" s="6" t="str">
        <f>IFERROR(__xludf.DUMMYFUNCTION("GOOGLETRANSLATE(B8083,""en"",""hy"")"),"Լեոնարդո դա Վինչի.")</f>
        <v>Լեոնարդո դա Վինչի.</v>
      </c>
    </row>
    <row r="8084">
      <c r="A8084" s="5" t="s">
        <v>8181</v>
      </c>
      <c r="B8084" s="5" t="s">
        <v>8100</v>
      </c>
      <c r="C8084" s="5" t="str">
        <f>IFERROR(__xludf.DUMMYFUNCTION("GOOGLETRANSLATE(A8084,""en"",""hy"")"),"Քանի՞ մոլորակ կա մեր արեգակնային համակարգում:")</f>
        <v>Քանի՞ մոլորակ կա մեր արեգակնային համակարգում:</v>
      </c>
      <c r="D8084" s="6" t="str">
        <f>IFERROR(__xludf.DUMMYFUNCTION("GOOGLETRANSLATE(B8084,""en"",""hy"")"),"Մեր Արեգակնային համակարգում կա ութ մոլորակ:")</f>
        <v>Մեր Արեգակնային համակարգում կա ութ մոլորակ:</v>
      </c>
    </row>
    <row r="8085">
      <c r="A8085" s="5" t="s">
        <v>7497</v>
      </c>
      <c r="B8085" s="5" t="s">
        <v>8600</v>
      </c>
      <c r="C8085" s="5" t="str">
        <f>IFERROR(__xludf.DUMMYFUNCTION("GOOGLETRANSLATE(A8085,""en"",""hy"")"),"Ո՞րն է աշխարհի ամենամեծ մայրցամաքը:")</f>
        <v>Ո՞րն է աշխարհի ամենամեծ մայրցամաքը:</v>
      </c>
      <c r="D8085" s="6" t="str">
        <f>IFERROR(__xludf.DUMMYFUNCTION("GOOGLETRANSLATE(B8085,""en"",""hy"")"),"Ասիա")</f>
        <v>Ասիա</v>
      </c>
    </row>
    <row r="8086">
      <c r="A8086" s="5" t="s">
        <v>7463</v>
      </c>
      <c r="B8086" s="5" t="s">
        <v>7464</v>
      </c>
      <c r="C8086" s="5" t="str">
        <f>IFERROR(__xludf.DUMMYFUNCTION("GOOGLETRANSLATE(A8086,""en"",""hy"")"),"Ո՞րն է աշխարհի ամենաբարձր լեռը:")</f>
        <v>Ո՞րն է աշխարհի ամենաբարձր լեռը:</v>
      </c>
      <c r="D8086" s="6" t="str">
        <f>IFERROR(__xludf.DUMMYFUNCTION("GOOGLETRANSLATE(B8086,""en"",""hy"")"),"Էվերեստ լեռ.")</f>
        <v>Էվերեստ լեռ.</v>
      </c>
    </row>
    <row r="8087">
      <c r="A8087" s="5" t="s">
        <v>7849</v>
      </c>
      <c r="B8087" s="5" t="s">
        <v>7541</v>
      </c>
      <c r="C8087" s="5" t="str">
        <f>IFERROR(__xludf.DUMMYFUNCTION("GOOGLETRANSLATE(A8087,""en"",""hy"")"),"Ո՞վ է գրել «Սպանել ծաղրող թռչունին» վեպը:")</f>
        <v>Ո՞վ է գրել «Սպանել ծաղրող թռչունին» վեպը:</v>
      </c>
      <c r="D8087" s="6" t="str">
        <f>IFERROR(__xludf.DUMMYFUNCTION("GOOGLETRANSLATE(B8087,""en"",""hy"")"),"Հարփեր Լի.")</f>
        <v>Հարփեր Լի.</v>
      </c>
    </row>
    <row r="8088">
      <c r="A8088" s="5" t="s">
        <v>8011</v>
      </c>
      <c r="B8088" s="7">
        <v>1945.0</v>
      </c>
      <c r="C8088" s="5" t="str">
        <f>IFERROR(__xludf.DUMMYFUNCTION("GOOGLETRANSLATE(A8088,""en"",""hy"")"),"Ո՞ր թվականին ավարտվեց Երկրորդ համաշխարհային պատերազմը:")</f>
        <v>Ո՞ր թվականին ավարտվեց Երկրորդ համաշխարհային պատերազմը:</v>
      </c>
      <c r="D8088" s="6" t="str">
        <f>IFERROR(__xludf.DUMMYFUNCTION("GOOGLETRANSLATE(B8088,""en"",""hy"")"),"1945 թ")</f>
        <v>1945 թ</v>
      </c>
    </row>
    <row r="8089">
      <c r="A8089" s="5" t="s">
        <v>7452</v>
      </c>
      <c r="B8089" s="5" t="s">
        <v>7453</v>
      </c>
      <c r="C8089" s="5" t="str">
        <f>IFERROR(__xludf.DUMMYFUNCTION("GOOGLETRANSLATE(A8089,""en"",""hy"")"),"Ո՞րն է ոսկու քիմիական նշանը:")</f>
        <v>Ո՞րն է ոսկու քիմիական նշանը:</v>
      </c>
      <c r="D8089" s="6" t="str">
        <f>IFERROR(__xludf.DUMMYFUNCTION("GOOGLETRANSLATE(B8089,""en"",""hy"")"),"Ոսկու քիմիական նշանը Au-ն է:")</f>
        <v>Ոսկու քիմիական նշանը Au-ն է:</v>
      </c>
    </row>
    <row r="8090">
      <c r="A8090" s="5" t="s">
        <v>7477</v>
      </c>
      <c r="B8090" s="5" t="s">
        <v>7784</v>
      </c>
      <c r="C8090" s="5" t="str">
        <f>IFERROR(__xludf.DUMMYFUNCTION("GOOGLETRANSLATE(A8090,""en"",""hy"")"),"Ո՞ր երկիրն է հայտնի որպես «Ծագող արևի երկիր»:")</f>
        <v>Ո՞ր երկիրն է հայտնի որպես «Ծագող արևի երկիր»:</v>
      </c>
      <c r="D8090" s="6" t="str">
        <f>IFERROR(__xludf.DUMMYFUNCTION("GOOGLETRANSLATE(B8090,""en"",""hy"")"),"Ճապոնիա")</f>
        <v>Ճապոնիա</v>
      </c>
    </row>
    <row r="8091">
      <c r="A8091" s="5" t="s">
        <v>7485</v>
      </c>
      <c r="B8091" s="5" t="s">
        <v>8110</v>
      </c>
      <c r="C8091" s="5" t="str">
        <f>IFERROR(__xludf.DUMMYFUNCTION("GOOGLETRANSLATE(A8091,""en"",""hy"")"),"Ո՞վ է Հարի Փոթերի շարքի հեղինակը:")</f>
        <v>Ո՞վ է Հարի Փոթերի շարքի հեղինակը:</v>
      </c>
      <c r="D8091" s="6" t="str">
        <f>IFERROR(__xludf.DUMMYFUNCTION("GOOGLETRANSLATE(B8091,""en"",""hy"")"),"Ջ.Կ. Ռոուլինգ")</f>
        <v>Ջ.Կ. Ռոուլինգ</v>
      </c>
    </row>
    <row r="8092">
      <c r="A8092" s="5" t="s">
        <v>7915</v>
      </c>
      <c r="B8092" s="5" t="s">
        <v>7916</v>
      </c>
      <c r="C8092" s="5" t="str">
        <f>IFERROR(__xludf.DUMMYFUNCTION("GOOGLETRANSLATE(A8092,""en"",""hy"")"),"Քանի՞ ոսկոր կա մարդու մարմնում:")</f>
        <v>Քանի՞ ոսկոր կա մարդու մարմնում:</v>
      </c>
      <c r="D8092" s="6" t="str">
        <f>IFERROR(__xludf.DUMMYFUNCTION("GOOGLETRANSLATE(B8092,""en"",""hy"")"),"Մարդու մարմնում կա 206 ոսկոր։")</f>
        <v>Մարդու մարմնում կա 206 ոսկոր։</v>
      </c>
    </row>
    <row r="8093">
      <c r="A8093" s="5" t="s">
        <v>7773</v>
      </c>
      <c r="B8093" s="5" t="s">
        <v>8253</v>
      </c>
      <c r="C8093" s="5" t="str">
        <f>IFERROR(__xludf.DUMMYFUNCTION("GOOGLETRANSLATE(A8093,""en"",""hy"")"),"Ո՞վ է հայտնաբերել պենիցիլինը:")</f>
        <v>Ո՞վ է հայտնաբերել պենիցիլինը:</v>
      </c>
      <c r="D8093" s="6" t="str">
        <f>IFERROR(__xludf.DUMMYFUNCTION("GOOGLETRANSLATE(B8093,""en"",""hy"")"),"Ալեքսանդր Ֆլեմինգ.")</f>
        <v>Ալեքսանդր Ֆլեմինգ.</v>
      </c>
    </row>
    <row r="8094">
      <c r="A8094" s="5" t="s">
        <v>9725</v>
      </c>
      <c r="B8094" s="5" t="s">
        <v>9726</v>
      </c>
      <c r="C8094" s="5" t="str">
        <f>IFERROR(__xludf.DUMMYFUNCTION("GOOGLETRANSLATE(A8094,""en"",""hy"")"),"Ո՞ր քաղաքն է հայտնի որպես աշխարհի նորաձևության մայրաքաղաք:")</f>
        <v>Ո՞ր քաղաքն է հայտնի որպես աշխարհի նորաձևության մայրաքաղաք:</v>
      </c>
      <c r="D8094" s="6" t="str">
        <f>IFERROR(__xludf.DUMMYFUNCTION("GOOGLETRANSLATE(B8094,""en"",""hy"")"),"Միլան.")</f>
        <v>Միլան.</v>
      </c>
    </row>
    <row r="8095">
      <c r="A8095" s="5" t="s">
        <v>7480</v>
      </c>
      <c r="B8095" s="5" t="s">
        <v>7481</v>
      </c>
      <c r="C8095" s="5" t="str">
        <f>IFERROR(__xludf.DUMMYFUNCTION("GOOGLETRANSLATE(A8095,""en"",""hy"")"),"Ո՞րն է Միացյալ Նահանգների ազգային թռչունը:")</f>
        <v>Ո՞րն է Միացյալ Նահանգների ազգային թռչունը:</v>
      </c>
      <c r="D8095" s="6" t="str">
        <f>IFERROR(__xludf.DUMMYFUNCTION("GOOGLETRANSLATE(B8095,""en"",""hy"")"),"Միացյալ Նահանգների ազգային թռչունը ճաղատ արծիվն է։")</f>
        <v>Միացյալ Նահանգների ազգային թռչունը ճաղատ արծիվն է։</v>
      </c>
    </row>
    <row r="8096">
      <c r="A8096" s="5" t="s">
        <v>7491</v>
      </c>
      <c r="B8096" s="5" t="s">
        <v>7492</v>
      </c>
      <c r="C8096" s="5" t="str">
        <f>IFERROR(__xludf.DUMMYFUNCTION("GOOGLETRANSLATE(A8096,""en"",""hy"")"),"Ո՞վ է նկարել Աստղային գիշերը:")</f>
        <v>Ո՞վ է նկարել Աստղային գիշերը:</v>
      </c>
      <c r="D8096" s="6" t="str">
        <f>IFERROR(__xludf.DUMMYFUNCTION("GOOGLETRANSLATE(B8096,""en"",""hy"")"),"Վինսենթ վան Գոգ")</f>
        <v>Վինսենթ վան Գոգ</v>
      </c>
    </row>
    <row r="8097">
      <c r="A8097" s="5" t="s">
        <v>7455</v>
      </c>
      <c r="B8097" s="5" t="s">
        <v>7646</v>
      </c>
      <c r="C8097" s="5" t="str">
        <f>IFERROR(__xludf.DUMMYFUNCTION("GOOGLETRANSLATE(A8097,""en"",""hy"")"),"Ո՞րն է աշխարհի ամենամեծ օվկիանոսը:")</f>
        <v>Ո՞րն է աշխարհի ամենամեծ օվկիանոսը:</v>
      </c>
      <c r="D8097" s="6" t="str">
        <f>IFERROR(__xludf.DUMMYFUNCTION("GOOGLETRANSLATE(B8097,""en"",""hy"")"),"Խաղաղ օվկիանոս.")</f>
        <v>Խաղաղ օվկիանոս.</v>
      </c>
    </row>
    <row r="8098">
      <c r="A8098" s="5" t="s">
        <v>9727</v>
      </c>
      <c r="B8098" s="5" t="s">
        <v>7921</v>
      </c>
      <c r="C8098" s="5" t="str">
        <f>IFERROR(__xludf.DUMMYFUNCTION("GOOGLETRANSLATE(A8098,""en"",""hy"")"),"Ո՞ր երկրում է գտնվում Թաջ Մահալը:")</f>
        <v>Ո՞ր երկրում է գտնվում Թաջ Մահալը:</v>
      </c>
      <c r="D8098" s="6" t="str">
        <f>IFERROR(__xludf.DUMMYFUNCTION("GOOGLETRANSLATE(B8098,""en"",""hy"")"),"Հնդկաստան.")</f>
        <v>Հնդկաստան.</v>
      </c>
    </row>
    <row r="8099">
      <c r="A8099" s="5" t="s">
        <v>7553</v>
      </c>
      <c r="B8099" s="5" t="s">
        <v>7554</v>
      </c>
      <c r="C8099" s="5" t="str">
        <f>IFERROR(__xludf.DUMMYFUNCTION("GOOGLETRANSLATE(A8099,""en"",""hy"")"),"Ո՞րն է Հարավային Աֆրիկայի մայրաքաղաքը:")</f>
        <v>Ո՞րն է Հարավային Աֆրիկայի մայրաքաղաքը:</v>
      </c>
      <c r="D8099" s="6" t="str">
        <f>IFERROR(__xludf.DUMMYFUNCTION("GOOGLETRANSLATE(B8099,""en"",""hy"")"),"Պրետորիա.")</f>
        <v>Պրետորիա.</v>
      </c>
    </row>
    <row r="8100">
      <c r="A8100" s="5" t="s">
        <v>7566</v>
      </c>
      <c r="B8100" s="5" t="s">
        <v>7567</v>
      </c>
      <c r="C8100" s="5" t="str">
        <f>IFERROR(__xludf.DUMMYFUNCTION("GOOGLETRANSLATE(A8100,""en"",""hy"")"),"Ո՞վ է Կանադայի ներկայիս վարչապետը:")</f>
        <v>Ո՞վ է Կանադայի ներկայիս վարչապետը:</v>
      </c>
      <c r="D8100" s="6" t="str">
        <f>IFERROR(__xludf.DUMMYFUNCTION("GOOGLETRANSLATE(B8100,""en"",""hy"")"),"Ջասթին Թրյուդո")</f>
        <v>Ջասթին Թրյուդո</v>
      </c>
    </row>
    <row r="8101">
      <c r="A8101" s="5" t="s">
        <v>9728</v>
      </c>
      <c r="B8101" s="5" t="s">
        <v>9729</v>
      </c>
      <c r="C8101" s="5" t="str">
        <f>IFERROR(__xludf.DUMMYFUNCTION("GOOGLETRANSLATE(A8101,""en"",""hy"")"),"Ո՞րն է ջրի բանաձևը:")</f>
        <v>Ո՞րն է ջրի բանաձևը:</v>
      </c>
      <c r="D8101" s="6" t="str">
        <f>IFERROR(__xludf.DUMMYFUNCTION("GOOGLETRANSLATE(B8101,""en"",""hy"")"),"Ջրի բանաձեւը H2O է:")</f>
        <v>Ջրի բանաձեւը H2O է:</v>
      </c>
    </row>
    <row r="8102">
      <c r="A8102" s="5" t="s">
        <v>8012</v>
      </c>
      <c r="B8102" s="5" t="s">
        <v>8590</v>
      </c>
      <c r="C8102" s="5" t="str">
        <f>IFERROR(__xludf.DUMMYFUNCTION("GOOGLETRANSLATE(A8102,""en"",""hy"")"),"Ո՞ր մոլորակն է հայտնի որպես Կարմիր մոլորակ:")</f>
        <v>Ո՞ր մոլորակն է հայտնի որպես Կարմիր մոլորակ:</v>
      </c>
      <c r="D8102" s="6" t="str">
        <f>IFERROR(__xludf.DUMMYFUNCTION("GOOGLETRANSLATE(B8102,""en"",""hy"")"),"Մարս")</f>
        <v>Մարս</v>
      </c>
    </row>
    <row r="8103">
      <c r="A8103" s="5" t="s">
        <v>8027</v>
      </c>
      <c r="B8103" s="5" t="s">
        <v>2143</v>
      </c>
      <c r="C8103" s="5" t="str">
        <f>IFERROR(__xludf.DUMMYFUNCTION("GOOGLETRANSLATE(A8103,""en"",""hy"")"),"Ո՞վ է Facebook-ի հիմնադիրը.")</f>
        <v>Ո՞վ է Facebook-ի հիմնադիրը.</v>
      </c>
      <c r="D8103" s="6" t="str">
        <f>IFERROR(__xludf.DUMMYFUNCTION("GOOGLETRANSLATE(B8103,""en"",""hy"")"),"Մարկ Ցուկերբերգը.")</f>
        <v>Մարկ Ցուկերբերգը.</v>
      </c>
    </row>
    <row r="8104">
      <c r="A8104" s="5" t="s">
        <v>7946</v>
      </c>
      <c r="B8104" s="5" t="s">
        <v>8111</v>
      </c>
      <c r="C8104" s="5" t="str">
        <f>IFERROR(__xludf.DUMMYFUNCTION("GOOGLETRANSLATE(A8104,""en"",""hy"")"),"Քանի՞ խաղացող կա ֆուտբոլային թիմում:")</f>
        <v>Քանի՞ խաղացող կա ֆուտբոլային թիմում:</v>
      </c>
      <c r="D8104" s="6" t="str">
        <f>IFERROR(__xludf.DUMMYFUNCTION("GOOGLETRANSLATE(B8104,""en"",""hy"")"),"Ֆուտբոլային թիմում կա 11 խաղացող։")</f>
        <v>Ֆուտբոլային թիմում կա 11 խաղացող։</v>
      </c>
    </row>
    <row r="8105">
      <c r="A8105" s="5" t="s">
        <v>8161</v>
      </c>
      <c r="B8105" s="5" t="s">
        <v>8162</v>
      </c>
      <c r="C8105" s="5" t="str">
        <f>IFERROR(__xludf.DUMMYFUNCTION("GOOGLETRANSLATE(A8105,""en"",""hy"")"),"Ո՞րն է Ճապոնիայի ազգային ծաղիկը:")</f>
        <v>Ո՞րն է Ճապոնիայի ազգային ծաղիկը:</v>
      </c>
      <c r="D8105" s="6" t="str">
        <f>IFERROR(__xludf.DUMMYFUNCTION("GOOGLETRANSLATE(B8105,""en"",""hy"")"),"Ճապոնիայի ազգային ծաղիկը բալի ծաղիկն է:")</f>
        <v>Ճապոնիայի ազգային ծաղիկը բալի ծաղիկն է:</v>
      </c>
    </row>
    <row r="8106">
      <c r="A8106" s="5" t="s">
        <v>7454</v>
      </c>
      <c r="B8106" s="5" t="s">
        <v>1016</v>
      </c>
      <c r="C8106" s="5" t="str">
        <f>IFERROR(__xludf.DUMMYFUNCTION("GOOGLETRANSLATE(A8106,""en"",""hy"")"),"Ո՞վ է գրել Ռոմեո և Ջուլիետ պիեսը:")</f>
        <v>Ո՞վ է գրել Ռոմեո և Ջուլիետ պիեսը:</v>
      </c>
      <c r="D8106" s="6" t="str">
        <f>IFERROR(__xludf.DUMMYFUNCTION("GOOGLETRANSLATE(B8106,""en"",""hy"")"),"Ուիլյամ Շեքսպիր.")</f>
        <v>Ուիլյամ Շեքսպիր.</v>
      </c>
    </row>
    <row r="8107">
      <c r="A8107" s="5" t="s">
        <v>7489</v>
      </c>
      <c r="B8107" s="5" t="s">
        <v>7708</v>
      </c>
      <c r="C8107" s="5" t="str">
        <f>IFERROR(__xludf.DUMMYFUNCTION("GOOGLETRANSLATE(A8107,""en"",""hy"")"),"Ո՞րն է աշխարհի ամենաբարձր շենքը:")</f>
        <v>Ո՞րն է աշխարհի ամենաբարձր շենքը:</v>
      </c>
      <c r="D8107" s="6" t="str">
        <f>IFERROR(__xludf.DUMMYFUNCTION("GOOGLETRANSLATE(B8107,""en"",""hy"")"),"Բուրջ Խալիֆա.")</f>
        <v>Բուրջ Խալիֆա.</v>
      </c>
    </row>
    <row r="8108">
      <c r="A8108" s="5" t="s">
        <v>8247</v>
      </c>
      <c r="B8108" s="5" t="s">
        <v>3535</v>
      </c>
      <c r="C8108" s="5" t="str">
        <f>IFERROR(__xludf.DUMMYFUNCTION("GOOGLETRANSLATE(A8108,""en"",""hy"")"),"Ո՞ր երկրում է գտնվում Մեծ արգելախութը:")</f>
        <v>Ո՞ր երկրում է գտնվում Մեծ արգելախութը:</v>
      </c>
      <c r="D8108" s="6" t="str">
        <f>IFERROR(__xludf.DUMMYFUNCTION("GOOGLETRANSLATE(B8108,""en"",""hy"")"),"Ավստրալիա.")</f>
        <v>Ավստրալիա.</v>
      </c>
    </row>
    <row r="8109">
      <c r="A8109" s="5" t="s">
        <v>8105</v>
      </c>
      <c r="B8109" s="5" t="s">
        <v>7635</v>
      </c>
      <c r="C8109" s="5" t="str">
        <f>IFERROR(__xludf.DUMMYFUNCTION("GOOGLETRANSLATE(A8109,""en"",""hy"")"),"Ո՞վ էր առաջին մարդը, ով քայլեց լուսնի վրա:")</f>
        <v>Ո՞վ էր առաջին մարդը, ով քայլեց լուսնի վրա:</v>
      </c>
      <c r="D8109" s="6" t="str">
        <f>IFERROR(__xludf.DUMMYFUNCTION("GOOGLETRANSLATE(B8109,""en"",""hy"")"),"Նիլ Արմսթրոնգ.")</f>
        <v>Նիլ Արմսթրոնգ.</v>
      </c>
    </row>
    <row r="8110">
      <c r="A8110" s="5" t="s">
        <v>8151</v>
      </c>
      <c r="B8110" s="5" t="s">
        <v>8251</v>
      </c>
      <c r="C8110" s="5" t="str">
        <f>IFERROR(__xludf.DUMMYFUNCTION("GOOGLETRANSLATE(A8110,""en"",""hy"")"),"Ո՞րն է Հնդկաստանի ազգային կենդանին:")</f>
        <v>Ո՞րն է Հնդկաստանի ազգային կենդանին:</v>
      </c>
      <c r="D8110" s="6" t="str">
        <f>IFERROR(__xludf.DUMMYFUNCTION("GOOGLETRANSLATE(B8110,""en"",""hy"")"),"Հնդկաստանի ազգային կենդանին բենգալյան վագրն է։")</f>
        <v>Հնդկաստանի ազգային կենդանին բենգալյան վագրն է։</v>
      </c>
    </row>
    <row r="8111">
      <c r="A8111" s="5" t="s">
        <v>7592</v>
      </c>
      <c r="B8111" s="5" t="s">
        <v>8257</v>
      </c>
      <c r="C8111" s="5" t="str">
        <f>IFERROR(__xludf.DUMMYFUNCTION("GOOGLETRANSLATE(A8111,""en"",""hy"")"),"Ո՞րն է թթվածնի քիմիական նշանը:")</f>
        <v>Ո՞րն է թթվածնի քիմիական նշանը:</v>
      </c>
      <c r="D8111" s="6" t="str">
        <f>IFERROR(__xludf.DUMMYFUNCTION("GOOGLETRANSLATE(B8111,""en"",""hy"")"),"Օ")</f>
        <v>Օ</v>
      </c>
    </row>
    <row r="8112">
      <c r="A8112" s="5" t="s">
        <v>9730</v>
      </c>
      <c r="B8112" s="5" t="s">
        <v>7474</v>
      </c>
      <c r="C8112" s="5" t="str">
        <f>IFERROR(__xludf.DUMMYFUNCTION("GOOGLETRANSLATE(A8112,""en"",""hy"")"),"Ո՞ր նկարիչն է նկարել Սիքստինյան կապելլայի առաստաղը:")</f>
        <v>Ո՞ր նկարիչն է նկարել Սիքստինյան կապելլայի առաստաղը:</v>
      </c>
      <c r="D8112" s="6" t="str">
        <f>IFERROR(__xludf.DUMMYFUNCTION("GOOGLETRANSLATE(B8112,""en"",""hy"")"),"Միքելանջելո.")</f>
        <v>Միքելանջելո.</v>
      </c>
    </row>
    <row r="8113">
      <c r="A8113" s="5" t="s">
        <v>7502</v>
      </c>
      <c r="B8113" s="5" t="s">
        <v>7503</v>
      </c>
      <c r="C8113" s="5" t="str">
        <f>IFERROR(__xludf.DUMMYFUNCTION("GOOGLETRANSLATE(A8113,""en"",""hy"")"),"Քանի՞ կողմ ունի վեցանկյունը:")</f>
        <v>Քանի՞ կողմ ունի վեցանկյունը:</v>
      </c>
      <c r="D8113" s="6" t="str">
        <f>IFERROR(__xludf.DUMMYFUNCTION("GOOGLETRANSLATE(B8113,""en"",""hy"")"),"Վեցանկյունն ունի վեց կողմ:")</f>
        <v>Վեցանկյունն ունի վեց կողմ:</v>
      </c>
    </row>
    <row r="8114">
      <c r="A8114" s="5" t="s">
        <v>7528</v>
      </c>
      <c r="B8114" s="5" t="s">
        <v>7529</v>
      </c>
      <c r="C8114" s="5" t="str">
        <f>IFERROR(__xludf.DUMMYFUNCTION("GOOGLETRANSLATE(A8114,""en"",""hy"")"),"Ո՞վ է Գերմանիայի ներկայիս կանցլերը:")</f>
        <v>Ո՞վ է Գերմանիայի ներկայիս կանցլերը:</v>
      </c>
      <c r="D8114" s="6" t="str">
        <f>IFERROR(__xludf.DUMMYFUNCTION("GOOGLETRANSLATE(B8114,""en"",""hy"")"),"Անգելա Մերկել.")</f>
        <v>Անգելա Մերկել.</v>
      </c>
    </row>
    <row r="8115">
      <c r="A8115" s="5" t="s">
        <v>7513</v>
      </c>
      <c r="B8115" s="5" t="s">
        <v>8337</v>
      </c>
      <c r="C8115" s="5" t="str">
        <f>IFERROR(__xludf.DUMMYFUNCTION("GOOGLETRANSLATE(A8115,""en"",""hy"")"),"Ո՞րն է աշխարհի ամենամեծ անապատը:")</f>
        <v>Ո՞րն է աշխարհի ամենամեծ անապատը:</v>
      </c>
      <c r="D8115" s="6" t="str">
        <f>IFERROR(__xludf.DUMMYFUNCTION("GOOGLETRANSLATE(B8115,""en"",""hy"")"),"Աշխարհի ամենամեծ անապատը Անտարկտիդայի անապատն է։")</f>
        <v>Աշխարհի ամենամեծ անապատը Անտարկտիդայի անապատն է։</v>
      </c>
    </row>
    <row r="8116">
      <c r="A8116" s="5" t="s">
        <v>8454</v>
      </c>
      <c r="B8116" s="7">
        <v>1776.0</v>
      </c>
      <c r="C8116" s="5" t="str">
        <f>IFERROR(__xludf.DUMMYFUNCTION("GOOGLETRANSLATE(A8116,""en"",""hy"")"),"Ո՞ր թվականին է Միացյալ Նահանգները հռչակել անկախությունը Մեծ Բրիտանիայից.")</f>
        <v>Ո՞ր թվականին է Միացյալ Նահանգները հռչակել անկախությունը Մեծ Բրիտանիայից.</v>
      </c>
      <c r="D8116" s="6" t="str">
        <f>IFERROR(__xludf.DUMMYFUNCTION("GOOGLETRANSLATE(B8116,""en"",""hy"")"),"1776 թ")</f>
        <v>1776 թ</v>
      </c>
    </row>
    <row r="8117">
      <c r="A8117" s="5" t="s">
        <v>8320</v>
      </c>
      <c r="B8117" s="5" t="s">
        <v>8273</v>
      </c>
      <c r="C8117" s="5" t="str">
        <f>IFERROR(__xludf.DUMMYFUNCTION("GOOGLETRANSLATE(A8117,""en"",""hy"")"),"Ո՞վ է «Աշորայի մեջ բռնողը» գրքի հեղինակը.")</f>
        <v>Ո՞վ է «Աշորայի մեջ բռնողը» գրքի հեղինակը.</v>
      </c>
      <c r="D8117" s="6" t="str">
        <f>IFERROR(__xludf.DUMMYFUNCTION("GOOGLETRANSLATE(B8117,""en"",""hy"")"),"Ջ.Դ.Սելինջեր")</f>
        <v>Ջ.Դ.Սելինջեր</v>
      </c>
    </row>
    <row r="8118">
      <c r="A8118" s="5" t="s">
        <v>8031</v>
      </c>
      <c r="B8118" s="5" t="s">
        <v>8268</v>
      </c>
      <c r="C8118" s="5" t="str">
        <f>IFERROR(__xludf.DUMMYFUNCTION("GOOGLETRANSLATE(A8118,""en"",""hy"")"),"Ո՞րն է աշխարհի ամենամեծ թռչունը:")</f>
        <v>Ո՞րն է աշխարհի ամենամեծ թռչունը:</v>
      </c>
      <c r="D8118" s="6" t="str">
        <f>IFERROR(__xludf.DUMMYFUNCTION("GOOGLETRANSLATE(B8118,""en"",""hy"")"),"Աշխարհի ամենամեծ թռչունը ջայլամն է։")</f>
        <v>Աշխարհի ամենամեծ թռչունը ջայլամն է։</v>
      </c>
    </row>
    <row r="8119">
      <c r="A8119" s="5" t="s">
        <v>8055</v>
      </c>
      <c r="B8119" s="5" t="s">
        <v>8056</v>
      </c>
      <c r="C8119" s="5" t="str">
        <f>IFERROR(__xludf.DUMMYFUNCTION("GOOGLETRANSLATE(A8119,""en"",""hy"")"),"Ո՞րն է Ճապոնիայի ազգային սպորտը:")</f>
        <v>Ո՞րն է Ճապոնիայի ազգային սպորտը:</v>
      </c>
      <c r="D8119" s="6" t="str">
        <f>IFERROR(__xludf.DUMMYFUNCTION("GOOGLETRANSLATE(B8119,""en"",""hy"")"),"Սումո ըմբշամարտ.")</f>
        <v>Սումո ըմբշամարտ.</v>
      </c>
    </row>
    <row r="8120">
      <c r="A8120" s="5" t="s">
        <v>7939</v>
      </c>
      <c r="B8120" s="5" t="s">
        <v>7940</v>
      </c>
      <c r="C8120" s="5" t="str">
        <f>IFERROR(__xludf.DUMMYFUNCTION("GOOGLETRANSLATE(A8120,""en"",""hy"")"),"Քանի՞ մայրցամաք կա աշխարհում:")</f>
        <v>Քանի՞ մայրցամաք կա աշխարհում:</v>
      </c>
      <c r="D8120" s="6" t="str">
        <f>IFERROR(__xludf.DUMMYFUNCTION("GOOGLETRANSLATE(B8120,""en"",""hy"")"),"Աշխարհում կան յոթ մայրցամաքներ։")</f>
        <v>Աշխարհում կան յոթ մայրցամաքներ։</v>
      </c>
    </row>
    <row r="8121">
      <c r="A8121" s="5" t="s">
        <v>8843</v>
      </c>
      <c r="B8121" s="5" t="s">
        <v>9176</v>
      </c>
      <c r="C8121" s="5" t="str">
        <f>IFERROR(__xludf.DUMMYFUNCTION("GOOGLETRANSLATE(A8121,""en"",""hy"")"),"Ո՞վ է Հնդկաստանի ներկայիս վարչապետը:")</f>
        <v>Ո՞վ է Հնդկաստանի ներկայիս վարչապետը:</v>
      </c>
      <c r="D8121" s="6" t="str">
        <f>IFERROR(__xludf.DUMMYFUNCTION("GOOGLETRANSLATE(B8121,""en"",""hy"")"),"Նարենդրա Մոդի.")</f>
        <v>Նարենդրա Մոդի.</v>
      </c>
    </row>
    <row r="8122">
      <c r="A8122" s="5" t="s">
        <v>7557</v>
      </c>
      <c r="B8122" s="5" t="s">
        <v>7857</v>
      </c>
      <c r="C8122" s="5" t="str">
        <f>IFERROR(__xludf.DUMMYFUNCTION("GOOGLETRANSLATE(A8122,""en"",""hy"")"),"Ո՞րն է երկաթի քիմիական նշանը:")</f>
        <v>Ո՞րն է երկաթի քիմիական նշանը:</v>
      </c>
      <c r="D8122" s="6" t="str">
        <f>IFERROR(__xludf.DUMMYFUNCTION("GOOGLETRANSLATE(B8122,""en"",""hy"")"),"Երկաթի քիմիական նշանը Fe է:")</f>
        <v>Երկաթի քիմիական նշանը Fe է:</v>
      </c>
    </row>
    <row r="8123">
      <c r="A8123" s="5" t="s">
        <v>9731</v>
      </c>
      <c r="B8123" s="5" t="s">
        <v>823</v>
      </c>
      <c r="C8123" s="5" t="str">
        <f>IFERROR(__xludf.DUMMYFUNCTION("GOOGLETRANSLATE(A8123,""en"",""hy"")"),"Ո՞ր երկիրն է աշխարհի ամենաերկար ափամերձ գիծը:")</f>
        <v>Ո՞ր երկիրն է աշխարհի ամենաերկար ափամերձ գիծը:</v>
      </c>
      <c r="D8123" s="6" t="str">
        <f>IFERROR(__xludf.DUMMYFUNCTION("GOOGLETRANSLATE(B8123,""en"",""hy"")"),"Կանադա.")</f>
        <v>Կանադա.</v>
      </c>
    </row>
    <row r="8124">
      <c r="A8124" s="5" t="s">
        <v>9732</v>
      </c>
      <c r="B8124" s="5" t="s">
        <v>7501</v>
      </c>
      <c r="C8124" s="5" t="str">
        <f>IFERROR(__xludf.DUMMYFUNCTION("GOOGLETRANSLATE(A8124,""en"",""hy"")"),"Ո՞ր քաղաքում է գտնվում Էյֆելյան աշտարակը:")</f>
        <v>Ո՞ր քաղաքում է գտնվում Էյֆելյան աշտարակը:</v>
      </c>
      <c r="D8124" s="6" t="str">
        <f>IFERROR(__xludf.DUMMYFUNCTION("GOOGLETRANSLATE(B8124,""en"",""hy"")"),"Փարիզ.")</f>
        <v>Փարիզ.</v>
      </c>
    </row>
    <row r="8125">
      <c r="A8125" s="5" t="s">
        <v>7852</v>
      </c>
      <c r="B8125" s="5" t="s">
        <v>9149</v>
      </c>
      <c r="C8125" s="5" t="str">
        <f>IFERROR(__xludf.DUMMYFUNCTION("GOOGLETRANSLATE(A8125,""en"",""hy"")"),"Ո՞վ է ներկայիս Անգլիայի թագուհին:")</f>
        <v>Ո՞վ է ներկայիս Անգլիայի թագուհին:</v>
      </c>
      <c r="D8125" s="6" t="str">
        <f>IFERROR(__xludf.DUMMYFUNCTION("GOOGLETRANSLATE(B8125,""en"",""hy"")"),"Անգլիայի ներկայիս թագուհին Էլիզաբեթ II թագուհին է։")</f>
        <v>Անգլիայի ներկայիս թագուհին Էլիզաբեթ II թագուհին է։</v>
      </c>
    </row>
    <row r="8126">
      <c r="A8126" s="5" t="s">
        <v>9733</v>
      </c>
      <c r="B8126" s="5" t="s">
        <v>7633</v>
      </c>
      <c r="C8126" s="5" t="str">
        <f>IFERROR(__xludf.DUMMYFUNCTION("GOOGLETRANSLATE(A8126,""en"",""hy"")"),"Ո՞ր մոլորակն է հայտնի որպես «մեր արեգակնային համակարգի հսկա»:")</f>
        <v>Ո՞ր մոլորակն է հայտնի որպես «մեր արեգակնային համակարգի հսկա»:</v>
      </c>
      <c r="D8126" s="6" t="str">
        <f>IFERROR(__xludf.DUMMYFUNCTION("GOOGLETRANSLATE(B8126,""en"",""hy"")"),"Յուպիտեր.")</f>
        <v>Յուպիտեր.</v>
      </c>
    </row>
    <row r="8127">
      <c r="A8127" s="5" t="s">
        <v>7691</v>
      </c>
      <c r="B8127" s="5" t="s">
        <v>7692</v>
      </c>
      <c r="C8127" s="5" t="str">
        <f>IFERROR(__xludf.DUMMYFUNCTION("GOOGLETRANSLATE(A8127,""en"",""hy"")"),"Ո՞րն է Աֆրիկայի ամենամեծ լիճը:")</f>
        <v>Ո՞րն է Աֆրիկայի ամենամեծ լիճը:</v>
      </c>
      <c r="D8127" s="6" t="str">
        <f>IFERROR(__xludf.DUMMYFUNCTION("GOOGLETRANSLATE(B8127,""en"",""hy"")"),"Վիկտորիա լիճ.")</f>
        <v>Վիկտորիա լիճ.</v>
      </c>
    </row>
    <row r="8128">
      <c r="A8128" s="5" t="s">
        <v>7698</v>
      </c>
      <c r="B8128" s="5" t="s">
        <v>7630</v>
      </c>
      <c r="C8128" s="5" t="str">
        <f>IFERROR(__xludf.DUMMYFUNCTION("GOOGLETRANSLATE(A8128,""en"",""hy"")"),"Ո՞վ է գրել «Հպարտություն և նախապաշարմունք» վեպը:")</f>
        <v>Ո՞վ է գրել «Հպարտություն և նախապաշարմունք» վեպը:</v>
      </c>
      <c r="D8128" s="6" t="str">
        <f>IFERROR(__xludf.DUMMYFUNCTION("GOOGLETRANSLATE(B8128,""en"",""hy"")"),"Ջեյն Օսթին.")</f>
        <v>Ջեյն Օսթին.</v>
      </c>
    </row>
    <row r="8129">
      <c r="A8129" s="5" t="s">
        <v>7574</v>
      </c>
      <c r="B8129" s="5" t="s">
        <v>7525</v>
      </c>
      <c r="C8129" s="5" t="str">
        <f>IFERROR(__xludf.DUMMYFUNCTION("GOOGLETRANSLATE(A8129,""en"",""hy"")"),"Ո՞րն է Չինաստանի մայրաքաղաքը:")</f>
        <v>Ո՞րն է Չինաստանի մայրաքաղաքը:</v>
      </c>
      <c r="D8129" s="6" t="str">
        <f>IFERROR(__xludf.DUMMYFUNCTION("GOOGLETRANSLATE(B8129,""en"",""hy"")"),"Պեկին.")</f>
        <v>Պեկին.</v>
      </c>
    </row>
    <row r="8130">
      <c r="A8130" s="5" t="s">
        <v>9734</v>
      </c>
      <c r="B8130" s="5" t="s">
        <v>7956</v>
      </c>
      <c r="C8130" s="5" t="str">
        <f>IFERROR(__xludf.DUMMYFUNCTION("GOOGLETRANSLATE(A8130,""en"",""hy"")"),"Ո՞վ էր առաջին մարդը, ով հայտնաբերեց գրավիտացիան:")</f>
        <v>Ո՞վ էր առաջին մարդը, ով հայտնաբերեց գրավիտացիան:</v>
      </c>
      <c r="D8130" s="6" t="str">
        <f>IFERROR(__xludf.DUMMYFUNCTION("GOOGLETRANSLATE(B8130,""en"",""hy"")"),"Իսահակ Նյուտոն.")</f>
        <v>Իսահակ Նյուտոն.</v>
      </c>
    </row>
    <row r="8131">
      <c r="A8131" s="5" t="s">
        <v>8267</v>
      </c>
      <c r="B8131" s="5" t="s">
        <v>7625</v>
      </c>
      <c r="C8131" s="5" t="str">
        <f>IFERROR(__xludf.DUMMYFUNCTION("GOOGLETRANSLATE(A8131,""en"",""hy"")"),"Ո՞ր երկիրն է հայտնի որպես «Կեսգիշերային արևի երկիր»:")</f>
        <v>Ո՞ր երկիրն է հայտնի որպես «Կեսգիշերային արևի երկիր»:</v>
      </c>
      <c r="D8131" s="6" t="str">
        <f>IFERROR(__xludf.DUMMYFUNCTION("GOOGLETRANSLATE(B8131,""en"",""hy"")"),"Նորվեգիա")</f>
        <v>Նորվեգիա</v>
      </c>
    </row>
    <row r="8132">
      <c r="A8132" s="5" t="s">
        <v>8166</v>
      </c>
      <c r="B8132" s="5" t="s">
        <v>9735</v>
      </c>
      <c r="C8132" s="5" t="str">
        <f>IFERROR(__xludf.DUMMYFUNCTION("GOOGLETRANSLATE(A8132,""en"",""hy"")"),"Ո՞վ է Ճապոնիայի ներկայիս վարչապետը:")</f>
        <v>Ո՞վ է Ճապոնիայի ներկայիս վարչապետը:</v>
      </c>
      <c r="D8132" s="6" t="str">
        <f>IFERROR(__xludf.DUMMYFUNCTION("GOOGLETRANSLATE(B8132,""en"",""hy"")"),"Յոսիհիդե Շուգա")</f>
        <v>Յոսիհիդե Շուգա</v>
      </c>
    </row>
    <row r="8133">
      <c r="A8133" s="5" t="s">
        <v>8298</v>
      </c>
      <c r="B8133" s="5" t="s">
        <v>9071</v>
      </c>
      <c r="C8133" s="5" t="str">
        <f>IFERROR(__xludf.DUMMYFUNCTION("GOOGLETRANSLATE(A8133,""en"",""hy"")"),"Ո՞ր թվականին է փլվել Բեռլինի պատը:")</f>
        <v>Ո՞ր թվականին է փլվել Բեռլինի պատը:</v>
      </c>
      <c r="D8133" s="6" t="str">
        <f>IFERROR(__xludf.DUMMYFUNCTION("GOOGLETRANSLATE(B8133,""en"",""hy"")"),"Բեռլինի պատը փլվեց 1989թ.")</f>
        <v>Բեռլինի պատը փլվեց 1989թ.</v>
      </c>
    </row>
    <row r="8134">
      <c r="A8134" s="5" t="s">
        <v>7665</v>
      </c>
      <c r="B8134" s="5" t="s">
        <v>7781</v>
      </c>
      <c r="C8134" s="5" t="str">
        <f>IFERROR(__xludf.DUMMYFUNCTION("GOOGLETRANSLATE(A8134,""en"",""hy"")"),"Ո՞րն է նատրիումի քիմիական նշանը:")</f>
        <v>Ո՞րն է նատրիումի քիմիական նշանը:</v>
      </c>
      <c r="D8134" s="6" t="str">
        <f>IFERROR(__xludf.DUMMYFUNCTION("GOOGLETRANSLATE(B8134,""en"",""hy"")"),"Նատրիումի քիմիական նշանը Na է:")</f>
        <v>Նատրիումի քիմիական նշանը Na է:</v>
      </c>
    </row>
    <row r="8135">
      <c r="A8135" s="5" t="s">
        <v>9736</v>
      </c>
      <c r="B8135" s="5" t="s">
        <v>8038</v>
      </c>
      <c r="C8135" s="5" t="str">
        <f>IFERROR(__xludf.DUMMYFUNCTION("GOOGLETRANSLATE(A8135,""en"",""hy"")"),"Ո՞ր կոմպոզիտորն է գրել թիվ 9 սիմֆոնիան։")</f>
        <v>Ո՞ր կոմպոզիտորն է գրել թիվ 9 սիմֆոնիան։</v>
      </c>
      <c r="D8135" s="6" t="str">
        <f>IFERROR(__xludf.DUMMYFUNCTION("GOOGLETRANSLATE(B8135,""en"",""hy"")"),"Լյուդվիգ վան Բեթհովեն.")</f>
        <v>Լյուդվիգ վան Բեթհովեն.</v>
      </c>
    </row>
    <row r="8136">
      <c r="A8136" s="5" t="s">
        <v>8129</v>
      </c>
      <c r="B8136" s="5" t="s">
        <v>8130</v>
      </c>
      <c r="C8136" s="5" t="str">
        <f>IFERROR(__xludf.DUMMYFUNCTION("GOOGLETRANSLATE(A8136,""en"",""hy"")"),"Քանի՞ ժամային գոտի կա աշխարհում:")</f>
        <v>Քանի՞ ժամային գոտի կա աշխարհում:</v>
      </c>
      <c r="D8136" s="6" t="str">
        <f>IFERROR(__xludf.DUMMYFUNCTION("GOOGLETRANSLATE(B8136,""en"",""hy"")"),"Աշխարհում կա 24 ժամային գոտի:")</f>
        <v>Աշխարհում կա 24 ժամային գոտի:</v>
      </c>
    </row>
    <row r="8137">
      <c r="A8137" s="5" t="s">
        <v>7517</v>
      </c>
      <c r="B8137" s="5" t="s">
        <v>7828</v>
      </c>
      <c r="C8137" s="5" t="str">
        <f>IFERROR(__xludf.DUMMYFUNCTION("GOOGLETRANSLATE(A8137,""en"",""hy"")"),"Ո՞վ է նկարել Վերջին ընթրիքը:")</f>
        <v>Ո՞վ է նկարել Վերջին ընթրիքը:</v>
      </c>
      <c r="D8137" s="6" t="str">
        <f>IFERROR(__xludf.DUMMYFUNCTION("GOOGLETRANSLATE(B8137,""en"",""hy"")"),"Լեոնարդո դա Վինչի")</f>
        <v>Լեոնարդո դա Վինչի</v>
      </c>
    </row>
    <row r="8138">
      <c r="A8138" s="5" t="s">
        <v>7618</v>
      </c>
      <c r="B8138" s="5" t="s">
        <v>8266</v>
      </c>
      <c r="C8138" s="5" t="str">
        <f>IFERROR(__xludf.DUMMYFUNCTION("GOOGLETRANSLATE(A8138,""en"",""hy"")"),"Ո՞րն է աշխարհի ամենամեծ ջրվեժը:")</f>
        <v>Ո՞րն է աշխարհի ամենամեծ ջրվեժը:</v>
      </c>
      <c r="D8138" s="6" t="str">
        <f>IFERROR(__xludf.DUMMYFUNCTION("GOOGLETRANSLATE(B8138,""en"",""hy"")"),"Աշխարհի ամենամեծ ջրվեժը Վենեսուելայում գտնվող Անխել ջրվեժն է:")</f>
        <v>Աշխարհի ամենամեծ ջրվեժը Վենեսուելայում գտնվող Անխել ջրվեժն է:</v>
      </c>
    </row>
    <row r="8139">
      <c r="A8139" s="5" t="s">
        <v>9737</v>
      </c>
      <c r="B8139" s="5" t="s">
        <v>9738</v>
      </c>
      <c r="C8139" s="5" t="str">
        <f>IFERROR(__xludf.DUMMYFUNCTION("GOOGLETRANSLATE(A8139,""en"",""hy"")"),"Ո՞րն է Կանադայի ազգային ծառը:")</f>
        <v>Ո՞րն է Կանադայի ազգային ծառը:</v>
      </c>
      <c r="D8139" s="6" t="str">
        <f>IFERROR(__xludf.DUMMYFUNCTION("GOOGLETRANSLATE(B8139,""en"",""hy"")"),"Կանադայի ազգային ծառը թխկի ծառն է:")</f>
        <v>Կանադայի ազգային ծառը թխկի ծառն է:</v>
      </c>
    </row>
    <row r="8140">
      <c r="A8140" s="5" t="s">
        <v>9739</v>
      </c>
      <c r="B8140" s="5" t="s">
        <v>7585</v>
      </c>
      <c r="C8140" s="5" t="str">
        <f>IFERROR(__xludf.DUMMYFUNCTION("GOOGLETRANSLATE(A8140,""en"",""hy"")"),"Ո՞վ է նկարիչը հայտնի «Ճիչը» կտավի հետևում։")</f>
        <v>Ո՞վ է նկարիչը հայտնի «Ճիչը» կտավի հետևում։</v>
      </c>
      <c r="D8140" s="6" t="str">
        <f>IFERROR(__xludf.DUMMYFUNCTION("GOOGLETRANSLATE(B8140,""en"",""hy"")"),"Էդվարդ Մունկ.")</f>
        <v>Էդվարդ Մունկ.</v>
      </c>
    </row>
    <row r="8141">
      <c r="A8141" s="5" t="s">
        <v>7521</v>
      </c>
      <c r="B8141" s="5" t="s">
        <v>1016</v>
      </c>
      <c r="C8141" s="5" t="str">
        <f>IFERROR(__xludf.DUMMYFUNCTION("GOOGLETRANSLATE(A8141,""en"",""hy"")"),"Ո՞վ է գրել Համլետ պիեսը:")</f>
        <v>Ո՞վ է գրել Համլետ պիեսը:</v>
      </c>
      <c r="D8141" s="6" t="str">
        <f>IFERROR(__xludf.DUMMYFUNCTION("GOOGLETRANSLATE(B8141,""en"",""hy"")"),"Ուիլյամ Շեքսպիր.")</f>
        <v>Ուիլյամ Շեքսպիր.</v>
      </c>
    </row>
    <row r="8142">
      <c r="A8142" s="5" t="s">
        <v>7845</v>
      </c>
      <c r="B8142" s="5" t="s">
        <v>3533</v>
      </c>
      <c r="C8142" s="5" t="str">
        <f>IFERROR(__xludf.DUMMYFUNCTION("GOOGLETRANSLATE(A8142,""en"",""hy"")"),"Ո՞րն է Բրազիլիայի պաշտոնական լեզուն:")</f>
        <v>Ո՞րն է Բրազիլիայի պաշտոնական լեզուն:</v>
      </c>
      <c r="D8142" s="6" t="str">
        <f>IFERROR(__xludf.DUMMYFUNCTION("GOOGLETRANSLATE(B8142,""en"",""hy"")"),"Բրազիլիայի պաշտոնական լեզուն պորտուգալերենն է։")</f>
        <v>Բրազիլիայի պաշտոնական լեզուն պորտուգալերենն է։</v>
      </c>
    </row>
    <row r="8143">
      <c r="A8143" s="5" t="s">
        <v>8020</v>
      </c>
      <c r="B8143" s="5" t="s">
        <v>7961</v>
      </c>
      <c r="C8143" s="5" t="str">
        <f>IFERROR(__xludf.DUMMYFUNCTION("GOOGLETRANSLATE(A8143,""en"",""hy"")"),"Ո՞ր թվականին է խորտակվել Տիտանիկը:")</f>
        <v>Ո՞ր թվականին է խորտակվել Տիտանիկը:</v>
      </c>
      <c r="D8143" s="6" t="str">
        <f>IFERROR(__xludf.DUMMYFUNCTION("GOOGLETRANSLATE(B8143,""en"",""hy"")"),"Տիտանիկը խորտակվել է 1912 թվականին։")</f>
        <v>Տիտանիկը խորտակվել է 1912 թվականին։</v>
      </c>
    </row>
    <row r="8144">
      <c r="A8144" s="5" t="s">
        <v>7699</v>
      </c>
      <c r="B8144" s="5" t="s">
        <v>7700</v>
      </c>
      <c r="C8144" s="5" t="str">
        <f>IFERROR(__xludf.DUMMYFUNCTION("GOOGLETRANSLATE(A8144,""en"",""hy"")"),"Ո՞րն է ածխածնի քիմիական նշանը:")</f>
        <v>Ո՞րն է ածխածնի քիմիական նշանը:</v>
      </c>
      <c r="D8144" s="6" t="str">
        <f>IFERROR(__xludf.DUMMYFUNCTION("GOOGLETRANSLATE(B8144,""en"",""hy"")"),"Ածխածնի քիմիական նշանը C է:")</f>
        <v>Ածխածնի քիմիական նշանը C է:</v>
      </c>
    </row>
    <row r="8145">
      <c r="A8145" s="5" t="s">
        <v>7772</v>
      </c>
      <c r="B8145" s="5" t="s">
        <v>7181</v>
      </c>
      <c r="C8145" s="5" t="str">
        <f>IFERROR(__xludf.DUMMYFUNCTION("GOOGLETRANSLATE(A8145,""en"",""hy"")"),"Ո՞ր երկիրն է հայտնի որպես «Land Down Under»:")</f>
        <v>Ո՞ր երկիրն է հայտնի որպես «Land Down Under»:</v>
      </c>
      <c r="D8145" s="6" t="str">
        <f>IFERROR(__xludf.DUMMYFUNCTION("GOOGLETRANSLATE(B8145,""en"",""hy"")"),"Ավստրալիա")</f>
        <v>Ավստրալիա</v>
      </c>
    </row>
    <row r="8146">
      <c r="A8146" s="5" t="s">
        <v>7479</v>
      </c>
      <c r="B8146" s="5" t="s">
        <v>1996</v>
      </c>
      <c r="C8146" s="5" t="str">
        <f>IFERROR(__xludf.DUMMYFUNCTION("GOOGLETRANSLATE(A8146,""en"",""hy"")"),"Ո՞վ է Միացյալ Թագավորության ներկայիս վարչապետը:")</f>
        <v>Ո՞վ է Միացյալ Թագավորության ներկայիս վարչապետը:</v>
      </c>
      <c r="D8146" s="6" t="str">
        <f>IFERROR(__xludf.DUMMYFUNCTION("GOOGLETRANSLATE(B8146,""en"",""hy"")"),"Բորիս Ջոնսոն.")</f>
        <v>Բորիս Ջոնսոն.</v>
      </c>
    </row>
    <row r="8147">
      <c r="A8147" s="5" t="s">
        <v>7526</v>
      </c>
      <c r="B8147" s="5" t="s">
        <v>7527</v>
      </c>
      <c r="C8147" s="5" t="str">
        <f>IFERROR(__xludf.DUMMYFUNCTION("GOOGLETRANSLATE(A8147,""en"",""hy"")"),"Ո՞րն է աշխարհի ամենամեծ կղզին:")</f>
        <v>Ո՞րն է աշխարհի ամենամեծ կղզին:</v>
      </c>
      <c r="D8147" s="6" t="str">
        <f>IFERROR(__xludf.DUMMYFUNCTION("GOOGLETRANSLATE(B8147,""en"",""hy"")"),"Գրենլանդիա.")</f>
        <v>Գրենլանդիա.</v>
      </c>
    </row>
    <row r="8148">
      <c r="A8148" s="5" t="s">
        <v>7919</v>
      </c>
      <c r="B8148" s="5" t="s">
        <v>7556</v>
      </c>
      <c r="C8148" s="5" t="str">
        <f>IFERROR(__xludf.DUMMYFUNCTION("GOOGLETRANSLATE(A8148,""en"",""hy"")"),"Ո՞վ է հայտնաբերել հարաբերականության տեսությունը:")</f>
        <v>Ո՞վ է հայտնաբերել հարաբերականության տեսությունը:</v>
      </c>
      <c r="D8148" s="6" t="str">
        <f>IFERROR(__xludf.DUMMYFUNCTION("GOOGLETRANSLATE(B8148,""en"",""hy"")"),"Albert Einstein.")</f>
        <v>Albert Einstein.</v>
      </c>
    </row>
    <row r="8149">
      <c r="A8149" s="5" t="s">
        <v>7791</v>
      </c>
      <c r="B8149" s="5" t="s">
        <v>7792</v>
      </c>
      <c r="C8149" s="5" t="str">
        <f>IFERROR(__xludf.DUMMYFUNCTION("GOOGLETRANSLATE(A8149,""en"",""hy"")"),"Ո՞րն է Ավստրալիայի ազգային կենդանին:")</f>
        <v>Ո՞րն է Ավստրալիայի ազգային կենդանին:</v>
      </c>
      <c r="D8149" s="6" t="str">
        <f>IFERROR(__xludf.DUMMYFUNCTION("GOOGLETRANSLATE(B8149,""en"",""hy"")"),"Ավստրալիայի ազգային կենդանին կենգուրուն է։")</f>
        <v>Ավստրալիայի ազգային կենդանին կենգուրուն է։</v>
      </c>
    </row>
    <row r="8150">
      <c r="A8150" s="5" t="s">
        <v>9268</v>
      </c>
      <c r="B8150" s="5" t="s">
        <v>9269</v>
      </c>
      <c r="C8150" s="5" t="str">
        <f>IFERROR(__xludf.DUMMYFUNCTION("GOOGLETRANSLATE(A8150,""en"",""hy"")"),"Քանի՞ աստղ կա Միացյալ Նահանգների դրոշի վրա:")</f>
        <v>Քանի՞ աստղ կա Միացյալ Նահանգների դրոշի վրա:</v>
      </c>
      <c r="D8150" s="6" t="str">
        <f>IFERROR(__xludf.DUMMYFUNCTION("GOOGLETRANSLATE(B8150,""en"",""hy"")"),"Միացյալ Նահանգների դրոշի վրա 50 աստղ կա։")</f>
        <v>Միացյալ Նահանգների դրոշի վրա 50 աստղ կա։</v>
      </c>
    </row>
    <row r="8151">
      <c r="A8151" s="5" t="s">
        <v>7443</v>
      </c>
      <c r="B8151" s="5" t="s">
        <v>7444</v>
      </c>
      <c r="C8151" s="5" t="str">
        <f>IFERROR(__xludf.DUMMYFUNCTION("GOOGLETRANSLATE(A8151,""en"",""hy"")"),"Ո՞վ է գրել «1984» վեպը։")</f>
        <v>Ո՞վ է գրել «1984» վեպը։</v>
      </c>
      <c r="D8151" s="6" t="str">
        <f>IFERROR(__xludf.DUMMYFUNCTION("GOOGLETRANSLATE(B8151,""en"",""hy"")"),"Ջորջ Օրուել.")</f>
        <v>Ջորջ Օրուել.</v>
      </c>
    </row>
    <row r="8152">
      <c r="A8152" s="5" t="s">
        <v>8028</v>
      </c>
      <c r="B8152" s="5" t="s">
        <v>9740</v>
      </c>
      <c r="C8152" s="5" t="str">
        <f>IFERROR(__xludf.DUMMYFUNCTION("GOOGLETRANSLATE(A8152,""en"",""hy"")"),"Ո՞րն է Կանադայի ազգային սպորտը:")</f>
        <v>Ո՞րն է Կանադայի ազգային սպորտը:</v>
      </c>
      <c r="D8152" s="6" t="str">
        <f>IFERROR(__xludf.DUMMYFUNCTION("GOOGLETRANSLATE(B8152,""en"",""hy"")"),"Կանադայի ազգային սպորտը լակրոսն է։")</f>
        <v>Կանադայի ազգային սպորտը լակրոսն է։</v>
      </c>
    </row>
    <row r="8153">
      <c r="A8153" s="5" t="s">
        <v>7589</v>
      </c>
      <c r="B8153" s="5" t="s">
        <v>7545</v>
      </c>
      <c r="C8153" s="5" t="str">
        <f>IFERROR(__xludf.DUMMYFUNCTION("GOOGLETRANSLATE(A8153,""en"",""hy"")"),"Ո՞րն է Իտալիայի մայրաքաղաքը:")</f>
        <v>Ո՞րն է Իտալիայի մայրաքաղաքը:</v>
      </c>
      <c r="D8153" s="6" t="str">
        <f>IFERROR(__xludf.DUMMYFUNCTION("GOOGLETRANSLATE(B8153,""en"",""hy"")"),"Հռոմ.")</f>
        <v>Հռոմ.</v>
      </c>
    </row>
    <row r="8154">
      <c r="A8154" s="5" t="s">
        <v>8159</v>
      </c>
      <c r="B8154" s="5" t="s">
        <v>8160</v>
      </c>
      <c r="C8154" s="5" t="str">
        <f>IFERROR(__xludf.DUMMYFUNCTION("GOOGLETRANSLATE(A8154,""en"",""hy"")"),"Ո՞վ է Ռուսաստանի ներկայիս նախագահը.")</f>
        <v>Ո՞վ է Ռուսաստանի ներկայիս նախագահը.</v>
      </c>
      <c r="D8154" s="6" t="str">
        <f>IFERROR(__xludf.DUMMYFUNCTION("GOOGLETRANSLATE(B8154,""en"",""hy"")"),"Վլադիմիր Պուտին.")</f>
        <v>Վլադիմիր Պուտին.</v>
      </c>
    </row>
    <row r="8155">
      <c r="A8155" s="5" t="s">
        <v>7809</v>
      </c>
      <c r="B8155" s="5" t="s">
        <v>7810</v>
      </c>
      <c r="C8155" s="5" t="str">
        <f>IFERROR(__xludf.DUMMYFUNCTION("GOOGLETRANSLATE(A8155,""en"",""hy"")"),"Ո՞րն է հելիումի քիմիական նշանը:")</f>
        <v>Ո՞րն է հելիումի քիմիական նշանը:</v>
      </c>
      <c r="D8155" s="6" t="str">
        <f>IFERROR(__xludf.DUMMYFUNCTION("GOOGLETRANSLATE(B8155,""en"",""hy"")"),"Նա")</f>
        <v>Նա</v>
      </c>
    </row>
    <row r="8156">
      <c r="A8156" s="5" t="s">
        <v>8250</v>
      </c>
      <c r="B8156" s="5" t="s">
        <v>7712</v>
      </c>
      <c r="C8156" s="5" t="str">
        <f>IFERROR(__xludf.DUMMYFUNCTION("GOOGLETRANSLATE(A8156,""en"",""hy"")"),"Ո՞ր քաղաքում է գտնվում Ազատության արձանը:")</f>
        <v>Ո՞ր քաղաքում է գտնվում Ազատության արձանը:</v>
      </c>
      <c r="D8156" s="6" t="str">
        <f>IFERROR(__xludf.DUMMYFUNCTION("GOOGLETRANSLATE(B8156,""en"",""hy"")"),"Նյու Յորք քաղաք.")</f>
        <v>Նյու Յորք քաղաք.</v>
      </c>
    </row>
    <row r="8157">
      <c r="A8157" s="5" t="s">
        <v>9741</v>
      </c>
      <c r="B8157" s="5" t="s">
        <v>9560</v>
      </c>
      <c r="C8157" s="5" t="str">
        <f>IFERROR(__xludf.DUMMYFUNCTION("GOOGLETRANSLATE(A8157,""en"",""hy"")"),"Ո՞վ էր առաջին մարդը, ով շրջեց աշխարհը:")</f>
        <v>Ո՞վ էր առաջին մարդը, ով շրջեց աշխարհը:</v>
      </c>
      <c r="D8157" s="6" t="str">
        <f>IFERROR(__xludf.DUMMYFUNCTION("GOOGLETRANSLATE(B8157,""en"",""hy"")"),"Ֆերդինանդ Մագելան.")</f>
        <v>Ֆերդինանդ Մագելան.</v>
      </c>
    </row>
    <row r="8158">
      <c r="A8158" s="5" t="s">
        <v>9270</v>
      </c>
      <c r="B8158" s="5" t="s">
        <v>9271</v>
      </c>
      <c r="C8158" s="5" t="str">
        <f>IFERROR(__xludf.DUMMYFUNCTION("GOOGLETRANSLATE(A8158,""en"",""hy"")"),"Ո՞րն է Կանադայի ազգային ծաղիկը:")</f>
        <v>Ո՞րն է Կանադայի ազգային ծաղիկը:</v>
      </c>
      <c r="D8158" s="6" t="str">
        <f>IFERROR(__xludf.DUMMYFUNCTION("GOOGLETRANSLATE(B8158,""en"",""hy"")"),"Կանադայի ազգային ծաղիկը թխկի տերեւն է։")</f>
        <v>Կանադայի ազգային ծաղիկը թխկի տերեւն է։</v>
      </c>
    </row>
    <row r="8159">
      <c r="A8159" s="5" t="s">
        <v>7927</v>
      </c>
      <c r="B8159" s="5" t="s">
        <v>8163</v>
      </c>
      <c r="C8159" s="5" t="str">
        <f>IFERROR(__xludf.DUMMYFUNCTION("GOOGLETRANSLATE(A8159,""en"",""hy"")"),"Քանի՞ խաղացող կա բասկետբոլի թիմում:")</f>
        <v>Քանի՞ խաղացող կա բասկետբոլի թիմում:</v>
      </c>
      <c r="D8159" s="6" t="str">
        <f>IFERROR(__xludf.DUMMYFUNCTION("GOOGLETRANSLATE(B8159,""en"",""hy"")"),"Բասկետբոլի թիմում 5 խաղացող կա։")</f>
        <v>Բասկետբոլի թիմում 5 խաղացող կա։</v>
      </c>
    </row>
    <row r="8160">
      <c r="A8160" s="5" t="s">
        <v>7983</v>
      </c>
      <c r="B8160" s="5" t="s">
        <v>7725</v>
      </c>
      <c r="C8160" s="5" t="str">
        <f>IFERROR(__xludf.DUMMYFUNCTION("GOOGLETRANSLATE(A8160,""en"",""hy"")"),"Ո՞րն է աշխարհի ամենամեծ անձրևային անտառը:")</f>
        <v>Ո՞րն է աշխարհի ամենամեծ անձրևային անտառը:</v>
      </c>
      <c r="D8160" s="6" t="str">
        <f>IFERROR(__xludf.DUMMYFUNCTION("GOOGLETRANSLATE(B8160,""en"",""hy"")"),"Ամազոնի անձրևային անտառ.")</f>
        <v>Ամազոնի անձրևային անտառ.</v>
      </c>
    </row>
    <row r="8161">
      <c r="A8161" s="5" t="s">
        <v>9742</v>
      </c>
      <c r="B8161" s="5" t="s">
        <v>7474</v>
      </c>
      <c r="C8161" s="5" t="str">
        <f>IFERROR(__xludf.DUMMYFUNCTION("GOOGLETRANSLATE(A8161,""en"",""hy"")"),"Ո՞վ է նկարել Ադամի արարումը Սիքստինյան կապելլայի առաստաղի վրա:")</f>
        <v>Ո՞վ է նկարել Ադամի արարումը Սիքստինյան կապելլայի առաստաղի վրա:</v>
      </c>
      <c r="D8161" s="6" t="str">
        <f>IFERROR(__xludf.DUMMYFUNCTION("GOOGLETRANSLATE(B8161,""en"",""hy"")"),"Միքելանջելո.")</f>
        <v>Միքելանջելո.</v>
      </c>
    </row>
    <row r="8162">
      <c r="A8162" s="5" t="s">
        <v>9283</v>
      </c>
      <c r="B8162" s="5" t="s">
        <v>9284</v>
      </c>
      <c r="C8162" s="5" t="str">
        <f>IFERROR(__xludf.DUMMYFUNCTION("GOOGLETRANSLATE(A8162,""en"",""hy"")"),"Ո՞րն է Միացյալ Նահանգների ազգային կենդանին:")</f>
        <v>Ո՞րն է Միացյալ Նահանգների ազգային կենդանին:</v>
      </c>
      <c r="D8162" s="6" t="str">
        <f>IFERROR(__xludf.DUMMYFUNCTION("GOOGLETRANSLATE(B8162,""en"",""hy"")"),"ԱՄՆ-ի ազգային կենդանին ճաղատ արծիվն է։")</f>
        <v>ԱՄՆ-ի ազգային կենդանին ճաղատ արծիվն է։</v>
      </c>
    </row>
    <row r="8163">
      <c r="A8163" s="5" t="s">
        <v>8476</v>
      </c>
      <c r="B8163" s="5" t="s">
        <v>7976</v>
      </c>
      <c r="C8163" s="5" t="str">
        <f>IFERROR(__xludf.DUMMYFUNCTION("GOOGLETRANSLATE(A8163,""en"",""hy"")"),"Ո՞ր թվականին է սկսվել Առաջին համաշխարհային պատերազմը:")</f>
        <v>Ո՞ր թվականին է սկսվել Առաջին համաշխարհային պատերազմը:</v>
      </c>
      <c r="D8163" s="6" t="str">
        <f>IFERROR(__xludf.DUMMYFUNCTION("GOOGLETRANSLATE(B8163,""en"",""hy"")"),"Առաջին համաշխարհային պատերազմը սկսվել է 1914 թ.")</f>
        <v>Առաջին համաշխարհային պատերազմը սկսվել է 1914 թ.</v>
      </c>
    </row>
    <row r="8164">
      <c r="A8164" s="5" t="s">
        <v>8263</v>
      </c>
      <c r="B8164" s="5" t="s">
        <v>7661</v>
      </c>
      <c r="C8164" s="5" t="str">
        <f>IFERROR(__xludf.DUMMYFUNCTION("GOOGLETRANSLATE(A8164,""en"",""hy"")"),"Ո՞վ է «Մեծն Գեթսբի» գրքի հեղինակը.")</f>
        <v>Ո՞վ է «Մեծն Գեթսբի» գրքի հեղինակը.</v>
      </c>
      <c r="D8164" s="6" t="str">
        <f>IFERROR(__xludf.DUMMYFUNCTION("GOOGLETRANSLATE(B8164,""en"",""hy"")"),"F. Scott Fitzgerald.")</f>
        <v>F. Scott Fitzgerald.</v>
      </c>
    </row>
    <row r="8165">
      <c r="A8165" s="5" t="s">
        <v>7449</v>
      </c>
      <c r="B8165" s="5" t="s">
        <v>8141</v>
      </c>
      <c r="C8165" s="5" t="str">
        <f>IFERROR(__xludf.DUMMYFUNCTION("GOOGLETRANSLATE(A8165,""en"",""hy"")"),"Ո՞րն է աշխարհի ամենամեծ երկիրը ցամաքային տարածքով:")</f>
        <v>Ո՞րն է աշխարհի ամենամեծ երկիրը ցամաքային տարածքով:</v>
      </c>
      <c r="D8165" s="6" t="str">
        <f>IFERROR(__xludf.DUMMYFUNCTION("GOOGLETRANSLATE(B8165,""en"",""hy"")"),"Ռուսաստան")</f>
        <v>Ռուսաստան</v>
      </c>
    </row>
    <row r="8166">
      <c r="A8166" s="5" t="s">
        <v>7761</v>
      </c>
      <c r="B8166" s="5" t="s">
        <v>7862</v>
      </c>
      <c r="C8166" s="5" t="str">
        <f>IFERROR(__xludf.DUMMYFUNCTION("GOOGLETRANSLATE(A8166,""en"",""hy"")"),"Ո՞րն է ջրածնի քիմիական նշանը:")</f>
        <v>Ո՞րն է ջրածնի քիմիական նշանը:</v>
      </c>
      <c r="D8166" s="6" t="str">
        <f>IFERROR(__xludf.DUMMYFUNCTION("GOOGLETRANSLATE(B8166,""en"",""hy"")"),"Ջրածնի քիմիական նշանն է H.")</f>
        <v>Ջրածնի քիմիական նշանն է H.</v>
      </c>
    </row>
    <row r="8167">
      <c r="A8167" s="5" t="s">
        <v>7823</v>
      </c>
      <c r="B8167" s="5" t="s">
        <v>7824</v>
      </c>
      <c r="C8167" s="5" t="str">
        <f>IFERROR(__xludf.DUMMYFUNCTION("GOOGLETRANSLATE(A8167,""en"",""hy"")"),"Ո՞ր երկիրն է հայտնի որպես «կրակի և սառույցի երկիր»:")</f>
        <v>Ո՞ր երկիրն է հայտնի որպես «կրակի և սառույցի երկիր»:</v>
      </c>
      <c r="D8167" s="6" t="str">
        <f>IFERROR(__xludf.DUMMYFUNCTION("GOOGLETRANSLATE(B8167,""en"",""hy"")"),"Իսլանդիա.")</f>
        <v>Իսլանդիա.</v>
      </c>
    </row>
    <row r="8168">
      <c r="A8168" s="5" t="s">
        <v>9743</v>
      </c>
      <c r="B8168" s="5" t="s">
        <v>9744</v>
      </c>
      <c r="C8168" s="5" t="str">
        <f>IFERROR(__xludf.DUMMYFUNCTION("GOOGLETRANSLATE(A8168,""en"",""hy"")"),"Ո՞վ է Ֆրանսիայի ներկայիս կանցլերը:")</f>
        <v>Ո՞վ է Ֆրանսիայի ներկայիս կանցլերը:</v>
      </c>
      <c r="D8168" s="6" t="str">
        <f>IFERROR(__xludf.DUMMYFUNCTION("GOOGLETRANSLATE(B8168,""en"",""hy"")"),"Ֆրանսիայի ներկայիս կանցլերն Անգելա Մերկելն է։")</f>
        <v>Ֆրանսիայի ներկայիս կանցլերն Անգելա Մերկելն է։</v>
      </c>
    </row>
    <row r="8169">
      <c r="A8169" s="5" t="s">
        <v>8091</v>
      </c>
      <c r="B8169" s="5" t="s">
        <v>9745</v>
      </c>
      <c r="C8169" s="5" t="str">
        <f>IFERROR(__xludf.DUMMYFUNCTION("GOOGLETRANSLATE(A8169,""en"",""hy"")"),"Ո՞րն է Բրազիլիայի ազգային սպորտը:")</f>
        <v>Ո՞րն է Բրազիլիայի ազգային սպորտը:</v>
      </c>
      <c r="D8169" s="6" t="str">
        <f>IFERROR(__xludf.DUMMYFUNCTION("GOOGLETRANSLATE(B8169,""en"",""hy"")"),"Բրազիլիայի ազգային սպորտը ֆուտբոլն է (ֆուտբոլ):")</f>
        <v>Բրազիլիայի ազգային սպորտը ֆուտբոլն է (ֆուտբոլ):</v>
      </c>
    </row>
    <row r="8170">
      <c r="A8170" s="5" t="s">
        <v>7575</v>
      </c>
      <c r="B8170" s="5" t="s">
        <v>9746</v>
      </c>
      <c r="C8170" s="5" t="str">
        <f>IFERROR(__xludf.DUMMYFUNCTION("GOOGLETRANSLATE(A8170,""en"",""hy"")"),"Քանի՞ գույն կա ծիածանի մեջ:")</f>
        <v>Քանի՞ գույն կա ծիածանի մեջ:</v>
      </c>
      <c r="D8170" s="6" t="str">
        <f>IFERROR(__xludf.DUMMYFUNCTION("GOOGLETRANSLATE(B8170,""en"",""hy"")"),"Ծիածանի մեջ կա 7 գույն:")</f>
        <v>Ծիածանի մեջ կա 7 գույն:</v>
      </c>
    </row>
    <row r="8171">
      <c r="A8171" s="5" t="s">
        <v>7744</v>
      </c>
      <c r="B8171" s="5" t="s">
        <v>8642</v>
      </c>
      <c r="C8171" s="5" t="str">
        <f>IFERROR(__xludf.DUMMYFUNCTION("GOOGLETRANSLATE(A8171,""en"",""hy"")"),"Ո՞վ է նկարել հայտնի «Հիշողության համառությունը» ստեղծագործությունը:")</f>
        <v>Ո՞վ է նկարել հայտնի «Հիշողության համառությունը» ստեղծագործությունը:</v>
      </c>
      <c r="D8171" s="6" t="str">
        <f>IFERROR(__xludf.DUMMYFUNCTION("GOOGLETRANSLATE(B8171,""en"",""hy"")"),"Սալվադոր Դալի")</f>
        <v>Սալվադոր Դալի</v>
      </c>
    </row>
    <row r="8172">
      <c r="A8172" s="5" t="s">
        <v>7602</v>
      </c>
      <c r="B8172" s="5" t="s">
        <v>7603</v>
      </c>
      <c r="C8172" s="5" t="str">
        <f>IFERROR(__xludf.DUMMYFUNCTION("GOOGLETRANSLATE(A8172,""en"",""hy"")"),"Ո՞րն է Կանադայի ազգային թռչունը:")</f>
        <v>Ո՞րն է Կանադայի ազգային թռչունը:</v>
      </c>
      <c r="D8172" s="6" t="str">
        <f>IFERROR(__xludf.DUMMYFUNCTION("GOOGLETRANSLATE(B8172,""en"",""hy"")"),"Կանադայի ազգային թռչունը սովորական ձագն է:")</f>
        <v>Կանադայի ազգային թռչունը սովորական ձագն է:</v>
      </c>
    </row>
    <row r="8173">
      <c r="A8173" s="5" t="s">
        <v>8860</v>
      </c>
      <c r="B8173" s="7">
        <v>1865.0</v>
      </c>
      <c r="C8173" s="5" t="str">
        <f>IFERROR(__xludf.DUMMYFUNCTION("GOOGLETRANSLATE(A8173,""en"",""hy"")"),"Ո՞ր թվականին ավարտվեց Ամերիկայի քաղաքացիական պատերազմը:")</f>
        <v>Ո՞ր թվականին ավարտվեց Ամերիկայի քաղաքացիական պատերազմը:</v>
      </c>
      <c r="D8173" s="6" t="str">
        <f>IFERROR(__xludf.DUMMYFUNCTION("GOOGLETRANSLATE(B8173,""en"",""hy"")"),"1865 թ")</f>
        <v>1865 թ</v>
      </c>
    </row>
    <row r="8174">
      <c r="A8174" s="5" t="s">
        <v>7509</v>
      </c>
      <c r="B8174" s="5" t="s">
        <v>7510</v>
      </c>
      <c r="C8174" s="5" t="str">
        <f>IFERROR(__xludf.DUMMYFUNCTION("GOOGLETRANSLATE(A8174,""en"",""hy"")"),"Ո՞րն է արծաթի քիմիական նշանը:")</f>
        <v>Ո՞րն է արծաթի քիմիական նշանը:</v>
      </c>
      <c r="D8174" s="6" t="str">
        <f>IFERROR(__xludf.DUMMYFUNCTION("GOOGLETRANSLATE(B8174,""en"",""hy"")"),"Ագ")</f>
        <v>Ագ</v>
      </c>
    </row>
    <row r="8175">
      <c r="A8175" s="5" t="s">
        <v>7815</v>
      </c>
      <c r="B8175" s="5" t="s">
        <v>9747</v>
      </c>
      <c r="C8175" s="5" t="str">
        <f>IFERROR(__xludf.DUMMYFUNCTION("GOOGLETRANSLATE(A8175,""en"",""hy"")"),"Ո՞ր երկիրն է հայտնի որպես «Ժպիտների երկիր»:")</f>
        <v>Ո՞ր երկիրն է հայտնի որպես «Ժպիտների երկիր»:</v>
      </c>
      <c r="D8175" s="6" t="str">
        <f>IFERROR(__xludf.DUMMYFUNCTION("GOOGLETRANSLATE(B8175,""en"",""hy"")"),"Թաիլանդ")</f>
        <v>Թաիլանդ</v>
      </c>
    </row>
    <row r="8176">
      <c r="A8176" s="5" t="s">
        <v>9748</v>
      </c>
      <c r="B8176" s="5" t="s">
        <v>9749</v>
      </c>
      <c r="C8176" s="5" t="str">
        <f>IFERROR(__xludf.DUMMYFUNCTION("GOOGLETRANSLATE(A8176,""en"",""hy"")"),"Ո՞վ է Մեքսիկայի ներկայիս նախագահը:")</f>
        <v>Ո՞վ է Մեքսիկայի ներկայիս նախագահը:</v>
      </c>
      <c r="D8176" s="6" t="str">
        <f>IFERROR(__xludf.DUMMYFUNCTION("GOOGLETRANSLATE(B8176,""en"",""hy"")"),"Մեքսիկայի ներկայիս նախագահը Անդրես Մանուել Լոպես Օբրադորն է։")</f>
        <v>Մեքսիկայի ներկայիս նախագահը Անդրես Մանուել Լոպես Օբրադորն է։</v>
      </c>
    </row>
    <row r="8177">
      <c r="A8177" s="5" t="s">
        <v>7582</v>
      </c>
      <c r="B8177" s="5" t="s">
        <v>9750</v>
      </c>
      <c r="C8177" s="5" t="str">
        <f>IFERROR(__xludf.DUMMYFUNCTION("GOOGLETRANSLATE(A8177,""en"",""hy"")"),"Ո՞րն է աշխարհի ամենաբարձր ծառը:")</f>
        <v>Ո՞րն է աշխարհի ամենաբարձր ծառը:</v>
      </c>
      <c r="D8177" s="6" t="str">
        <f>IFERROR(__xludf.DUMMYFUNCTION("GOOGLETRANSLATE(B8177,""en"",""hy"")"),"Աշխարհի ամենաբարձր ծառը ծովափնյա կարմիր փայտն է (Sequoia sempervirens):")</f>
        <v>Աշխարհի ամենաբարձր ծառը ծովափնյա կարմիր փայտն է (Sequoia sempervirens):</v>
      </c>
    </row>
    <row r="8178">
      <c r="A8178" s="5" t="s">
        <v>7992</v>
      </c>
      <c r="B8178" s="5" t="s">
        <v>7607</v>
      </c>
      <c r="C8178" s="5" t="str">
        <f>IFERROR(__xludf.DUMMYFUNCTION("GOOGLETRANSLATE(A8178,""en"",""hy"")"),"Ո՞վ է հայտնաբերել էվոլյուցիայի տեսությունը:")</f>
        <v>Ո՞վ է հայտնաբերել էվոլյուցիայի տեսությունը:</v>
      </c>
      <c r="D8178" s="6" t="str">
        <f>IFERROR(__xludf.DUMMYFUNCTION("GOOGLETRANSLATE(B8178,""en"",""hy"")"),"Չարլզ Դարվին.")</f>
        <v>Չարլզ Դարվին.</v>
      </c>
    </row>
    <row r="8179">
      <c r="A8179" s="5" t="s">
        <v>9751</v>
      </c>
      <c r="B8179" s="5" t="s">
        <v>9752</v>
      </c>
      <c r="C8179" s="5" t="str">
        <f>IFERROR(__xludf.DUMMYFUNCTION("GOOGLETRANSLATE(A8179,""en"",""hy"")"),"Ո՞րն է Միացյալ Թագավորության ազգային ծաղիկը:")</f>
        <v>Ո՞րն է Միացյալ Թագավորության ազգային ծաղիկը:</v>
      </c>
      <c r="D8179" s="6" t="str">
        <f>IFERROR(__xludf.DUMMYFUNCTION("GOOGLETRANSLATE(B8179,""en"",""hy"")"),"Միացյալ Թագավորության ազգային ծաղիկը վարդն է։")</f>
        <v>Միացյալ Թագավորության ազգային ծաղիկը վարդն է։</v>
      </c>
    </row>
    <row r="8180">
      <c r="A8180" s="5" t="s">
        <v>7932</v>
      </c>
      <c r="B8180" s="5" t="s">
        <v>7933</v>
      </c>
      <c r="C8180" s="5" t="str">
        <f>IFERROR(__xludf.DUMMYFUNCTION("GOOGLETRANSLATE(A8180,""en"",""hy"")"),"Քանի՞ խցիկ կա մարդու սրտում:")</f>
        <v>Քանի՞ խցիկ կա մարդու սրտում:</v>
      </c>
      <c r="D8180" s="6" t="str">
        <f>IFERROR(__xludf.DUMMYFUNCTION("GOOGLETRANSLATE(B8180,""en"",""hy"")"),"Մարդու սրտում չորս պալատ կա.")</f>
        <v>Մարդու սրտում չորս պալատ կա.</v>
      </c>
    </row>
    <row r="8181">
      <c r="A8181" s="5" t="s">
        <v>7522</v>
      </c>
      <c r="B8181" s="5" t="s">
        <v>9753</v>
      </c>
      <c r="C8181" s="5" t="str">
        <f>IFERROR(__xludf.DUMMYFUNCTION("GOOGLETRANSLATE(A8181,""en"",""hy"")"),"Ո՞րն է Չինաստանի արժույթը:")</f>
        <v>Ո՞րն է Չինաստանի արժույթը:</v>
      </c>
      <c r="D8181" s="6" t="str">
        <f>IFERROR(__xludf.DUMMYFUNCTION("GOOGLETRANSLATE(B8181,""en"",""hy"")"),"Չինաստանի արժույթը չինական յուանն է կամ Ռենմինբին (CNY/RMB):")</f>
        <v>Չինաստանի արժույթը չինական յուանն է կամ Ռենմինբին (CNY/RMB):</v>
      </c>
    </row>
    <row r="8182">
      <c r="A8182" s="5" t="s">
        <v>7447</v>
      </c>
      <c r="B8182" s="5" t="s">
        <v>7448</v>
      </c>
      <c r="C8182" s="5" t="str">
        <f>IFERROR(__xludf.DUMMYFUNCTION("GOOGLETRANSLATE(A8182,""en"",""hy"")"),"Ո՞վ է նկարել Մոնա Լիզան:")</f>
        <v>Ո՞վ է նկարել Մոնա Լիզան:</v>
      </c>
      <c r="D8182" s="6" t="str">
        <f>IFERROR(__xludf.DUMMYFUNCTION("GOOGLETRANSLATE(B8182,""en"",""hy"")"),"Լեոնարդո դա Վինչի.")</f>
        <v>Լեոնարդո դա Վինչի.</v>
      </c>
    </row>
    <row r="8183">
      <c r="A8183" s="5" t="s">
        <v>8011</v>
      </c>
      <c r="B8183" s="7">
        <v>1945.0</v>
      </c>
      <c r="C8183" s="5" t="str">
        <f>IFERROR(__xludf.DUMMYFUNCTION("GOOGLETRANSLATE(A8183,""en"",""hy"")"),"Ո՞ր թվականին ավարտվեց Երկրորդ համաշխարհային պատերազմը:")</f>
        <v>Ո՞ր թվականին ավարտվեց Երկրորդ համաշխարհային պատերազմը:</v>
      </c>
      <c r="D8183" s="6" t="str">
        <f>IFERROR(__xludf.DUMMYFUNCTION("GOOGLETRANSLATE(B8183,""en"",""hy"")"),"1945 թ")</f>
        <v>1945 թ</v>
      </c>
    </row>
    <row r="8184">
      <c r="A8184" s="5" t="s">
        <v>7629</v>
      </c>
      <c r="B8184" s="5" t="s">
        <v>7630</v>
      </c>
      <c r="C8184" s="5" t="str">
        <f>IFERROR(__xludf.DUMMYFUNCTION("GOOGLETRANSLATE(A8184,""en"",""hy"")"),"Ո՞վ է «Հպարտություն և նախապաշարմունք» գրքի հեղինակը.")</f>
        <v>Ո՞վ է «Հպարտություն և նախապաշարմունք» գրքի հեղինակը.</v>
      </c>
      <c r="D8184" s="6" t="str">
        <f>IFERROR(__xludf.DUMMYFUNCTION("GOOGLETRANSLATE(B8184,""en"",""hy"")"),"Ջեյն Օսթին.")</f>
        <v>Ջեյն Օսթին.</v>
      </c>
    </row>
    <row r="8185">
      <c r="A8185" s="5" t="s">
        <v>7632</v>
      </c>
      <c r="B8185" s="5" t="s">
        <v>7912</v>
      </c>
      <c r="C8185" s="5" t="str">
        <f>IFERROR(__xludf.DUMMYFUNCTION("GOOGLETRANSLATE(A8185,""en"",""hy"")"),"Ո՞րն է մեր արեգակնային համակարգի ամենամեծ մոլորակը:")</f>
        <v>Ո՞րն է մեր արեգակնային համակարգի ամենամեծ մոլորակը:</v>
      </c>
      <c r="D8185" s="6" t="str">
        <f>IFERROR(__xludf.DUMMYFUNCTION("GOOGLETRANSLATE(B8185,""en"",""hy"")"),"Յուպիտեր")</f>
        <v>Յուպիտեր</v>
      </c>
    </row>
    <row r="8186">
      <c r="A8186" s="5" t="s">
        <v>8138</v>
      </c>
      <c r="B8186" s="5" t="s">
        <v>6236</v>
      </c>
      <c r="C8186" s="5" t="str">
        <f>IFERROR(__xludf.DUMMYFUNCTION("GOOGLETRANSLATE(A8186,""en"",""hy"")"),"Ո՞րն է Բրազիլիայում խոսվող հիմնական լեզուն:")</f>
        <v>Ո՞րն է Բրազիլիայում խոսվող հիմնական լեզուն:</v>
      </c>
      <c r="D8186" s="6" t="str">
        <f>IFERROR(__xludf.DUMMYFUNCTION("GOOGLETRANSLATE(B8186,""en"",""hy"")"),"պորտուգալերեն.")</f>
        <v>պորտուգալերեն.</v>
      </c>
    </row>
    <row r="8187">
      <c r="A8187" s="5" t="s">
        <v>8831</v>
      </c>
      <c r="B8187" s="5" t="s">
        <v>9754</v>
      </c>
      <c r="C8187" s="5" t="str">
        <f>IFERROR(__xludf.DUMMYFUNCTION("GOOGLETRANSLATE(A8187,""en"",""hy"")"),"Անվանե՛ք «Ընկերներ» հեռուստաշոուի չորս գլխավոր հերոսներին։")</f>
        <v>Անվանե՛ք «Ընկերներ» հեռուստաշոուի չորս գլխավոր հերոսներին։</v>
      </c>
      <c r="D8187" s="6" t="str">
        <f>IFERROR(__xludf.DUMMYFUNCTION("GOOGLETRANSLATE(B8187,""en"",""hy"")"),"Ռեյչել, Մոնիկա, Ֆիբի, Չենդլեր, Ջոյ և Ռոս")</f>
        <v>Ռեյչել, Մոնիկա, Ֆիբի, Չենդլեր, Ջոյ և Ռոս</v>
      </c>
    </row>
    <row r="8188">
      <c r="A8188" s="5" t="s">
        <v>7915</v>
      </c>
      <c r="B8188" s="5" t="s">
        <v>7916</v>
      </c>
      <c r="C8188" s="5" t="str">
        <f>IFERROR(__xludf.DUMMYFUNCTION("GOOGLETRANSLATE(A8188,""en"",""hy"")"),"Քանի՞ ոսկոր կա մարդու մարմնում:")</f>
        <v>Քանի՞ ոսկոր կա մարդու մարմնում:</v>
      </c>
      <c r="D8188" s="6" t="str">
        <f>IFERROR(__xludf.DUMMYFUNCTION("GOOGLETRANSLATE(B8188,""en"",""hy"")"),"Մարդու մարմնում կա 206 ոսկոր։")</f>
        <v>Մարդու մարմնում կա 206 ոսկոր։</v>
      </c>
    </row>
    <row r="8189">
      <c r="A8189" s="5" t="s">
        <v>7780</v>
      </c>
      <c r="B8189" s="5" t="s">
        <v>2951</v>
      </c>
      <c r="C8189" s="5" t="str">
        <f>IFERROR(__xludf.DUMMYFUNCTION("GOOGLETRANSLATE(A8189,""en"",""hy"")"),"Ո՞րն է Կանադայի մայրաքաղաքը:")</f>
        <v>Ո՞րն է Կանադայի մայրաքաղաքը:</v>
      </c>
      <c r="D8189" s="6" t="str">
        <f>IFERROR(__xludf.DUMMYFUNCTION("GOOGLETRANSLATE(B8189,""en"",""hy"")"),"Օտտավա.")</f>
        <v>Օտտավա.</v>
      </c>
    </row>
    <row r="8190">
      <c r="A8190" s="5" t="s">
        <v>7773</v>
      </c>
      <c r="B8190" s="5" t="s">
        <v>8253</v>
      </c>
      <c r="C8190" s="5" t="str">
        <f>IFERROR(__xludf.DUMMYFUNCTION("GOOGLETRANSLATE(A8190,""en"",""hy"")"),"Ո՞վ է հայտնաբերել պենիցիլինը:")</f>
        <v>Ո՞վ է հայտնաբերել պենիցիլինը:</v>
      </c>
      <c r="D8190" s="6" t="str">
        <f>IFERROR(__xludf.DUMMYFUNCTION("GOOGLETRANSLATE(B8190,""en"",""hy"")"),"Ալեքսանդր Ֆլեմինգ.")</f>
        <v>Ալեքսանդր Ֆլեմինգ.</v>
      </c>
    </row>
    <row r="8191">
      <c r="A8191" s="5" t="s">
        <v>7452</v>
      </c>
      <c r="B8191" s="5" t="s">
        <v>7453</v>
      </c>
      <c r="C8191" s="5" t="str">
        <f>IFERROR(__xludf.DUMMYFUNCTION("GOOGLETRANSLATE(A8191,""en"",""hy"")"),"Ո՞րն է ոսկու քիմիական նշանը:")</f>
        <v>Ո՞րն է ոսկու քիմիական նշանը:</v>
      </c>
      <c r="D8191" s="6" t="str">
        <f>IFERROR(__xludf.DUMMYFUNCTION("GOOGLETRANSLATE(B8191,""en"",""hy"")"),"Ոսկու քիմիական նշանը Au-ն է:")</f>
        <v>Ոսկու քիմիական նշանը Au-ն է:</v>
      </c>
    </row>
    <row r="8192">
      <c r="A8192" s="5" t="s">
        <v>7640</v>
      </c>
      <c r="B8192" s="5" t="s">
        <v>1016</v>
      </c>
      <c r="C8192" s="5" t="str">
        <f>IFERROR(__xludf.DUMMYFUNCTION("GOOGLETRANSLATE(A8192,""en"",""hy"")"),"Ո՞վ է գրել «Ռոմեո և Ջուլիետ» պիեսը:")</f>
        <v>Ո՞վ է գրել «Ռոմեո և Ջուլիետ» պիեսը:</v>
      </c>
      <c r="D8192" s="6" t="str">
        <f>IFERROR(__xludf.DUMMYFUNCTION("GOOGLETRANSLATE(B8192,""en"",""hy"")"),"Ուիլյամ Շեքսպիր.")</f>
        <v>Ուիլյամ Շեքսպիր.</v>
      </c>
    </row>
    <row r="8193">
      <c r="A8193" s="5" t="s">
        <v>7463</v>
      </c>
      <c r="B8193" s="5" t="s">
        <v>7464</v>
      </c>
      <c r="C8193" s="5" t="str">
        <f>IFERROR(__xludf.DUMMYFUNCTION("GOOGLETRANSLATE(A8193,""en"",""hy"")"),"Ո՞րն է աշխարհի ամենաբարձր լեռը:")</f>
        <v>Ո՞րն է աշխարհի ամենաբարձր լեռը:</v>
      </c>
      <c r="D8193" s="6" t="str">
        <f>IFERROR(__xludf.DUMMYFUNCTION("GOOGLETRANSLATE(B8193,""en"",""hy"")"),"Էվերեստ լեռ.")</f>
        <v>Էվերեստ լեռ.</v>
      </c>
    </row>
    <row r="8194">
      <c r="A8194" s="5" t="s">
        <v>7920</v>
      </c>
      <c r="B8194" s="5" t="s">
        <v>7921</v>
      </c>
      <c r="C8194" s="5" t="str">
        <f>IFERROR(__xludf.DUMMYFUNCTION("GOOGLETRANSLATE(A8194,""en"",""hy"")"),"Ո՞ր երկրում է գտնվում Թաջ Մահալը:")</f>
        <v>Ո՞ր երկրում է գտնվում Թաջ Մահալը:</v>
      </c>
      <c r="D8194" s="6" t="str">
        <f>IFERROR(__xludf.DUMMYFUNCTION("GOOGLETRANSLATE(B8194,""en"",""hy"")"),"Հնդկաստան.")</f>
        <v>Հնդկաստան.</v>
      </c>
    </row>
    <row r="8195">
      <c r="A8195" s="5" t="s">
        <v>7939</v>
      </c>
      <c r="B8195" s="5" t="s">
        <v>7940</v>
      </c>
      <c r="C8195" s="5" t="str">
        <f>IFERROR(__xludf.DUMMYFUNCTION("GOOGLETRANSLATE(A8195,""en"",""hy"")"),"Քանի՞ մայրցամաք կա աշխարհում:")</f>
        <v>Քանի՞ մայրցամաք կա աշխարհում:</v>
      </c>
      <c r="D8195" s="6" t="str">
        <f>IFERROR(__xludf.DUMMYFUNCTION("GOOGLETRANSLATE(B8195,""en"",""hy"")"),"Աշխարհում կան յոթ մայրցամաքներ։")</f>
        <v>Աշխարհում կան յոթ մայրցամաքներ։</v>
      </c>
    </row>
    <row r="8196">
      <c r="A8196" s="5" t="s">
        <v>7926</v>
      </c>
      <c r="B8196" s="5" t="s">
        <v>8960</v>
      </c>
      <c r="C8196" s="5" t="str">
        <f>IFERROR(__xludf.DUMMYFUNCTION("GOOGLETRANSLATE(A8196,""en"",""hy"")"),"Ո՞վ էր առաջին մարդը, ով քայլեց լուսնի վրա:")</f>
        <v>Ո՞վ էր առաջին մարդը, ով քայլեց լուսնի վրա:</v>
      </c>
      <c r="D8196" s="6" t="str">
        <f>IFERROR(__xludf.DUMMYFUNCTION("GOOGLETRANSLATE(B8196,""en"",""hy"")"),"Նիլ Արմսթրոնգ")</f>
        <v>Նիլ Արմսթրոնգ</v>
      </c>
    </row>
    <row r="8197">
      <c r="A8197" s="5" t="s">
        <v>8414</v>
      </c>
      <c r="B8197" s="5" t="s">
        <v>9755</v>
      </c>
      <c r="C8197" s="5" t="str">
        <f>IFERROR(__xludf.DUMMYFUNCTION("GOOGLETRANSLATE(A8197,""en"",""hy"")"),"Քանի՞ խաղացող կա բասկետբոլի թիմում:")</f>
        <v>Քանի՞ խաղացող կա բասկետբոլի թիմում:</v>
      </c>
      <c r="D8197" s="6" t="str">
        <f>IFERROR(__xludf.DUMMYFUNCTION("GOOGLETRANSLATE(B8197,""en"",""hy"")"),"Բասկետբոլի թիմում սովորաբար հինգ խաղացող կա:")</f>
        <v>Բասկետբոլի թիմում սովորաբար հինգ խաղացող կա:</v>
      </c>
    </row>
    <row r="8198">
      <c r="A8198" s="5" t="s">
        <v>7455</v>
      </c>
      <c r="B8198" s="5" t="s">
        <v>7646</v>
      </c>
      <c r="C8198" s="5" t="str">
        <f>IFERROR(__xludf.DUMMYFUNCTION("GOOGLETRANSLATE(A8198,""en"",""hy"")"),"Ո՞րն է աշխարհի ամենամեծ օվկիանոսը:")</f>
        <v>Ո՞րն է աշխարհի ամենամեծ օվկիանոսը:</v>
      </c>
      <c r="D8198" s="6" t="str">
        <f>IFERROR(__xludf.DUMMYFUNCTION("GOOGLETRANSLATE(B8198,""en"",""hy"")"),"Խաղաղ օվկիանոս.")</f>
        <v>Խաղաղ օվկիանոս.</v>
      </c>
    </row>
    <row r="8199">
      <c r="A8199" s="5" t="s">
        <v>7483</v>
      </c>
      <c r="B8199" s="5" t="s">
        <v>8295</v>
      </c>
      <c r="C8199" s="5" t="str">
        <f>IFERROR(__xludf.DUMMYFUNCTION("GOOGLETRANSLATE(A8199,""en"",""hy"")"),"Ո՞րն է ջրի քիմիական բանաձևը:")</f>
        <v>Ո՞րն է ջրի քիմիական բանաձևը:</v>
      </c>
      <c r="D8199" s="6" t="str">
        <f>IFERROR(__xludf.DUMMYFUNCTION("GOOGLETRANSLATE(B8199,""en"",""hy"")"),"H2O")</f>
        <v>H2O</v>
      </c>
    </row>
    <row r="8200">
      <c r="A8200" s="5" t="s">
        <v>7479</v>
      </c>
      <c r="B8200" s="5" t="s">
        <v>1996</v>
      </c>
      <c r="C8200" s="5" t="str">
        <f>IFERROR(__xludf.DUMMYFUNCTION("GOOGLETRANSLATE(A8200,""en"",""hy"")"),"Ո՞վ է Միացյալ Թագավորության ներկայիս վարչապետը:")</f>
        <v>Ո՞վ է Միացյալ Թագավորության ներկայիս վարչապետը:</v>
      </c>
      <c r="D8200" s="6" t="str">
        <f>IFERROR(__xludf.DUMMYFUNCTION("GOOGLETRANSLATE(B8200,""en"",""hy"")"),"Բորիս Ջոնսոն.")</f>
        <v>Բորիս Ջոնսոն.</v>
      </c>
    </row>
    <row r="8201">
      <c r="A8201" s="5" t="s">
        <v>7450</v>
      </c>
      <c r="B8201" s="5" t="s">
        <v>9096</v>
      </c>
      <c r="C8201" s="5" t="str">
        <f>IFERROR(__xludf.DUMMYFUNCTION("GOOGLETRANSLATE(A8201,""en"",""hy"")"),"Ո՞րն է Ավստրալիայի մայրաքաղաքը:")</f>
        <v>Ո՞րն է Ավստրալիայի մայրաքաղաքը:</v>
      </c>
      <c r="D8201" s="6" t="str">
        <f>IFERROR(__xludf.DUMMYFUNCTION("GOOGLETRANSLATE(B8201,""en"",""hy"")"),"Կանբերա")</f>
        <v>Կանբերա</v>
      </c>
    </row>
    <row r="8202">
      <c r="A8202" s="5" t="s">
        <v>8129</v>
      </c>
      <c r="B8202" s="5" t="s">
        <v>8130</v>
      </c>
      <c r="C8202" s="5" t="str">
        <f>IFERROR(__xludf.DUMMYFUNCTION("GOOGLETRANSLATE(A8202,""en"",""hy"")"),"Քանի՞ ժամային գոտի կա աշխարհում:")</f>
        <v>Քանի՞ ժամային գոտի կա աշխարհում:</v>
      </c>
      <c r="D8202" s="6" t="str">
        <f>IFERROR(__xludf.DUMMYFUNCTION("GOOGLETRANSLATE(B8202,""en"",""hy"")"),"Աշխարհում կա 24 ժամային գոտի:")</f>
        <v>Աշխարհում կա 24 ժամային գոտի:</v>
      </c>
    </row>
    <row r="8203">
      <c r="A8203" s="5" t="s">
        <v>7534</v>
      </c>
      <c r="B8203" s="5" t="s">
        <v>7535</v>
      </c>
      <c r="C8203" s="5" t="str">
        <f>IFERROR(__xludf.DUMMYFUNCTION("GOOGLETRANSLATE(A8203,""en"",""hy"")"),"Ո՞վ է հորինել հեռախոսը:")</f>
        <v>Ո՞վ է հորինել հեռախոսը:</v>
      </c>
      <c r="D8203" s="6" t="str">
        <f>IFERROR(__xludf.DUMMYFUNCTION("GOOGLETRANSLATE(B8203,""en"",""hy"")"),"Ալեքսանդր Գրեհեմ Բել.")</f>
        <v>Ալեքսանդր Գրեհեմ Բել.</v>
      </c>
    </row>
    <row r="8204">
      <c r="A8204" s="5" t="s">
        <v>7473</v>
      </c>
      <c r="B8204" s="5" t="s">
        <v>7474</v>
      </c>
      <c r="C8204" s="5" t="str">
        <f>IFERROR(__xludf.DUMMYFUNCTION("GOOGLETRANSLATE(A8204,""en"",""hy"")"),"Ո՞վ է նկարել Սիքստինյան կապելլայի առաստաղը:")</f>
        <v>Ո՞վ է նկարել Սիքստինյան կապելլայի առաստաղը:</v>
      </c>
      <c r="D8204" s="6" t="str">
        <f>IFERROR(__xludf.DUMMYFUNCTION("GOOGLETRANSLATE(B8204,""en"",""hy"")"),"Միքելանջելո.")</f>
        <v>Միքելանջելո.</v>
      </c>
    </row>
    <row r="8205">
      <c r="A8205" s="5" t="s">
        <v>7471</v>
      </c>
      <c r="B8205" s="5" t="s">
        <v>7472</v>
      </c>
      <c r="C8205" s="5" t="str">
        <f>IFERROR(__xludf.DUMMYFUNCTION("GOOGLETRANSLATE(A8205,""en"",""hy"")"),"Ո՞րն է Երկրի ամենամեծ կենդանին:")</f>
        <v>Ո՞րն է Երկրի ամենամեծ կենդանին:</v>
      </c>
      <c r="D8205" s="6" t="str">
        <f>IFERROR(__xludf.DUMMYFUNCTION("GOOGLETRANSLATE(B8205,""en"",""hy"")"),"Կապույտ կետը.")</f>
        <v>Կապույտ կետը.</v>
      </c>
    </row>
    <row r="8206">
      <c r="A8206" s="5" t="s">
        <v>9756</v>
      </c>
      <c r="B8206" s="5" t="s">
        <v>9757</v>
      </c>
      <c r="C8206" s="5" t="str">
        <f>IFERROR(__xludf.DUMMYFUNCTION("GOOGLETRANSLATE(A8206,""en"",""hy"")"),"Ո՞րն է քիմիական տարրը, որը ներկայացված է Fe նշանով:")</f>
        <v>Ո՞րն է քիմիական տարրը, որը ներկայացված է Fe նշանով:</v>
      </c>
      <c r="D8206" s="6" t="str">
        <f>IFERROR(__xludf.DUMMYFUNCTION("GOOGLETRANSLATE(B8206,""en"",""hy"")"),"Երկաթ.")</f>
        <v>Երկաթ.</v>
      </c>
    </row>
    <row r="8207">
      <c r="A8207" s="5" t="s">
        <v>7504</v>
      </c>
      <c r="B8207" s="5" t="s">
        <v>8097</v>
      </c>
      <c r="C8207" s="5" t="str">
        <f>IFERROR(__xludf.DUMMYFUNCTION("GOOGLETRANSLATE(A8207,""en"",""hy"")"),"Ո՞վ է Միացյալ Նահանգների ներկայիս նախագահը:")</f>
        <v>Ո՞վ է Միացյալ Նահանգների ներկայիս նախագահը:</v>
      </c>
      <c r="D8207" s="6" t="str">
        <f>IFERROR(__xludf.DUMMYFUNCTION("GOOGLETRANSLATE(B8207,""en"",""hy"")"),"Ջո Բայդեն")</f>
        <v>Ջո Բայդեն</v>
      </c>
    </row>
    <row r="8208">
      <c r="A8208" s="5" t="s">
        <v>8262</v>
      </c>
      <c r="B8208" s="5" t="s">
        <v>8837</v>
      </c>
      <c r="C8208" s="5" t="str">
        <f>IFERROR(__xludf.DUMMYFUNCTION("GOOGLETRANSLATE(A8208,""en"",""hy"")"),"Ո՞րն է Ճապոնիայի պաշտոնական լեզուն:")</f>
        <v>Ո՞րն է Ճապոնիայի պաշտոնական լեզուն:</v>
      </c>
      <c r="D8208" s="6" t="str">
        <f>IFERROR(__xludf.DUMMYFUNCTION("GOOGLETRANSLATE(B8208,""en"",""hy"")"),"Ճապոնիայի պաշտոնական լեզուն ճապոներենն է։")</f>
        <v>Ճապոնիայի պաշտոնական լեզուն ճապոներենն է։</v>
      </c>
    </row>
    <row r="8209">
      <c r="A8209" s="5" t="s">
        <v>7779</v>
      </c>
      <c r="B8209" s="5" t="s">
        <v>7446</v>
      </c>
      <c r="C8209" s="5" t="str">
        <f>IFERROR(__xludf.DUMMYFUNCTION("GOOGLETRANSLATE(A8209,""en"",""hy"")"),"Ո՞ր մոլորակն է հայտնի որպես «Կարմիր մոլորակ»:")</f>
        <v>Ո՞ր մոլորակն է հայտնի որպես «Կարմիր մոլորակ»:</v>
      </c>
      <c r="D8209" s="6" t="str">
        <f>IFERROR(__xludf.DUMMYFUNCTION("GOOGLETRANSLATE(B8209,""en"",""hy"")"),"Մարս.")</f>
        <v>Մարս.</v>
      </c>
    </row>
    <row r="8210">
      <c r="A8210" s="5" t="s">
        <v>8020</v>
      </c>
      <c r="B8210" s="5" t="s">
        <v>7961</v>
      </c>
      <c r="C8210" s="5" t="str">
        <f>IFERROR(__xludf.DUMMYFUNCTION("GOOGLETRANSLATE(A8210,""en"",""hy"")"),"Ո՞ր թվականին է խորտակվել Տիտանիկը:")</f>
        <v>Ո՞ր թվականին է խորտակվել Տիտանիկը:</v>
      </c>
      <c r="D8210" s="6" t="str">
        <f>IFERROR(__xludf.DUMMYFUNCTION("GOOGLETRANSLATE(B8210,""en"",""hy"")"),"Տիտանիկը խորտակվել է 1912 թվականին։")</f>
        <v>Տիտանիկը խորտակվել է 1912 թվականին։</v>
      </c>
    </row>
    <row r="8211">
      <c r="A8211" s="5" t="s">
        <v>9360</v>
      </c>
      <c r="B8211" s="5" t="s">
        <v>7444</v>
      </c>
      <c r="C8211" s="5" t="str">
        <f>IFERROR(__xludf.DUMMYFUNCTION("GOOGLETRANSLATE(A8211,""en"",""hy"")"),"Ո՞վ է «1984»-ի հեղինակը.")</f>
        <v>Ո՞վ է «1984»-ի հեղինակը.</v>
      </c>
      <c r="D8211" s="6" t="str">
        <f>IFERROR(__xludf.DUMMYFUNCTION("GOOGLETRANSLATE(B8211,""en"",""hy"")"),"Ջորջ Օրուել.")</f>
        <v>Ջորջ Օրուել.</v>
      </c>
    </row>
    <row r="8212">
      <c r="A8212" s="5" t="s">
        <v>7872</v>
      </c>
      <c r="B8212" s="5" t="s">
        <v>1307</v>
      </c>
      <c r="C8212" s="5" t="str">
        <f>IFERROR(__xludf.DUMMYFUNCTION("GOOGLETRANSLATE(A8212,""en"",""hy"")"),"Ո՞րն է Իսպանիայի մայրաքաղաքը:")</f>
        <v>Ո՞րն է Իսպանիայի մայրաքաղաքը:</v>
      </c>
      <c r="D8212" s="6" t="str">
        <f>IFERROR(__xludf.DUMMYFUNCTION("GOOGLETRANSLATE(B8212,""en"",""hy"")"),"Մադրիդ.")</f>
        <v>Մադրիդ.</v>
      </c>
    </row>
    <row r="8213">
      <c r="A8213" s="5" t="s">
        <v>8676</v>
      </c>
      <c r="B8213" s="5" t="s">
        <v>9384</v>
      </c>
      <c r="C8213" s="5" t="str">
        <f>IFERROR(__xludf.DUMMYFUNCTION("GOOGLETRANSLATE(A8213,""en"",""hy"")"),"Ո՞րն է շոկոլադի հիմնական բաղադրիչը:")</f>
        <v>Ո՞րն է շոկոլադի հիմնական բաղադրիչը:</v>
      </c>
      <c r="D8213" s="6" t="str">
        <f>IFERROR(__xludf.DUMMYFUNCTION("GOOGLETRANSLATE(B8213,""en"",""hy"")"),"Կակաոյի հատիկներ.")</f>
        <v>Կակաոյի հատիկներ.</v>
      </c>
    </row>
    <row r="8214">
      <c r="A8214" s="5" t="s">
        <v>7966</v>
      </c>
      <c r="B8214" s="5" t="s">
        <v>7967</v>
      </c>
      <c r="C8214" s="5" t="str">
        <f>IFERROR(__xludf.DUMMYFUNCTION("GOOGLETRANSLATE(A8214,""en"",""hy"")"),"Ո՞վ է եղել առաջին կինը, ով Նոբելյան մրցանակ է ստացել:")</f>
        <v>Ո՞վ է եղել առաջին կինը, ով Նոբելյան մրցանակ է ստացել:</v>
      </c>
      <c r="D8214" s="6" t="str">
        <f>IFERROR(__xludf.DUMMYFUNCTION("GOOGLETRANSLATE(B8214,""en"",""hy"")"),"Մարի Կյուրի.")</f>
        <v>Մարի Կյուրի.</v>
      </c>
    </row>
    <row r="8215">
      <c r="A8215" s="5" t="s">
        <v>7502</v>
      </c>
      <c r="B8215" s="5" t="s">
        <v>7503</v>
      </c>
      <c r="C8215" s="5" t="str">
        <f>IFERROR(__xludf.DUMMYFUNCTION("GOOGLETRANSLATE(A8215,""en"",""hy"")"),"Քանի՞ կողմ ունի վեցանկյունը:")</f>
        <v>Քանի՞ կողմ ունի վեցանկյունը:</v>
      </c>
      <c r="D8215" s="6" t="str">
        <f>IFERROR(__xludf.DUMMYFUNCTION("GOOGLETRANSLATE(B8215,""en"",""hy"")"),"Վեցանկյունն ունի վեց կողմ:")</f>
        <v>Վեցանկյունն ունի վեց կողմ:</v>
      </c>
    </row>
    <row r="8216">
      <c r="A8216" s="5" t="s">
        <v>9758</v>
      </c>
      <c r="B8216" s="5" t="s">
        <v>8958</v>
      </c>
      <c r="C8216" s="5" t="str">
        <f>IFERROR(__xludf.DUMMYFUNCTION("GOOGLETRANSLATE(A8216,""en"",""hy"")"),"Անվանեք երեք հիմնական գույներ:")</f>
        <v>Անվանեք երեք հիմնական գույներ:</v>
      </c>
      <c r="D8216" s="6" t="str">
        <f>IFERROR(__xludf.DUMMYFUNCTION("GOOGLETRANSLATE(B8216,""en"",""hy"")"),"Երեք հիմնական գույներն են կարմիր, կապույտ և դեղին:")</f>
        <v>Երեք հիմնական գույներն են կարմիր, կապույտ և դեղին:</v>
      </c>
    </row>
    <row r="8217">
      <c r="A8217" s="5" t="s">
        <v>7838</v>
      </c>
      <c r="B8217" s="5" t="s">
        <v>7648</v>
      </c>
      <c r="C8217" s="5" t="str">
        <f>IFERROR(__xludf.DUMMYFUNCTION("GOOGLETRANSLATE(A8217,""en"",""hy"")"),"Ո՞վ է նկարել «Աստղային գիշերը»:")</f>
        <v>Ո՞վ է նկարել «Աստղային գիշերը»:</v>
      </c>
      <c r="D8217" s="6" t="str">
        <f>IFERROR(__xludf.DUMMYFUNCTION("GOOGLETRANSLATE(B8217,""en"",""hy"")"),"Վինսենթ վան Գոգ.")</f>
        <v>Վինսենթ վան Գոգ.</v>
      </c>
    </row>
    <row r="8218">
      <c r="A8218" s="5" t="s">
        <v>9759</v>
      </c>
      <c r="B8218" s="5" t="s">
        <v>7921</v>
      </c>
      <c r="C8218" s="5" t="str">
        <f>IFERROR(__xludf.DUMMYFUNCTION("GOOGLETRANSLATE(A8218,""en"",""hy"")"),"Ո՞ր երկրում է հորինվել շախմատի խաղը:")</f>
        <v>Ո՞ր երկրում է հորինվել շախմատի խաղը:</v>
      </c>
      <c r="D8218" s="6" t="str">
        <f>IFERROR(__xludf.DUMMYFUNCTION("GOOGLETRANSLATE(B8218,""en"",""hy"")"),"Հնդկաստան.")</f>
        <v>Հնդկաստան.</v>
      </c>
    </row>
    <row r="8219">
      <c r="A8219" s="5" t="s">
        <v>7674</v>
      </c>
      <c r="B8219" s="5" t="s">
        <v>7675</v>
      </c>
      <c r="C8219" s="5" t="str">
        <f>IFERROR(__xludf.DUMMYFUNCTION("GOOGLETRANSLATE(A8219,""en"",""hy"")"),"Ո՞վ է հունական ծովի աստվածը:")</f>
        <v>Ո՞վ է հունական ծովի աստվածը:</v>
      </c>
      <c r="D8219" s="6" t="str">
        <f>IFERROR(__xludf.DUMMYFUNCTION("GOOGLETRANSLATE(B8219,""en"",""hy"")"),"Պոսեյդոն.")</f>
        <v>Պոսեյդոն.</v>
      </c>
    </row>
    <row r="8220">
      <c r="A8220" s="5" t="s">
        <v>7665</v>
      </c>
      <c r="B8220" s="5" t="s">
        <v>7781</v>
      </c>
      <c r="C8220" s="5" t="str">
        <f>IFERROR(__xludf.DUMMYFUNCTION("GOOGLETRANSLATE(A8220,""en"",""hy"")"),"Ո՞րն է նատրիումի քիմիական նշանը:")</f>
        <v>Ո՞րն է նատրիումի քիմիական նշանը:</v>
      </c>
      <c r="D8220" s="6" t="str">
        <f>IFERROR(__xludf.DUMMYFUNCTION("GOOGLETRANSLATE(B8220,""en"",""hy"")"),"Նատրիումի քիմիական նշանը Na է:")</f>
        <v>Նատրիումի քիմիական նշանը Na է:</v>
      </c>
    </row>
    <row r="8221">
      <c r="A8221" s="5" t="s">
        <v>7849</v>
      </c>
      <c r="B8221" s="5" t="s">
        <v>7541</v>
      </c>
      <c r="C8221" s="5" t="str">
        <f>IFERROR(__xludf.DUMMYFUNCTION("GOOGLETRANSLATE(A8221,""en"",""hy"")"),"Ո՞վ է գրել «Սպանել ծաղրող թռչունին» վեպը:")</f>
        <v>Ո՞վ է գրել «Սպանել ծաղրող թռչունին» վեպը:</v>
      </c>
      <c r="D8221" s="6" t="str">
        <f>IFERROR(__xludf.DUMMYFUNCTION("GOOGLETRANSLATE(B8221,""en"",""hy"")"),"Հարփեր Լի.")</f>
        <v>Հարփեր Լի.</v>
      </c>
    </row>
    <row r="8222">
      <c r="A8222" s="5" t="s">
        <v>7553</v>
      </c>
      <c r="B8222" s="5" t="s">
        <v>7554</v>
      </c>
      <c r="C8222" s="5" t="str">
        <f>IFERROR(__xludf.DUMMYFUNCTION("GOOGLETRANSLATE(A8222,""en"",""hy"")"),"Ո՞րն է Հարավային Աֆրիկայի մայրաքաղաքը:")</f>
        <v>Ո՞րն է Հարավային Աֆրիկայի մայրաքաղաքը:</v>
      </c>
      <c r="D8222" s="6" t="str">
        <f>IFERROR(__xludf.DUMMYFUNCTION("GOOGLETRANSLATE(B8222,""en"",""hy"")"),"Պրետորիա.")</f>
        <v>Պրետորիա.</v>
      </c>
    </row>
    <row r="8223">
      <c r="A8223" s="5" t="s">
        <v>7969</v>
      </c>
      <c r="B8223" s="5" t="s">
        <v>7970</v>
      </c>
      <c r="C8223" s="5" t="str">
        <f>IFERROR(__xludf.DUMMYFUNCTION("GOOGLETRANSLATE(A8223,""en"",""hy"")"),"Քանի՞ ոսկոր կա մարդու գանգում:")</f>
        <v>Քանի՞ ոսկոր կա մարդու գանգում:</v>
      </c>
      <c r="D8223" s="6" t="str">
        <f>IFERROR(__xludf.DUMMYFUNCTION("GOOGLETRANSLATE(B8223,""en"",""hy"")"),"Մարդու գանգում կա 22 ոսկոր։")</f>
        <v>Մարդու գանգում կա 22 ոսկոր։</v>
      </c>
    </row>
    <row r="8224">
      <c r="A8224" s="5" t="s">
        <v>7528</v>
      </c>
      <c r="B8224" s="5" t="s">
        <v>7529</v>
      </c>
      <c r="C8224" s="5" t="str">
        <f>IFERROR(__xludf.DUMMYFUNCTION("GOOGLETRANSLATE(A8224,""en"",""hy"")"),"Ո՞վ է Գերմանիայի ներկայիս կանցլերը:")</f>
        <v>Ո՞վ է Գերմանիայի ներկայիս կանցլերը:</v>
      </c>
      <c r="D8224" s="6" t="str">
        <f>IFERROR(__xludf.DUMMYFUNCTION("GOOGLETRANSLATE(B8224,""en"",""hy"")"),"Անգելա Մերկել.")</f>
        <v>Անգելա Մերկել.</v>
      </c>
    </row>
    <row r="8225">
      <c r="A8225" s="5" t="s">
        <v>9760</v>
      </c>
      <c r="B8225" s="5" t="s">
        <v>9761</v>
      </c>
      <c r="C8225" s="5" t="str">
        <f>IFERROR(__xludf.DUMMYFUNCTION("GOOGLETRANSLATE(A8225,""en"",""hy"")"),"Ո՞ր երկու գազերն են կազմում Երկրի մթնոլորտի մեծ մասը:")</f>
        <v>Ո՞ր երկու գազերն են կազմում Երկրի մթնոլորտի մեծ մասը:</v>
      </c>
      <c r="D8225" s="6" t="str">
        <f>IFERROR(__xludf.DUMMYFUNCTION("GOOGLETRANSLATE(B8225,""en"",""hy"")"),"Ազոտ և թթվածին.")</f>
        <v>Ազոտ և թթվածին.</v>
      </c>
    </row>
    <row r="8226">
      <c r="A8226" s="5" t="s">
        <v>8223</v>
      </c>
      <c r="B8226" s="5" t="s">
        <v>9214</v>
      </c>
      <c r="C8226" s="5" t="str">
        <f>IFERROR(__xludf.DUMMYFUNCTION("GOOGLETRANSLATE(A8226,""en"",""hy"")"),"Ո՞վ է հայտնաբերել էլեկտրաէներգիան:")</f>
        <v>Ո՞վ է հայտնաբերել էլեկտրաէներգիան:</v>
      </c>
      <c r="D8226" s="6" t="str">
        <f>IFERROR(__xludf.DUMMYFUNCTION("GOOGLETRANSLATE(B8226,""en"",""hy"")"),"Բենջամին Ֆրանկլին.")</f>
        <v>Բենջամին Ֆրանկլին.</v>
      </c>
    </row>
    <row r="8227">
      <c r="A8227" s="5" t="s">
        <v>7782</v>
      </c>
      <c r="B8227" s="5" t="s">
        <v>9634</v>
      </c>
      <c r="C8227" s="5" t="str">
        <f>IFERROR(__xludf.DUMMYFUNCTION("GOOGLETRANSLATE(A8227,""en"",""hy"")"),"Ո՞րն է աշխարհի ամենամեծ անապատը:")</f>
        <v>Ո՞րն է աշխարհի ամենամեծ անապատը:</v>
      </c>
      <c r="D8227" s="6" t="str">
        <f>IFERROR(__xludf.DUMMYFUNCTION("GOOGLETRANSLATE(B8227,""en"",""hy"")"),"Աշխարհի ամենամեծ անապատը Անտարկտիդայի անապատն է:")</f>
        <v>Աշխարհի ամենամեծ անապատը Անտարկտիդայի անապատն է:</v>
      </c>
    </row>
    <row r="8228">
      <c r="A8228" s="5" t="s">
        <v>8181</v>
      </c>
      <c r="B8228" s="5" t="s">
        <v>8100</v>
      </c>
      <c r="C8228" s="5" t="str">
        <f>IFERROR(__xludf.DUMMYFUNCTION("GOOGLETRANSLATE(A8228,""en"",""hy"")"),"Քանի՞ մոլորակ կա մեր արեգակնային համակարգում:")</f>
        <v>Քանի՞ մոլորակ կա մեր արեգակնային համակարգում:</v>
      </c>
      <c r="D8228" s="6" t="str">
        <f>IFERROR(__xludf.DUMMYFUNCTION("GOOGLETRANSLATE(B8228,""en"",""hy"")"),"Մեր Արեգակնային համակարգում կա ութ մոլորակ:")</f>
        <v>Մեր Արեգակնային համակարգում կա ութ մոլորակ:</v>
      </c>
    </row>
    <row r="8229">
      <c r="A8229" s="5" t="s">
        <v>7660</v>
      </c>
      <c r="B8229" s="5" t="s">
        <v>7661</v>
      </c>
      <c r="C8229" s="5" t="str">
        <f>IFERROR(__xludf.DUMMYFUNCTION("GOOGLETRANSLATE(A8229,""en"",""hy"")"),"Ո՞վ է «Մեծն Գեթսբիի» հեղինակը.")</f>
        <v>Ո՞վ է «Մեծն Գեթսբիի» հեղինակը.</v>
      </c>
      <c r="D8229" s="6" t="str">
        <f>IFERROR(__xludf.DUMMYFUNCTION("GOOGLETRANSLATE(B8229,""en"",""hy"")"),"F. Scott Fitzgerald.")</f>
        <v>F. Scott Fitzgerald.</v>
      </c>
    </row>
    <row r="8230">
      <c r="A8230" s="5" t="s">
        <v>7903</v>
      </c>
      <c r="B8230" s="5" t="s">
        <v>8261</v>
      </c>
      <c r="C8230" s="5" t="str">
        <f>IFERROR(__xludf.DUMMYFUNCTION("GOOGLETRANSLATE(A8230,""en"",""hy"")"),"Ո՞րն է Մեքսիկայի մայրաքաղաքը:")</f>
        <v>Ո՞րն է Մեքսիկայի մայրաքաղաքը:</v>
      </c>
      <c r="D8230" s="6" t="str">
        <f>IFERROR(__xludf.DUMMYFUNCTION("GOOGLETRANSLATE(B8230,""en"",""hy"")"),"Մեխիկո Սիթի.")</f>
        <v>Մեխիկո Սիթի.</v>
      </c>
    </row>
    <row r="8231">
      <c r="A8231" s="5" t="s">
        <v>7552</v>
      </c>
      <c r="B8231" s="5" t="s">
        <v>3535</v>
      </c>
      <c r="C8231" s="5" t="str">
        <f>IFERROR(__xludf.DUMMYFUNCTION("GOOGLETRANSLATE(A8231,""en"",""hy"")"),"Ո՞ր երկիրն է հայտնի Մեծ արգելախութով:")</f>
        <v>Ո՞ր երկիրն է հայտնի Մեծ արգելախութով:</v>
      </c>
      <c r="D8231" s="6" t="str">
        <f>IFERROR(__xludf.DUMMYFUNCTION("GOOGLETRANSLATE(B8231,""en"",""hy"")"),"Ավստրալիա.")</f>
        <v>Ավստրալիա.</v>
      </c>
    </row>
    <row r="8232">
      <c r="A8232" s="5" t="s">
        <v>8408</v>
      </c>
      <c r="B8232" s="5" t="s">
        <v>8409</v>
      </c>
      <c r="C8232" s="5" t="str">
        <f>IFERROR(__xludf.DUMMYFUNCTION("GOOGLETRANSLATE(A8232,""en"",""hy"")"),"Քանի՞ ոտք ունի սարդը:")</f>
        <v>Քանի՞ ոտք ունի սարդը:</v>
      </c>
      <c r="D8232" s="6" t="str">
        <f>IFERROR(__xludf.DUMMYFUNCTION("GOOGLETRANSLATE(B8232,""en"",""hy"")"),"Սարդն ունի ութ ոտք:")</f>
        <v>Սարդն ունի ութ ոտք:</v>
      </c>
    </row>
    <row r="8233">
      <c r="A8233" s="5" t="s">
        <v>9762</v>
      </c>
      <c r="B8233" s="5" t="s">
        <v>9763</v>
      </c>
      <c r="C8233" s="5" t="str">
        <f>IFERROR(__xludf.DUMMYFUNCTION("GOOGLETRANSLATE(A8233,""en"",""hy"")"),"Ի՞նչ է քիմիական տարրը, որը ներկայացված է Ag խորհրդանիշով:")</f>
        <v>Ի՞նչ է քիմիական տարրը, որը ներկայացված է Ag խորհրդանիշով:</v>
      </c>
      <c r="D8233" s="6" t="str">
        <f>IFERROR(__xludf.DUMMYFUNCTION("GOOGLETRANSLATE(B8233,""en"",""hy"")"),"Արծաթե")</f>
        <v>Արծաթե</v>
      </c>
    </row>
    <row r="8234">
      <c r="A8234" s="5" t="s">
        <v>8692</v>
      </c>
      <c r="B8234" s="5" t="s">
        <v>9764</v>
      </c>
      <c r="C8234" s="5" t="str">
        <f>IFERROR(__xludf.DUMMYFUNCTION("GOOGLETRANSLATE(A8234,""en"",""hy"")"),"Ո՞վ է եղել առաջինը, ով Նոբելյան մրցանակ է ստացել:")</f>
        <v>Ո՞վ է եղել առաջինը, ով Նոբելյան մրցանակ է ստացել:</v>
      </c>
      <c r="D8234" s="6" t="str">
        <f>IFERROR(__xludf.DUMMYFUNCTION("GOOGLETRANSLATE(B8234,""en"",""hy"")"),"Վիլհելմ Կոնրադ Ռենտգեն.")</f>
        <v>Վիլհելմ Կոնրադ Ռենտգեն.</v>
      </c>
    </row>
    <row r="8235">
      <c r="A8235" s="5" t="s">
        <v>8314</v>
      </c>
      <c r="B8235" s="5" t="s">
        <v>8315</v>
      </c>
      <c r="C8235" s="5" t="str">
        <f>IFERROR(__xludf.DUMMYFUNCTION("GOOGLETRANSLATE(A8235,""en"",""hy"")"),"Ո՞ր տարում ավարտվեց Սառը պատերազմը:")</f>
        <v>Ո՞ր տարում ավարտվեց Սառը պատերազմը:</v>
      </c>
      <c r="D8235" s="6" t="str">
        <f>IFERROR(__xludf.DUMMYFUNCTION("GOOGLETRANSLATE(B8235,""en"",""hy"")"),"Սառը պատերազմն ավարտվեց 1991թ.")</f>
        <v>Սառը պատերազմն ավարտվեց 1991թ.</v>
      </c>
    </row>
    <row r="8236">
      <c r="A8236" s="5" t="s">
        <v>9765</v>
      </c>
      <c r="B8236" s="5" t="s">
        <v>8431</v>
      </c>
      <c r="C8236" s="5" t="str">
        <f>IFERROR(__xludf.DUMMYFUNCTION("GOOGLETRANSLATE(A8236,""en"",""hy"")"),"Ո՞վ է Էյֆելյան աշտարակի ճարտարապետը:")</f>
        <v>Ո՞վ է Էյֆելյան աշտարակի ճարտարապետը:</v>
      </c>
      <c r="D8236" s="6" t="str">
        <f>IFERROR(__xludf.DUMMYFUNCTION("GOOGLETRANSLATE(B8236,""en"",""hy"")"),"Գուստավ Էյֆել.")</f>
        <v>Գուստավ Էյֆել.</v>
      </c>
    </row>
    <row r="8237">
      <c r="A8237" s="5" t="s">
        <v>8172</v>
      </c>
      <c r="B8237" s="5" t="s">
        <v>7733</v>
      </c>
      <c r="C8237" s="5" t="str">
        <f>IFERROR(__xludf.DUMMYFUNCTION("GOOGLETRANSLATE(A8237,""en"",""hy"")"),"Ո՞րն է աշխարհի ամենաբարձր ջրվեժը:")</f>
        <v>Ո՞րն է աշխարհի ամենաբարձր ջրվեժը:</v>
      </c>
      <c r="D8237" s="6" t="str">
        <f>IFERROR(__xludf.DUMMYFUNCTION("GOOGLETRANSLATE(B8237,""en"",""hy"")"),"Angel Falls.")</f>
        <v>Angel Falls.</v>
      </c>
    </row>
    <row r="8238">
      <c r="A8238" s="5" t="s">
        <v>8440</v>
      </c>
      <c r="B8238" s="5" t="s">
        <v>8111</v>
      </c>
      <c r="C8238" s="5" t="str">
        <f>IFERROR(__xludf.DUMMYFUNCTION("GOOGLETRANSLATE(A8238,""en"",""hy"")"),"Քանի՞ խաղացող կա ֆուտբոլային թիմում:")</f>
        <v>Քանի՞ խաղացող կա ֆուտբոլային թիմում:</v>
      </c>
      <c r="D8238" s="6" t="str">
        <f>IFERROR(__xludf.DUMMYFUNCTION("GOOGLETRANSLATE(B8238,""en"",""hy"")"),"Ֆուտբոլային թիմում կա 11 խաղացող։")</f>
        <v>Ֆուտբոլային թիմում կա 11 խաղացող։</v>
      </c>
    </row>
    <row r="8239">
      <c r="A8239" s="5" t="s">
        <v>7589</v>
      </c>
      <c r="B8239" s="5" t="s">
        <v>7545</v>
      </c>
      <c r="C8239" s="5" t="str">
        <f>IFERROR(__xludf.DUMMYFUNCTION("GOOGLETRANSLATE(A8239,""en"",""hy"")"),"Ո՞րն է Իտալիայի մայրաքաղաքը:")</f>
        <v>Ո՞րն է Իտալիայի մայրաքաղաքը:</v>
      </c>
      <c r="D8239" s="6" t="str">
        <f>IFERROR(__xludf.DUMMYFUNCTION("GOOGLETRANSLATE(B8239,""en"",""hy"")"),"Հռոմ.")</f>
        <v>Հռոմ.</v>
      </c>
    </row>
    <row r="8240">
      <c r="A8240" s="5" t="s">
        <v>7601</v>
      </c>
      <c r="B8240" s="5" t="s">
        <v>8838</v>
      </c>
      <c r="C8240" s="5" t="str">
        <f>IFERROR(__xludf.DUMMYFUNCTION("GOOGLETRANSLATE(A8240,""en"",""hy"")"),"Ո՞վ է Ֆրանսիայի ներկայիս նախագահը.")</f>
        <v>Ո՞վ է Ֆրանսիայի ներկայիս նախագահը.</v>
      </c>
      <c r="D8240" s="6" t="str">
        <f>IFERROR(__xludf.DUMMYFUNCTION("GOOGLETRANSLATE(B8240,""en"",""hy"")"),"Ֆրանսիայի ներկայիս նախագահը Էմանուել Մակրոնն է։")</f>
        <v>Ֆրանսիայի ներկայիս նախագահը Էմանուել Մակրոնն է։</v>
      </c>
    </row>
    <row r="8241">
      <c r="A8241" s="5" t="s">
        <v>9314</v>
      </c>
      <c r="B8241" s="5" t="s">
        <v>9315</v>
      </c>
      <c r="C8241" s="5" t="str">
        <f>IFERROR(__xludf.DUMMYFUNCTION("GOOGLETRANSLATE(A8241,""en"",""hy"")"),"Ո՞րն է հիմնական կրոնը Հնդկաստանում:")</f>
        <v>Ո՞րն է հիմնական կրոնը Հնդկաստանում:</v>
      </c>
      <c r="D8241" s="6" t="str">
        <f>IFERROR(__xludf.DUMMYFUNCTION("GOOGLETRANSLATE(B8241,""en"",""hy"")"),"Հինդուիզմ.")</f>
        <v>Հինդուիզմ.</v>
      </c>
    </row>
    <row r="8242">
      <c r="A8242" s="5" t="s">
        <v>9766</v>
      </c>
      <c r="B8242" s="5" t="s">
        <v>9767</v>
      </c>
      <c r="C8242" s="5" t="str">
        <f>IFERROR(__xludf.DUMMYFUNCTION("GOOGLETRANSLATE(A8242,""en"",""hy"")"),"Ո՞ր մոլորակն է հայտնի որպես «Առավոտյան աստղ» կամ «Երեկոյան աստղ»:")</f>
        <v>Ո՞ր մոլորակն է հայտնի որպես «Առավոտյան աստղ» կամ «Երեկոյան աստղ»:</v>
      </c>
      <c r="D8242" s="6" t="str">
        <f>IFERROR(__xludf.DUMMYFUNCTION("GOOGLETRANSLATE(B8242,""en"",""hy"")"),"Վեներա")</f>
        <v>Վեներա</v>
      </c>
    </row>
    <row r="8243">
      <c r="A8243" s="5" t="s">
        <v>8010</v>
      </c>
      <c r="B8243" s="5" t="s">
        <v>9768</v>
      </c>
      <c r="C8243" s="5" t="str">
        <f>IFERROR(__xludf.DUMMYFUNCTION("GOOGLETRANSLATE(A8243,""en"",""hy"")"),"Ո՞վ է գրել «Մոբի-Դիկ» վեպը:")</f>
        <v>Ո՞վ է գրել «Մոբի-Դիկ» վեպը:</v>
      </c>
      <c r="D8243" s="6" t="str">
        <f>IFERROR(__xludf.DUMMYFUNCTION("GOOGLETRANSLATE(B8243,""en"",""hy"")"),"Հերման Մելվիլ")</f>
        <v>Հերման Մելվիլ</v>
      </c>
    </row>
    <row r="8244">
      <c r="A8244" s="5" t="s">
        <v>7699</v>
      </c>
      <c r="B8244" s="5" t="s">
        <v>7700</v>
      </c>
      <c r="C8244" s="5" t="str">
        <f>IFERROR(__xludf.DUMMYFUNCTION("GOOGLETRANSLATE(A8244,""en"",""hy"")"),"Ո՞րն է ածխածնի քիմիական նշանը:")</f>
        <v>Ո՞րն է ածխածնի քիմիական նշանը:</v>
      </c>
      <c r="D8244" s="6" t="str">
        <f>IFERROR(__xludf.DUMMYFUNCTION("GOOGLETRANSLATE(B8244,""en"",""hy"")"),"Ածխածնի քիմիական նշանը C է:")</f>
        <v>Ածխածնի քիմիական նշանը C է:</v>
      </c>
    </row>
    <row r="8245">
      <c r="A8245" s="5" t="s">
        <v>7536</v>
      </c>
      <c r="B8245" s="5" t="s">
        <v>7537</v>
      </c>
      <c r="C8245" s="5" t="str">
        <f>IFERROR(__xludf.DUMMYFUNCTION("GOOGLETRANSLATE(A8245,""en"",""hy"")"),"Ո՞րն է Ռուսաստանի մայրաքաղաքը:")</f>
        <v>Ո՞րն է Ռուսաստանի մայրաքաղաքը:</v>
      </c>
      <c r="D8245" s="6" t="str">
        <f>IFERROR(__xludf.DUMMYFUNCTION("GOOGLETRANSLATE(B8245,""en"",""hy"")"),"Մոսկվա")</f>
        <v>Մոսկվա</v>
      </c>
    </row>
    <row r="8246">
      <c r="A8246" s="5" t="s">
        <v>9641</v>
      </c>
      <c r="B8246" s="5" t="s">
        <v>9121</v>
      </c>
      <c r="C8246" s="5" t="str">
        <f>IFERROR(__xludf.DUMMYFUNCTION("GOOGLETRANSLATE(A8246,""en"",""hy"")"),"Քանի՞ շերտ կա ամերիկյան դրոշի վրա:")</f>
        <v>Քանի՞ շերտ կա ամերիկյան դրոշի վրա:</v>
      </c>
      <c r="D8246" s="6" t="str">
        <f>IFERROR(__xludf.DUMMYFUNCTION("GOOGLETRANSLATE(B8246,""en"",""hy"")"),"Ամերիկյան դրոշի վրա կա 13 գծեր։")</f>
        <v>Ամերիկյան դրոշի վրա կա 13 գծեր։</v>
      </c>
    </row>
    <row r="8247">
      <c r="A8247" s="5" t="s">
        <v>7566</v>
      </c>
      <c r="B8247" s="5" t="s">
        <v>7567</v>
      </c>
      <c r="C8247" s="5" t="str">
        <f>IFERROR(__xludf.DUMMYFUNCTION("GOOGLETRANSLATE(A8247,""en"",""hy"")"),"Ո՞վ է Կանադայի ներկայիս վարչապետը:")</f>
        <v>Ո՞վ է Կանադայի ներկայիս վարչապետը:</v>
      </c>
      <c r="D8247" s="6" t="str">
        <f>IFERROR(__xludf.DUMMYFUNCTION("GOOGLETRANSLATE(B8247,""en"",""hy"")"),"Ջասթին Թրյուդո")</f>
        <v>Ջասթին Թրյուդո</v>
      </c>
    </row>
    <row r="8248">
      <c r="A8248" s="5" t="s">
        <v>7691</v>
      </c>
      <c r="B8248" s="5" t="s">
        <v>7692</v>
      </c>
      <c r="C8248" s="5" t="str">
        <f>IFERROR(__xludf.DUMMYFUNCTION("GOOGLETRANSLATE(A8248,""en"",""hy"")"),"Ո՞րն է Աֆրիկայի ամենամեծ լիճը:")</f>
        <v>Ո՞րն է Աֆրիկայի ամենամեծ լիճը:</v>
      </c>
      <c r="D8248" s="6" t="str">
        <f>IFERROR(__xludf.DUMMYFUNCTION("GOOGLETRANSLATE(B8248,""en"",""hy"")"),"Վիկտորիա լիճ.")</f>
        <v>Վիկտորիա լիճ.</v>
      </c>
    </row>
    <row r="8249">
      <c r="A8249" s="5" t="s">
        <v>7532</v>
      </c>
      <c r="B8249" s="5" t="s">
        <v>7533</v>
      </c>
      <c r="C8249" s="5" t="str">
        <f>IFERROR(__xludf.DUMMYFUNCTION("GOOGLETRANSLATE(A8249,""en"",""hy"")"),"Ո՞րն է սննդի աղի քիմիական բանաձևը:")</f>
        <v>Ո՞րն է սննդի աղի քիմիական բանաձևը:</v>
      </c>
      <c r="D8249" s="6" t="str">
        <f>IFERROR(__xludf.DUMMYFUNCTION("GOOGLETRANSLATE(B8249,""en"",""hy"")"),"Սեղանի աղի քիմիական բանաձևը NaCl է:")</f>
        <v>Սեղանի աղի քիմիական բանաձևը NaCl է:</v>
      </c>
    </row>
    <row r="8250">
      <c r="A8250" s="5" t="s">
        <v>9054</v>
      </c>
      <c r="B8250" s="5" t="s">
        <v>8313</v>
      </c>
      <c r="C8250" s="5" t="str">
        <f>IFERROR(__xludf.DUMMYFUNCTION("GOOGLETRANSLATE(A8250,""en"",""hy"")"),"Ո՞վ է հորինել լույսի լամպը:")</f>
        <v>Ո՞վ է հորինել լույսի լամպը:</v>
      </c>
      <c r="D8250" s="6" t="str">
        <f>IFERROR(__xludf.DUMMYFUNCTION("GOOGLETRANSLATE(B8250,""en"",""hy"")"),"Թոմաս Էդիսոն")</f>
        <v>Թոմաս Էդիսոն</v>
      </c>
    </row>
    <row r="8251">
      <c r="A8251" s="5" t="s">
        <v>9769</v>
      </c>
      <c r="B8251" s="5" t="s">
        <v>7512</v>
      </c>
      <c r="C8251" s="5" t="str">
        <f>IFERROR(__xludf.DUMMYFUNCTION("GOOGLETRANSLATE(A8251,""en"",""hy"")"),"Ո՞ր երկիրն է հայտնի Գիզայի բուրգերով:")</f>
        <v>Ո՞ր երկիրն է հայտնի Գիզայի բուրգերով:</v>
      </c>
      <c r="D8251" s="6" t="str">
        <f>IFERROR(__xludf.DUMMYFUNCTION("GOOGLETRANSLATE(B8251,""en"",""hy"")"),"Եգիպտոս.")</f>
        <v>Եգիպտոս.</v>
      </c>
    </row>
    <row r="8252">
      <c r="A8252" s="5" t="s">
        <v>8187</v>
      </c>
      <c r="B8252" s="5" t="s">
        <v>8188</v>
      </c>
      <c r="C8252" s="5" t="str">
        <f>IFERROR(__xludf.DUMMYFUNCTION("GOOGLETRANSLATE(A8252,""en"",""hy"")"),"Քանի՞ խցիկ ունի մարդու սիրտը:")</f>
        <v>Քանի՞ խցիկ ունի մարդու սիրտը:</v>
      </c>
      <c r="D8252" s="6" t="str">
        <f>IFERROR(__xludf.DUMMYFUNCTION("GOOGLETRANSLATE(B8252,""en"",""hy"")"),"Մարդու սիրտն ունի չորս խցիկ.")</f>
        <v>Մարդու սիրտն ունի չորս խցիկ.</v>
      </c>
    </row>
    <row r="8253">
      <c r="A8253" s="5" t="s">
        <v>7679</v>
      </c>
      <c r="B8253" s="5" t="s">
        <v>7560</v>
      </c>
      <c r="C8253" s="5" t="str">
        <f>IFERROR(__xludf.DUMMYFUNCTION("GOOGLETRANSLATE(A8253,""en"",""hy"")"),"Ո՞վ է «The Catcher in the Rye»-ի հեղինակը.")</f>
        <v>Ո՞վ է «The Catcher in the Rye»-ի հեղինակը.</v>
      </c>
      <c r="D8253" s="6" t="str">
        <f>IFERROR(__xludf.DUMMYFUNCTION("GOOGLETRANSLATE(B8253,""en"",""hy"")"),"Ջ.Դ.Սելինջեր.")</f>
        <v>Ջ.Դ.Սելինջեր.</v>
      </c>
    </row>
    <row r="8254">
      <c r="A8254" s="5" t="s">
        <v>7897</v>
      </c>
      <c r="B8254" s="5" t="s">
        <v>9770</v>
      </c>
      <c r="C8254" s="5" t="str">
        <f>IFERROR(__xludf.DUMMYFUNCTION("GOOGLETRANSLATE(A8254,""en"",""hy"")"),"Ո՞րն է Արգենտինայի մայրաքաղաքը:")</f>
        <v>Ո՞րն է Արգենտինայի մայրաքաղաքը:</v>
      </c>
      <c r="D8254" s="6" t="str">
        <f>IFERROR(__xludf.DUMMYFUNCTION("GOOGLETRANSLATE(B8254,""en"",""hy"")"),"Բուենոս Այրես")</f>
        <v>Բուենոս Այրես</v>
      </c>
    </row>
    <row r="8255">
      <c r="A8255" s="5" t="s">
        <v>8088</v>
      </c>
      <c r="B8255" s="5" t="s">
        <v>8228</v>
      </c>
      <c r="C8255" s="5" t="str">
        <f>IFERROR(__xludf.DUMMYFUNCTION("GOOGLETRANSLATE(A8255,""en"",""hy"")"),"Քանի՞ կողմ ունի հնգանկյունը:")</f>
        <v>Քանի՞ կողմ ունի հնգանկյունը:</v>
      </c>
      <c r="D8255" s="6" t="str">
        <f>IFERROR(__xludf.DUMMYFUNCTION("GOOGLETRANSLATE(B8255,""en"",""hy"")"),"Պենտագոնն ունի հինգ կողմ:")</f>
        <v>Պենտագոնն ունի հինգ կողմ:</v>
      </c>
    </row>
    <row r="8256">
      <c r="A8256" s="5" t="s">
        <v>9758</v>
      </c>
      <c r="B8256" s="5" t="s">
        <v>9771</v>
      </c>
      <c r="C8256" s="5" t="str">
        <f>IFERROR(__xludf.DUMMYFUNCTION("GOOGLETRANSLATE(A8256,""en"",""hy"")"),"Անվանեք երեք հիմնական գույներ:")</f>
        <v>Անվանեք երեք հիմնական գույներ:</v>
      </c>
      <c r="D8256" s="6" t="str">
        <f>IFERROR(__xludf.DUMMYFUNCTION("GOOGLETRANSLATE(B8256,""en"",""hy"")"),"Կարմիր, կապույտ և դեղին:")</f>
        <v>Կարմիր, կապույտ և դեղին:</v>
      </c>
    </row>
    <row r="8257">
      <c r="A8257" s="5" t="s">
        <v>9772</v>
      </c>
      <c r="B8257" s="5" t="s">
        <v>7549</v>
      </c>
      <c r="C8257" s="5" t="str">
        <f>IFERROR(__xludf.DUMMYFUNCTION("GOOGLETRANSLATE(A8257,""en"",""hy"")"),"Ո՞վ է նկարել «Մարգարտյա ականջօղով աղջիկը»:")</f>
        <v>Ո՞վ է նկարել «Մարգարտյա ականջօղով աղջիկը»:</v>
      </c>
      <c r="D8257" s="6" t="str">
        <f>IFERROR(__xludf.DUMMYFUNCTION("GOOGLETRANSLATE(B8257,""en"",""hy"")"),"Յոհաննես Վերմեեր.")</f>
        <v>Յոհաննես Վերմեեր.</v>
      </c>
    </row>
    <row r="8258">
      <c r="A8258" s="5" t="s">
        <v>9773</v>
      </c>
      <c r="B8258" s="5" t="s">
        <v>9774</v>
      </c>
      <c r="C8258" s="5" t="str">
        <f>IFERROR(__xludf.DUMMYFUNCTION("GOOGLETRANSLATE(A8258,""en"",""hy"")"),"Ո՞ր երկրում է հորինվել բասկետբոլի խաղը:")</f>
        <v>Ո՞ր երկրում է հորինվել բասկետբոլի խաղը:</v>
      </c>
      <c r="D8258" s="6" t="str">
        <f>IFERROR(__xludf.DUMMYFUNCTION("GOOGLETRANSLATE(B8258,""en"",""hy"")"),"Բասկետբոլի խաղը հորինվել է ԱՄՆ-ում։")</f>
        <v>Բասկետբոլի խաղը հորինվել է ԱՄՆ-ում։</v>
      </c>
    </row>
    <row r="8259">
      <c r="A8259" s="5" t="s">
        <v>9775</v>
      </c>
      <c r="B8259" s="5" t="s">
        <v>9776</v>
      </c>
      <c r="C8259" s="5" t="str">
        <f>IFERROR(__xludf.DUMMYFUNCTION("GOOGLETRANSLATE(A8259,""en"",""hy"")"),"Ո՞վ է հունական սիրո աստվածը:")</f>
        <v>Ո՞վ է հունական սիրո աստվածը:</v>
      </c>
      <c r="D8259" s="6" t="str">
        <f>IFERROR(__xludf.DUMMYFUNCTION("GOOGLETRANSLATE(B8259,""en"",""hy"")"),"Հունական սիրո աստվածը Էրոսն է:")</f>
        <v>Հունական սիրո աստվածը Էրոսն է:</v>
      </c>
    </row>
    <row r="8260">
      <c r="A8260" s="5" t="s">
        <v>7592</v>
      </c>
      <c r="B8260" s="5" t="s">
        <v>7593</v>
      </c>
      <c r="C8260" s="5" t="str">
        <f>IFERROR(__xludf.DUMMYFUNCTION("GOOGLETRANSLATE(A8260,""en"",""hy"")"),"Ո՞րն է թթվածնի քիմիական նշանը:")</f>
        <v>Ո՞րն է թթվածնի քիմիական նշանը:</v>
      </c>
      <c r="D8260" s="6" t="str">
        <f>IFERROR(__xludf.DUMMYFUNCTION("GOOGLETRANSLATE(B8260,""en"",""hy"")"),"Թթվածնի քիմիական նշանը O է:")</f>
        <v>Թթվածնի քիմիական նշանը O է:</v>
      </c>
    </row>
    <row r="8261">
      <c r="A8261" s="5" t="s">
        <v>7683</v>
      </c>
      <c r="B8261" s="5" t="s">
        <v>1016</v>
      </c>
      <c r="C8261" s="5" t="str">
        <f>IFERROR(__xludf.DUMMYFUNCTION("GOOGLETRANSLATE(A8261,""en"",""hy"")"),"Ո՞վ է գրել «Համլետ» պիեսը։")</f>
        <v>Ո՞վ է գրել «Համլետ» պիեսը։</v>
      </c>
      <c r="D8261" s="6" t="str">
        <f>IFERROR(__xludf.DUMMYFUNCTION("GOOGLETRANSLATE(B8261,""en"",""hy"")"),"Ուիլյամ Շեքսպիր.")</f>
        <v>Ուիլյամ Շեքսպիր.</v>
      </c>
    </row>
    <row r="8262">
      <c r="A8262" s="5" t="s">
        <v>7795</v>
      </c>
      <c r="B8262" s="5" t="s">
        <v>7796</v>
      </c>
      <c r="C8262" s="5" t="str">
        <f>IFERROR(__xludf.DUMMYFUNCTION("GOOGLETRANSLATE(A8262,""en"",""hy"")"),"Ո՞րն է Եգիպտոսի մայրաքաղաքը:")</f>
        <v>Ո՞րն է Եգիպտոսի մայրաքաղաքը:</v>
      </c>
      <c r="D8262" s="6" t="str">
        <f>IFERROR(__xludf.DUMMYFUNCTION("GOOGLETRANSLATE(B8262,""en"",""hy"")"),"Կահիրե.")</f>
        <v>Կահիրե.</v>
      </c>
    </row>
    <row r="8263">
      <c r="A8263" s="5" t="s">
        <v>9777</v>
      </c>
      <c r="B8263" s="5" t="s">
        <v>9778</v>
      </c>
      <c r="C8263" s="5" t="str">
        <f>IFERROR(__xludf.DUMMYFUNCTION("GOOGLETRANSLATE(A8263,""en"",""hy"")"),"Ո՞րն է սուրճի հիմնական բաղադրիչը:")</f>
        <v>Ո՞րն է սուրճի հիմնական բաղադրիչը:</v>
      </c>
      <c r="D8263" s="6" t="str">
        <f>IFERROR(__xludf.DUMMYFUNCTION("GOOGLETRANSLATE(B8263,""en"",""hy"")"),"Սուրճի հիմնական բաղադրիչը կոֆեինն է։")</f>
        <v>Սուրճի հիմնական բաղադրիչը կոֆեինն է։</v>
      </c>
    </row>
    <row r="8264">
      <c r="A8264" s="5" t="s">
        <v>8987</v>
      </c>
      <c r="B8264" s="5" t="s">
        <v>8988</v>
      </c>
      <c r="C8264" s="5" t="str">
        <f>IFERROR(__xludf.DUMMYFUNCTION("GOOGLETRANSLATE(A8264,""en"",""hy"")"),"Ո՞վ էր առաջին կինը, ով միայնակ թռավ Ատլանտյան օվկիանոսով:")</f>
        <v>Ո՞վ էր առաջին կինը, ով միայնակ թռավ Ատլանտյան օվկիանոսով:</v>
      </c>
      <c r="D8264" s="6" t="str">
        <f>IFERROR(__xludf.DUMMYFUNCTION("GOOGLETRANSLATE(B8264,""en"",""hy"")"),"Ամելիա Էրհարթ.")</f>
        <v>Ամելիա Էրհարթ.</v>
      </c>
    </row>
    <row r="8265">
      <c r="A8265" s="5" t="s">
        <v>8433</v>
      </c>
      <c r="B8265" s="5" t="s">
        <v>9779</v>
      </c>
      <c r="C8265" s="5" t="str">
        <f>IFERROR(__xludf.DUMMYFUNCTION("GOOGLETRANSLATE(A8265,""en"",""hy"")"),"Քանի՞ ոտք ունի ծովախեցգետինը:")</f>
        <v>Քանի՞ ոտք ունի ծովախեցգետինը:</v>
      </c>
      <c r="D8265" s="6" t="str">
        <f>IFERROR(__xludf.DUMMYFUNCTION("GOOGLETRANSLATE(B8265,""en"",""hy"")"),"Խեցգետինը ութ ոտք ունի։")</f>
        <v>Խեցգետինը ութ ոտք ունի։</v>
      </c>
    </row>
    <row r="8266">
      <c r="A8266" s="5" t="s">
        <v>9780</v>
      </c>
      <c r="B8266" s="5" t="s">
        <v>9781</v>
      </c>
      <c r="C8266" s="5" t="str">
        <f>IFERROR(__xludf.DUMMYFUNCTION("GOOGLETRANSLATE(A8266,""en"",""hy"")"),"Ո՞րն է Pb նշանով ներկայացված քիմիական տարրը:")</f>
        <v>Ո՞րն է Pb նշանով ներկայացված քիմիական տարրը:</v>
      </c>
      <c r="D8266" s="6" t="str">
        <f>IFERROR(__xludf.DUMMYFUNCTION("GOOGLETRANSLATE(B8266,""en"",""hy"")"),"Առաջնորդել")</f>
        <v>Առաջնորդել</v>
      </c>
    </row>
    <row r="8267">
      <c r="A8267" s="5" t="s">
        <v>7919</v>
      </c>
      <c r="B8267" s="5" t="s">
        <v>7556</v>
      </c>
      <c r="C8267" s="5" t="str">
        <f>IFERROR(__xludf.DUMMYFUNCTION("GOOGLETRANSLATE(A8267,""en"",""hy"")"),"Ո՞վ է հայտնաբերել հարաբերականության տեսությունը:")</f>
        <v>Ո՞վ է հայտնաբերել հարաբերականության տեսությունը:</v>
      </c>
      <c r="D8267" s="6" t="str">
        <f>IFERROR(__xludf.DUMMYFUNCTION("GOOGLETRANSLATE(B8267,""en"",""hy"")"),"Albert Einstein.")</f>
        <v>Albert Einstein.</v>
      </c>
    </row>
    <row r="8268">
      <c r="A8268" s="5" t="s">
        <v>8804</v>
      </c>
      <c r="B8268" s="5" t="s">
        <v>7527</v>
      </c>
      <c r="C8268" s="5" t="str">
        <f>IFERROR(__xludf.DUMMYFUNCTION("GOOGLETRANSLATE(A8268,""en"",""hy"")"),"Ո՞րն է աշխարհի ամենամեծ կղզին:")</f>
        <v>Ո՞րն է աշխարհի ամենամեծ կղզին:</v>
      </c>
      <c r="D8268" s="6" t="str">
        <f>IFERROR(__xludf.DUMMYFUNCTION("GOOGLETRANSLATE(B8268,""en"",""hy"")"),"Գրենլանդիա.")</f>
        <v>Գրենլանդիա.</v>
      </c>
    </row>
    <row r="8269">
      <c r="A8269" s="5" t="s">
        <v>9782</v>
      </c>
      <c r="B8269" s="5" t="s">
        <v>9783</v>
      </c>
      <c r="C8269" s="5" t="str">
        <f>IFERROR(__xludf.DUMMYFUNCTION("GOOGLETRANSLATE(A8269,""en"",""hy"")"),"Քանի՞ լուսին ունի Երկիրը:")</f>
        <v>Քանի՞ լուսին ունի Երկիրը:</v>
      </c>
      <c r="D8269" s="6" t="str">
        <f>IFERROR(__xludf.DUMMYFUNCTION("GOOGLETRANSLATE(B8269,""en"",""hy"")"),"Երկիրն ունի մեկ լուսին.")</f>
        <v>Երկիրն ունի մեկ լուսին.</v>
      </c>
    </row>
    <row r="8270">
      <c r="A8270" s="5" t="s">
        <v>7687</v>
      </c>
      <c r="B8270" s="5" t="s">
        <v>7867</v>
      </c>
      <c r="C8270" s="5" t="str">
        <f>IFERROR(__xludf.DUMMYFUNCTION("GOOGLETRANSLATE(A8270,""en"",""hy"")"),"Ո՞վ է «Մատանիների տիրակալը» ֆիլմի հեղինակը.")</f>
        <v>Ո՞վ է «Մատանիների տիրակալը» ֆիլմի հեղինակը.</v>
      </c>
      <c r="D8270" s="6" t="str">
        <f>IFERROR(__xludf.DUMMYFUNCTION("GOOGLETRANSLATE(B8270,""en"",""hy"")"),"Ջ.Ռ.Ռ. Թոլքինը։")</f>
        <v>Ջ.Ռ.Ռ. Թոլքինը։</v>
      </c>
    </row>
    <row r="8271">
      <c r="A8271" s="5" t="s">
        <v>7839</v>
      </c>
      <c r="B8271" s="5" t="s">
        <v>7753</v>
      </c>
      <c r="C8271" s="5" t="str">
        <f>IFERROR(__xludf.DUMMYFUNCTION("GOOGLETRANSLATE(A8271,""en"",""hy"")"),"Ո՞րն է Ճապոնիայի մայրաքաղաքը:")</f>
        <v>Ո՞րն է Ճապոնիայի մայրաքաղաքը:</v>
      </c>
      <c r="D8271" s="6" t="str">
        <f>IFERROR(__xludf.DUMMYFUNCTION("GOOGLETRANSLATE(B8271,""en"",""hy"")"),"Տոկիո.")</f>
        <v>Տոկիո.</v>
      </c>
    </row>
    <row r="8272">
      <c r="A8272" s="5" t="s">
        <v>7477</v>
      </c>
      <c r="B8272" s="5" t="s">
        <v>7478</v>
      </c>
      <c r="C8272" s="5" t="str">
        <f>IFERROR(__xludf.DUMMYFUNCTION("GOOGLETRANSLATE(A8272,""en"",""hy"")"),"Ո՞ր երկիրն է հայտնի որպես «Ծագող արևի երկիր»:")</f>
        <v>Ո՞ր երկիրն է հայտնի որպես «Ծագող արևի երկիր»:</v>
      </c>
      <c r="D8272" s="6" t="str">
        <f>IFERROR(__xludf.DUMMYFUNCTION("GOOGLETRANSLATE(B8272,""en"",""hy"")"),"Ճապոնիա.")</f>
        <v>Ճապոնիա.</v>
      </c>
    </row>
    <row r="8273">
      <c r="A8273" s="5" t="s">
        <v>7807</v>
      </c>
      <c r="B8273" s="5" t="s">
        <v>7808</v>
      </c>
      <c r="C8273" s="5" t="str">
        <f>IFERROR(__xludf.DUMMYFUNCTION("GOOGLETRANSLATE(A8273,""en"",""hy"")"),"Ո՞վ է հորինել տպագրական մեքենան:")</f>
        <v>Ո՞վ է հորինել տպագրական մեքենան:</v>
      </c>
      <c r="D8273" s="6" t="str">
        <f>IFERROR(__xludf.DUMMYFUNCTION("GOOGLETRANSLATE(B8273,""en"",""hy"")"),"Յոհաննես Գուտենբերգ.")</f>
        <v>Յոհաննես Գուտենբերգ.</v>
      </c>
    </row>
    <row r="8274">
      <c r="A8274" s="5" t="s">
        <v>9414</v>
      </c>
      <c r="B8274" s="5" t="s">
        <v>7646</v>
      </c>
      <c r="C8274" s="5" t="str">
        <f>IFERROR(__xludf.DUMMYFUNCTION("GOOGLETRANSLATE(A8274,""en"",""hy"")"),"Ո՞րն է աշխարհի ամենամեծ օվկիանոսը:")</f>
        <v>Ո՞րն է աշխարհի ամենամեծ օվկիանոսը:</v>
      </c>
      <c r="D8274" s="6" t="str">
        <f>IFERROR(__xludf.DUMMYFUNCTION("GOOGLETRANSLATE(B8274,""en"",""hy"")"),"Խաղաղ օվկիանոս.")</f>
        <v>Խաղաղ օվկիանոս.</v>
      </c>
    </row>
    <row r="8275">
      <c r="A8275" s="5" t="s">
        <v>9784</v>
      </c>
      <c r="B8275" s="5" t="s">
        <v>9785</v>
      </c>
      <c r="C8275" s="5" t="str">
        <f>IFERROR(__xludf.DUMMYFUNCTION("GOOGLETRANSLATE(A8275,""en"",""hy"")"),"Քանի՞ ոսկոր կա չափահաս մարդու մարմնում:")</f>
        <v>Քանի՞ ոսկոր կա չափահաս մարդու մարմնում:</v>
      </c>
      <c r="D8275" s="6" t="str">
        <f>IFERROR(__xludf.DUMMYFUNCTION("GOOGLETRANSLATE(B8275,""en"",""hy"")"),"Հասուն մարդու մարմնում կա 206 ոսկոր։")</f>
        <v>Հասուն մարդու մարմնում կա 206 ոսկոր։</v>
      </c>
    </row>
    <row r="8276">
      <c r="A8276" s="5" t="s">
        <v>8159</v>
      </c>
      <c r="B8276" s="5" t="s">
        <v>8160</v>
      </c>
      <c r="C8276" s="5" t="str">
        <f>IFERROR(__xludf.DUMMYFUNCTION("GOOGLETRANSLATE(A8276,""en"",""hy"")"),"Ո՞վ է Ռուսաստանի ներկայիս նախագահը.")</f>
        <v>Ո՞վ է Ռուսաստանի ներկայիս նախագահը.</v>
      </c>
      <c r="D8276" s="6" t="str">
        <f>IFERROR(__xludf.DUMMYFUNCTION("GOOGLETRANSLATE(B8276,""en"",""hy"")"),"Վլադիմիր Պուտին.")</f>
        <v>Վլադիմիր Պուտին.</v>
      </c>
    </row>
    <row r="8277">
      <c r="A8277" s="5" t="s">
        <v>7515</v>
      </c>
      <c r="B8277" s="5" t="s">
        <v>8013</v>
      </c>
      <c r="C8277" s="5" t="str">
        <f>IFERROR(__xludf.DUMMYFUNCTION("GOOGLETRANSLATE(A8277,""en"",""hy"")"),"Ո՞րն է Բրազիլիայի մայրաքաղաքը:")</f>
        <v>Ո՞րն է Բրազիլիայի մայրաքաղաքը:</v>
      </c>
      <c r="D8277" s="6" t="str">
        <f>IFERROR(__xludf.DUMMYFUNCTION("GOOGLETRANSLATE(B8277,""en"",""hy"")"),"Բրազիլիայի մայրաքաղաքը Բրազիլիան է։")</f>
        <v>Բրազիլիայի մայրաքաղաքը Բրազիլիան է։</v>
      </c>
    </row>
    <row r="8278">
      <c r="A8278" s="5" t="s">
        <v>8168</v>
      </c>
      <c r="B8278" s="5" t="s">
        <v>8169</v>
      </c>
      <c r="C8278" s="5" t="str">
        <f>IFERROR(__xludf.DUMMYFUNCTION("GOOGLETRANSLATE(A8278,""en"",""hy"")"),"Քանի՞ ժամային գոտի կա Միացյալ Նահանգներում:")</f>
        <v>Քանի՞ ժամային գոտի կա Միացյալ Նահանգներում:</v>
      </c>
      <c r="D8278" s="6" t="str">
        <f>IFERROR(__xludf.DUMMYFUNCTION("GOOGLETRANSLATE(B8278,""en"",""hy"")"),"ԱՄՆ-ում կան վեց ժամային գոտիներ:")</f>
        <v>ԱՄՆ-ում կան վեց ժամային գոտիներ:</v>
      </c>
    </row>
    <row r="8279">
      <c r="A8279" s="5" t="s">
        <v>7534</v>
      </c>
      <c r="B8279" s="5" t="s">
        <v>7835</v>
      </c>
      <c r="C8279" s="5" t="str">
        <f>IFERROR(__xludf.DUMMYFUNCTION("GOOGLETRANSLATE(A8279,""en"",""hy"")"),"Ո՞վ է հորինել հեռախոսը:")</f>
        <v>Ո՞վ է հորինել հեռախոսը:</v>
      </c>
      <c r="D8279" s="6" t="str">
        <f>IFERROR(__xludf.DUMMYFUNCTION("GOOGLETRANSLATE(B8279,""en"",""hy"")"),"Ալեքսանդր Գրեհեմ Բելը հորինել է հեռախոսը։")</f>
        <v>Ալեքսանդր Գրեհեմ Բելը հորինել է հեռախոսը։</v>
      </c>
    </row>
    <row r="8280">
      <c r="A8280" s="5" t="s">
        <v>7509</v>
      </c>
      <c r="B8280" s="5" t="s">
        <v>7684</v>
      </c>
      <c r="C8280" s="5" t="str">
        <f>IFERROR(__xludf.DUMMYFUNCTION("GOOGLETRANSLATE(A8280,""en"",""hy"")"),"Ո՞րն է արծաթի քիմիական նշանը:")</f>
        <v>Ո՞րն է արծաթի քիմիական նշանը:</v>
      </c>
      <c r="D8280" s="6" t="str">
        <f>IFERROR(__xludf.DUMMYFUNCTION("GOOGLETRANSLATE(B8280,""en"",""hy"")"),"Արծաթի քիմիական խորհրդանիշն է Ag.")</f>
        <v>Արծաթի քիմիական խորհրդանիշն է Ag.</v>
      </c>
    </row>
    <row r="8281">
      <c r="A8281" s="5" t="s">
        <v>7763</v>
      </c>
      <c r="B8281" s="5" t="s">
        <v>7505</v>
      </c>
      <c r="C8281" s="5" t="str">
        <f>IFERROR(__xludf.DUMMYFUNCTION("GOOGLETRANSLATE(A8281,""en"",""hy"")"),"Ո՞վ է Միացյալ Նահանգների ներկայիս նախագահը.")</f>
        <v>Ո՞վ է Միացյալ Նահանգների ներկայիս նախագահը.</v>
      </c>
      <c r="D8281" s="6" t="str">
        <f>IFERROR(__xludf.DUMMYFUNCTION("GOOGLETRANSLATE(B8281,""en"",""hy"")"),"Ջո Բայդեն.")</f>
        <v>Ջո Բայդեն.</v>
      </c>
    </row>
    <row r="8282">
      <c r="A8282" s="5" t="s">
        <v>7450</v>
      </c>
      <c r="B8282" s="5" t="s">
        <v>7451</v>
      </c>
      <c r="C8282" s="5" t="str">
        <f>IFERROR(__xludf.DUMMYFUNCTION("GOOGLETRANSLATE(A8282,""en"",""hy"")"),"Ո՞րն է Ավստրալիայի մայրաքաղաքը:")</f>
        <v>Ո՞րն է Ավստրալիայի մայրաքաղաքը:</v>
      </c>
      <c r="D8282" s="6" t="str">
        <f>IFERROR(__xludf.DUMMYFUNCTION("GOOGLETRANSLATE(B8282,""en"",""hy"")"),"Կանբերա.")</f>
        <v>Կանբերա.</v>
      </c>
    </row>
    <row r="8283">
      <c r="A8283" s="5" t="s">
        <v>7447</v>
      </c>
      <c r="B8283" s="5" t="s">
        <v>7448</v>
      </c>
      <c r="C8283" s="5" t="str">
        <f>IFERROR(__xludf.DUMMYFUNCTION("GOOGLETRANSLATE(A8283,""en"",""hy"")"),"Ո՞վ է նկարել Մոնա Լիզան:")</f>
        <v>Ո՞վ է նկարել Մոնա Լիզան:</v>
      </c>
      <c r="D8283" s="6" t="str">
        <f>IFERROR(__xludf.DUMMYFUNCTION("GOOGLETRANSLATE(B8283,""en"",""hy"")"),"Լեոնարդո դա Վինչի.")</f>
        <v>Լեոնարդո դա Վինչի.</v>
      </c>
    </row>
    <row r="8284">
      <c r="A8284" s="5" t="s">
        <v>7632</v>
      </c>
      <c r="B8284" s="5" t="s">
        <v>7912</v>
      </c>
      <c r="C8284" s="5" t="str">
        <f>IFERROR(__xludf.DUMMYFUNCTION("GOOGLETRANSLATE(A8284,""en"",""hy"")"),"Ո՞րն է մեր արեգակնային համակարգի ամենամեծ մոլորակը:")</f>
        <v>Ո՞րն է մեր արեգակնային համակարգի ամենամեծ մոլորակը:</v>
      </c>
      <c r="D8284" s="6" t="str">
        <f>IFERROR(__xludf.DUMMYFUNCTION("GOOGLETRANSLATE(B8284,""en"",""hy"")"),"Յուպիտեր")</f>
        <v>Յուպիտեր</v>
      </c>
    </row>
    <row r="8285">
      <c r="A8285" s="5" t="s">
        <v>7698</v>
      </c>
      <c r="B8285" s="5" t="s">
        <v>7630</v>
      </c>
      <c r="C8285" s="5" t="str">
        <f>IFERROR(__xludf.DUMMYFUNCTION("GOOGLETRANSLATE(A8285,""en"",""hy"")"),"Ո՞վ է գրել «Հպարտություն և նախապաշարմունք» վեպը:")</f>
        <v>Ո՞վ է գրել «Հպարտություն և նախապաշարմունք» վեպը:</v>
      </c>
      <c r="D8285" s="6" t="str">
        <f>IFERROR(__xludf.DUMMYFUNCTION("GOOGLETRANSLATE(B8285,""en"",""hy"")"),"Ջեյն Օսթին.")</f>
        <v>Ջեյն Օսթին.</v>
      </c>
    </row>
    <row r="8286">
      <c r="A8286" s="5" t="s">
        <v>7452</v>
      </c>
      <c r="B8286" s="5" t="s">
        <v>7631</v>
      </c>
      <c r="C8286" s="5" t="str">
        <f>IFERROR(__xludf.DUMMYFUNCTION("GOOGLETRANSLATE(A8286,""en"",""hy"")"),"Ո՞րն է ոսկու քիմիական նշանը:")</f>
        <v>Ո՞րն է ոսկու քիմիական նշանը:</v>
      </c>
      <c r="D8286" s="6" t="str">
        <f>IFERROR(__xludf.DUMMYFUNCTION("GOOGLETRANSLATE(B8286,""en"",""hy"")"),"Ավ")</f>
        <v>Ավ</v>
      </c>
    </row>
    <row r="8287">
      <c r="A8287" s="5" t="s">
        <v>9786</v>
      </c>
      <c r="B8287" s="5" t="s">
        <v>8471</v>
      </c>
      <c r="C8287" s="5" t="str">
        <f>IFERROR(__xludf.DUMMYFUNCTION("GOOGLETRANSLATE(A8287,""en"",""hy"")"),"Ո՞ր երկրում կգտնեք Մաչու Պիկչուն:")</f>
        <v>Ո՞ր երկրում կգտնեք Մաչու Պիկչուն:</v>
      </c>
      <c r="D8287" s="6" t="str">
        <f>IFERROR(__xludf.DUMMYFUNCTION("GOOGLETRANSLATE(B8287,""en"",""hy"")"),"Պերու.")</f>
        <v>Պերու.</v>
      </c>
    </row>
    <row r="8288">
      <c r="A8288" s="5" t="s">
        <v>9133</v>
      </c>
      <c r="B8288" s="5" t="s">
        <v>7972</v>
      </c>
      <c r="C8288" s="5" t="str">
        <f>IFERROR(__xludf.DUMMYFUNCTION("GOOGLETRANSLATE(A8288,""en"",""hy"")"),"Ո՞վ է հաղթել ՖԻՖԱ-ի Աշխարհի գավաթը 2018 թվականին:")</f>
        <v>Ո՞վ է հաղթել ՖԻՖԱ-ի Աշխարհի գավաթը 2018 թվականին:</v>
      </c>
      <c r="D8288" s="6" t="str">
        <f>IFERROR(__xludf.DUMMYFUNCTION("GOOGLETRANSLATE(B8288,""en"",""hy"")"),"Ֆրանսիա.")</f>
        <v>Ֆրանսիա.</v>
      </c>
    </row>
    <row r="8289">
      <c r="A8289" s="5" t="s">
        <v>7845</v>
      </c>
      <c r="B8289" s="5" t="s">
        <v>3533</v>
      </c>
      <c r="C8289" s="5" t="str">
        <f>IFERROR(__xludf.DUMMYFUNCTION("GOOGLETRANSLATE(A8289,""en"",""hy"")"),"Ո՞րն է Բրազիլիայի պաշտոնական լեզուն:")</f>
        <v>Ո՞րն է Բրազիլիայի պաշտոնական լեզուն:</v>
      </c>
      <c r="D8289" s="6" t="str">
        <f>IFERROR(__xludf.DUMMYFUNCTION("GOOGLETRANSLATE(B8289,""en"",""hy"")"),"Բրազիլիայի պաշտոնական լեզուն պորտուգալերենն է։")</f>
        <v>Բրազիլիայի պաշտոնական լեզուն պորտուգալերենն է։</v>
      </c>
    </row>
    <row r="8290">
      <c r="A8290" s="5" t="s">
        <v>7485</v>
      </c>
      <c r="B8290" s="5" t="s">
        <v>7486</v>
      </c>
      <c r="C8290" s="5" t="str">
        <f>IFERROR(__xludf.DUMMYFUNCTION("GOOGLETRANSLATE(A8290,""en"",""hy"")"),"Ո՞վ է Հարի Փոթերի շարքի հեղինակը:")</f>
        <v>Ո՞վ է Հարի Փոթերի շարքի հեղինակը:</v>
      </c>
      <c r="D8290" s="6" t="str">
        <f>IFERROR(__xludf.DUMMYFUNCTION("GOOGLETRANSLATE(B8290,""en"",""hy"")"),"Ջ.Կ. Ռոուլինգ.")</f>
        <v>Ջ.Կ. Ռոուլինգ.</v>
      </c>
    </row>
    <row r="8291">
      <c r="A8291" s="5" t="s">
        <v>7455</v>
      </c>
      <c r="B8291" s="5" t="s">
        <v>7646</v>
      </c>
      <c r="C8291" s="5" t="str">
        <f>IFERROR(__xludf.DUMMYFUNCTION("GOOGLETRANSLATE(A8291,""en"",""hy"")"),"Ո՞րն է աշխարհի ամենամեծ օվկիանոսը:")</f>
        <v>Ո՞րն է աշխարհի ամենամեծ օվկիանոսը:</v>
      </c>
      <c r="D8291" s="6" t="str">
        <f>IFERROR(__xludf.DUMMYFUNCTION("GOOGLETRANSLATE(B8291,""en"",""hy"")"),"Խաղաղ օվկիանոս.")</f>
        <v>Խաղաղ օվկիանոս.</v>
      </c>
    </row>
    <row r="8292">
      <c r="A8292" s="5" t="s">
        <v>7500</v>
      </c>
      <c r="B8292" s="5" t="s">
        <v>7501</v>
      </c>
      <c r="C8292" s="5" t="str">
        <f>IFERROR(__xludf.DUMMYFUNCTION("GOOGLETRANSLATE(A8292,""en"",""hy"")"),"Ո՞րն է Ֆրանսիայի մայրաքաղաքը:")</f>
        <v>Ո՞րն է Ֆրանսիայի մայրաքաղաքը:</v>
      </c>
      <c r="D8292" s="6" t="str">
        <f>IFERROR(__xludf.DUMMYFUNCTION("GOOGLETRANSLATE(B8292,""en"",""hy"")"),"Փարիզ.")</f>
        <v>Փարիզ.</v>
      </c>
    </row>
    <row r="8293">
      <c r="A8293" s="5" t="s">
        <v>8637</v>
      </c>
      <c r="B8293" s="5" t="s">
        <v>7607</v>
      </c>
      <c r="C8293" s="5" t="str">
        <f>IFERROR(__xludf.DUMMYFUNCTION("GOOGLETRANSLATE(A8293,""en"",""hy"")"),"Ո՞վ է հայտնի որպես «Էվոլյուցիայի հայր»:")</f>
        <v>Ո՞վ է հայտնի որպես «Էվոլյուցիայի հայր»:</v>
      </c>
      <c r="D8293" s="6" t="str">
        <f>IFERROR(__xludf.DUMMYFUNCTION("GOOGLETRANSLATE(B8293,""en"",""hy"")"),"Չարլզ Դարվին.")</f>
        <v>Չարլզ Դարվին.</v>
      </c>
    </row>
    <row r="8294">
      <c r="A8294" s="5" t="s">
        <v>7915</v>
      </c>
      <c r="B8294" s="5" t="s">
        <v>7916</v>
      </c>
      <c r="C8294" s="5" t="str">
        <f>IFERROR(__xludf.DUMMYFUNCTION("GOOGLETRANSLATE(A8294,""en"",""hy"")"),"Քանի՞ ոսկոր կա մարդու մարմնում:")</f>
        <v>Քանի՞ ոսկոր կա մարդու մարմնում:</v>
      </c>
      <c r="D8294" s="6" t="str">
        <f>IFERROR(__xludf.DUMMYFUNCTION("GOOGLETRANSLATE(B8294,""en"",""hy"")"),"Մարդու մարմնում կա 206 ոսկոր։")</f>
        <v>Մարդու մարմնում կա 206 ոսկոր։</v>
      </c>
    </row>
    <row r="8295">
      <c r="A8295" s="5" t="s">
        <v>8124</v>
      </c>
      <c r="B8295" s="5" t="s">
        <v>1299</v>
      </c>
      <c r="C8295" s="5" t="str">
        <f>IFERROR(__xludf.DUMMYFUNCTION("GOOGLETRANSLATE(A8295,""en"",""hy"")"),"Ո՞րն է ամենամեծ մայրցամաքը ըստ ցամաքային տարածքի:")</f>
        <v>Ո՞րն է ամենամեծ մայրցամաքը ըստ ցամաքային տարածքի:</v>
      </c>
      <c r="D8295" s="6" t="str">
        <f>IFERROR(__xludf.DUMMYFUNCTION("GOOGLETRANSLATE(B8295,""en"",""hy"")"),"Ասիա.")</f>
        <v>Ասիա.</v>
      </c>
    </row>
    <row r="8296">
      <c r="A8296" s="5" t="s">
        <v>7778</v>
      </c>
      <c r="B8296" s="5" t="s">
        <v>7474</v>
      </c>
      <c r="C8296" s="5" t="str">
        <f>IFERROR(__xludf.DUMMYFUNCTION("GOOGLETRANSLATE(A8296,""en"",""hy"")"),"Ո՞վ է նկարել Սիքստինյան կապելլայի առաստաղը:")</f>
        <v>Ո՞վ է նկարել Սիքստինյան կապելլայի առաստաղը:</v>
      </c>
      <c r="D8296" s="6" t="str">
        <f>IFERROR(__xludf.DUMMYFUNCTION("GOOGLETRANSLATE(B8296,""en"",""hy"")"),"Միքելանջելո.")</f>
        <v>Միքելանջելո.</v>
      </c>
    </row>
    <row r="8297">
      <c r="A8297" s="5" t="s">
        <v>7553</v>
      </c>
      <c r="B8297" s="5" t="s">
        <v>7554</v>
      </c>
      <c r="C8297" s="5" t="str">
        <f>IFERROR(__xludf.DUMMYFUNCTION("GOOGLETRANSLATE(A8297,""en"",""hy"")"),"Ո՞րն է Հարավային Աֆրիկայի մայրաքաղաքը:")</f>
        <v>Ո՞րն է Հարավային Աֆրիկայի մայրաքաղաքը:</v>
      </c>
      <c r="D8297" s="6" t="str">
        <f>IFERROR(__xludf.DUMMYFUNCTION("GOOGLETRANSLATE(B8297,""en"",""hy"")"),"Պրետորիա.")</f>
        <v>Պրետորիա.</v>
      </c>
    </row>
    <row r="8298">
      <c r="A8298" s="5" t="s">
        <v>8011</v>
      </c>
      <c r="B8298" s="5" t="s">
        <v>7470</v>
      </c>
      <c r="C8298" s="5" t="str">
        <f>IFERROR(__xludf.DUMMYFUNCTION("GOOGLETRANSLATE(A8298,""en"",""hy"")"),"Ո՞ր թվականին ավարտվեց Երկրորդ համաշխարհային պատերազմը:")</f>
        <v>Ո՞ր թվականին ավարտվեց Երկրորդ համաշխարհային պատերազմը:</v>
      </c>
      <c r="D8298" s="6" t="str">
        <f>IFERROR(__xludf.DUMMYFUNCTION("GOOGLETRANSLATE(B8298,""en"",""hy"")"),"Երկրորդ համաշխարհային պատերազմն ավարտվեց 1945 թվականին։")</f>
        <v>Երկրորդ համաշխարհային պատերազմն ավարտվեց 1945 թվականին։</v>
      </c>
    </row>
    <row r="8299">
      <c r="A8299" s="5" t="s">
        <v>7566</v>
      </c>
      <c r="B8299" s="5" t="s">
        <v>9787</v>
      </c>
      <c r="C8299" s="5" t="str">
        <f>IFERROR(__xludf.DUMMYFUNCTION("GOOGLETRANSLATE(A8299,""en"",""hy"")"),"Ո՞վ է Կանադայի ներկայիս վարչապետը:")</f>
        <v>Ո՞վ է Կանադայի ներկայիս վարչապետը:</v>
      </c>
      <c r="D8299" s="6" t="str">
        <f>IFERROR(__xludf.DUMMYFUNCTION("GOOGLETRANSLATE(B8299,""en"",""hy"")"),"Ջասթին Թրյուդոն Կանադայի ներկայիս վարչապետն է։")</f>
        <v>Ջասթին Թրյուդոն Կանադայի ներկայիս վարչապետն է։</v>
      </c>
    </row>
    <row r="8300">
      <c r="A8300" s="5" t="s">
        <v>9584</v>
      </c>
      <c r="B8300" s="5" t="s">
        <v>9788</v>
      </c>
      <c r="C8300" s="5" t="str">
        <f>IFERROR(__xludf.DUMMYFUNCTION("GOOGLETRANSLATE(A8300,""en"",""hy"")"),"Ո՞րն է շրջանագծի մակերեսը հաշվելու բանաձևը:")</f>
        <v>Ո՞րն է շրջանագծի մակերեսը հաշվելու բանաձևը:</v>
      </c>
      <c r="D8300" s="6" t="str">
        <f>IFERROR(__xludf.DUMMYFUNCTION("GOOGLETRANSLATE(B8300,""en"",""hy"")"),"Շրջանակի մակերեսը հաշվարկելու բանաձևը A = πr^2 է:")</f>
        <v>Շրջանակի մակերեսը հաշվարկելու բանաձևը A = πr^2 է:</v>
      </c>
    </row>
    <row r="8301">
      <c r="A8301" s="5" t="s">
        <v>9145</v>
      </c>
      <c r="B8301" s="5" t="s">
        <v>9789</v>
      </c>
      <c r="C8301" s="5" t="str">
        <f>IFERROR(__xludf.DUMMYFUNCTION("GOOGLETRANSLATE(A8301,""en"",""hy"")"),"Ո՞վ է արժանացել ֆիզիկայի Նոբելյան մրցանակի 2020 թվականին:")</f>
        <v>Ո՞վ է արժանացել ֆիզիկայի Նոբելյան մրցանակի 2020 թվականին:</v>
      </c>
      <c r="D8301" s="6" t="str">
        <f>IFERROR(__xludf.DUMMYFUNCTION("GOOGLETRANSLATE(B8301,""en"",""hy"")"),"Ռոջեր Փենրոուզը, Ռայնհարդ Գենզելը և Անդրեա Գեզը 2020 թվականին ֆիզիկայի բնագավառում Նոբելյան մրցանակի են արժանացել։")</f>
        <v>Ռոջեր Փենրոուզը, Ռայնհարդ Գենզելը և Անդրեա Գեզը 2020 թվականին ֆիզիկայի բնագավառում Նոբելյան մրցանակի են արժանացել։</v>
      </c>
    </row>
    <row r="8302">
      <c r="A8302" s="5" t="s">
        <v>7467</v>
      </c>
      <c r="B8302" s="5" t="s">
        <v>7468</v>
      </c>
      <c r="C8302" s="5" t="str">
        <f>IFERROR(__xludf.DUMMYFUNCTION("GOOGLETRANSLATE(A8302,""en"",""hy"")"),"Ո՞րն է Ճապոնիայի արժույթը:")</f>
        <v>Ո՞րն է Ճապոնիայի արժույթը:</v>
      </c>
      <c r="D8302" s="6" t="str">
        <f>IFERROR(__xludf.DUMMYFUNCTION("GOOGLETRANSLATE(B8302,""en"",""hy"")"),"Ճապոնիայի արժույթը ճապոնական իենն է։")</f>
        <v>Ճապոնիայի արժույթը ճապոնական իենն է։</v>
      </c>
    </row>
    <row r="8303">
      <c r="A8303" s="5" t="s">
        <v>9790</v>
      </c>
      <c r="B8303" s="5" t="s">
        <v>7635</v>
      </c>
      <c r="C8303" s="5" t="str">
        <f>IFERROR(__xludf.DUMMYFUNCTION("GOOGLETRANSLATE(A8303,""en"",""hy"")"),"Ո՞վ էր առաջին մարդը, ով քայլեց լուսնի վրա:")</f>
        <v>Ո՞վ էր առաջին մարդը, ով քայլեց լուսնի վրա:</v>
      </c>
      <c r="D8303" s="6" t="str">
        <f>IFERROR(__xludf.DUMMYFUNCTION("GOOGLETRANSLATE(B8303,""en"",""hy"")"),"Նիլ Արմսթրոնգ.")</f>
        <v>Նիլ Արմսթրոնգ.</v>
      </c>
    </row>
    <row r="8304">
      <c r="A8304" s="5" t="s">
        <v>7842</v>
      </c>
      <c r="B8304" s="5" t="s">
        <v>7843</v>
      </c>
      <c r="C8304" s="5" t="str">
        <f>IFERROR(__xludf.DUMMYFUNCTION("GOOGLETRANSLATE(A8304,""en"",""hy"")"),"Ո՞րն է աշխարհի ամենաերկար գետը:")</f>
        <v>Ո՞րն է աշխարհի ամենաերկար գետը:</v>
      </c>
      <c r="D8304" s="6" t="str">
        <f>IFERROR(__xludf.DUMMYFUNCTION("GOOGLETRANSLATE(B8304,""en"",""hy"")"),"Աշխարհի ամենաերկար գետը Նեղոս գետն է։")</f>
        <v>Աշխարհի ամենաերկար գետը Նեղոս գետն է։</v>
      </c>
    </row>
    <row r="8305">
      <c r="A8305" s="5" t="s">
        <v>7757</v>
      </c>
      <c r="B8305" s="5" t="s">
        <v>7648</v>
      </c>
      <c r="C8305" s="5" t="str">
        <f>IFERROR(__xludf.DUMMYFUNCTION("GOOGLETRANSLATE(A8305,""en"",""hy"")"),"Ո՞վ է նկարել հայտնի «Աստղային գիշեր» արվեստի գործը:")</f>
        <v>Ո՞վ է նկարել հայտնի «Աստղային գիշեր» արվեստի գործը:</v>
      </c>
      <c r="D8305" s="6" t="str">
        <f>IFERROR(__xludf.DUMMYFUNCTION("GOOGLETRANSLATE(B8305,""en"",""hy"")"),"Վինսենթ վան Գոգ.")</f>
        <v>Վինսենթ վան Գոգ.</v>
      </c>
    </row>
    <row r="8306">
      <c r="A8306" s="5" t="s">
        <v>7513</v>
      </c>
      <c r="B8306" s="5" t="s">
        <v>9791</v>
      </c>
      <c r="C8306" s="5" t="str">
        <f>IFERROR(__xludf.DUMMYFUNCTION("GOOGLETRANSLATE(A8306,""en"",""hy"")"),"Ո՞րն է աշխարհի ամենամեծ անապատը:")</f>
        <v>Ո՞րն է աշխարհի ամենամեծ անապատը:</v>
      </c>
      <c r="D8306" s="6" t="str">
        <f>IFERROR(__xludf.DUMMYFUNCTION("GOOGLETRANSLATE(B8306,""en"",""hy"")"),"Սահարա անապատ")</f>
        <v>Սահարա անապատ</v>
      </c>
    </row>
    <row r="8307">
      <c r="A8307" s="5" t="s">
        <v>8020</v>
      </c>
      <c r="B8307" s="7">
        <v>1912.0</v>
      </c>
      <c r="C8307" s="5" t="str">
        <f>IFERROR(__xludf.DUMMYFUNCTION("GOOGLETRANSLATE(A8307,""en"",""hy"")"),"Ո՞ր թվականին է խորտակվել Տիտանիկը:")</f>
        <v>Ո՞ր թվականին է խորտակվել Տիտանիկը:</v>
      </c>
      <c r="D8307" s="6" t="str">
        <f>IFERROR(__xludf.DUMMYFUNCTION("GOOGLETRANSLATE(B8307,""en"",""hy"")"),"1912 թ")</f>
        <v>1912 թ</v>
      </c>
    </row>
    <row r="8308">
      <c r="A8308" s="5" t="s">
        <v>8404</v>
      </c>
      <c r="B8308" s="5" t="s">
        <v>9792</v>
      </c>
      <c r="C8308" s="5" t="str">
        <f>IFERROR(__xludf.DUMMYFUNCTION("GOOGLETRANSLATE(A8308,""en"",""hy"")"),"Ո՞վ էր հունական ամպրոպի աստվածը:")</f>
        <v>Ո՞վ էր հունական ամպրոպի աստվածը:</v>
      </c>
      <c r="D8308" s="6" t="str">
        <f>IFERROR(__xludf.DUMMYFUNCTION("GOOGLETRANSLATE(B8308,""en"",""hy"")"),"Հունական ամպրոպի աստվածը Զևսն էր:")</f>
        <v>Հունական ամպրոպի աստվածը Զևսն էր:</v>
      </c>
    </row>
    <row r="8309">
      <c r="A8309" s="5" t="s">
        <v>7665</v>
      </c>
      <c r="B8309" s="5" t="s">
        <v>7781</v>
      </c>
      <c r="C8309" s="5" t="str">
        <f>IFERROR(__xludf.DUMMYFUNCTION("GOOGLETRANSLATE(A8309,""en"",""hy"")"),"Ո՞րն է նատրիումի քիմիական նշանը:")</f>
        <v>Ո՞րն է նատրիումի քիմիական նշանը:</v>
      </c>
      <c r="D8309" s="6" t="str">
        <f>IFERROR(__xludf.DUMMYFUNCTION("GOOGLETRANSLATE(B8309,""en"",""hy"")"),"Նատրիումի քիմիական նշանը Na է:")</f>
        <v>Նատրիումի քիմիական նշանը Na է:</v>
      </c>
    </row>
    <row r="8310">
      <c r="A8310" s="5" t="s">
        <v>7640</v>
      </c>
      <c r="B8310" s="5" t="s">
        <v>1016</v>
      </c>
      <c r="C8310" s="5" t="str">
        <f>IFERROR(__xludf.DUMMYFUNCTION("GOOGLETRANSLATE(A8310,""en"",""hy"")"),"Ո՞վ է գրել «Ռոմեո և Ջուլիետ» պիեսը:")</f>
        <v>Ո՞վ է գրել «Ռոմեո և Ջուլիետ» պիեսը:</v>
      </c>
      <c r="D8310" s="6" t="str">
        <f>IFERROR(__xludf.DUMMYFUNCTION("GOOGLETRANSLATE(B8310,""en"",""hy"")"),"Ուիլյամ Շեքսպիր.")</f>
        <v>Ուիլյամ Շեքսպիր.</v>
      </c>
    </row>
    <row r="8311">
      <c r="A8311" s="5" t="s">
        <v>7872</v>
      </c>
      <c r="B8311" s="5" t="s">
        <v>6011</v>
      </c>
      <c r="C8311" s="5" t="str">
        <f>IFERROR(__xludf.DUMMYFUNCTION("GOOGLETRANSLATE(A8311,""en"",""hy"")"),"Ո՞րն է Իսպանիայի մայրաքաղաքը:")</f>
        <v>Ո՞րն է Իսպանիայի մայրաքաղաքը:</v>
      </c>
      <c r="D8311" s="6" t="str">
        <f>IFERROR(__xludf.DUMMYFUNCTION("GOOGLETRANSLATE(B8311,""en"",""hy"")"),"Մադրիդ")</f>
        <v>Մադրիդ</v>
      </c>
    </row>
    <row r="8312">
      <c r="A8312" s="5" t="s">
        <v>7534</v>
      </c>
      <c r="B8312" s="5" t="s">
        <v>7535</v>
      </c>
      <c r="C8312" s="5" t="str">
        <f>IFERROR(__xludf.DUMMYFUNCTION("GOOGLETRANSLATE(A8312,""en"",""hy"")"),"Ո՞վ է հորինել հեռախոսը:")</f>
        <v>Ո՞վ է հորինել հեռախոսը:</v>
      </c>
      <c r="D8312" s="6" t="str">
        <f>IFERROR(__xludf.DUMMYFUNCTION("GOOGLETRANSLATE(B8312,""en"",""hy"")"),"Ալեքսանդր Գրեհեմ Բել.")</f>
        <v>Ալեքսանդր Գրեհեմ Բել.</v>
      </c>
    </row>
    <row r="8313">
      <c r="A8313" s="5" t="s">
        <v>8025</v>
      </c>
      <c r="B8313" s="5" t="s">
        <v>8026</v>
      </c>
      <c r="C8313" s="5" t="str">
        <f>IFERROR(__xludf.DUMMYFUNCTION("GOOGLETRANSLATE(A8313,""en"",""hy"")"),"Ո՞րն է Չինաստանի պաշտոնական լեզուն:")</f>
        <v>Ո՞րն է Չինաստանի պաշտոնական լեզուն:</v>
      </c>
      <c r="D8313" s="6" t="str">
        <f>IFERROR(__xludf.DUMMYFUNCTION("GOOGLETRANSLATE(B8313,""en"",""hy"")"),"Չինաստանի պաշտոնական լեզուն մանդարին չինարենն է։")</f>
        <v>Չինաստանի պաշտոնական լեզուն մանդարին չինարենն է։</v>
      </c>
    </row>
    <row r="8314">
      <c r="A8314" s="5" t="s">
        <v>7528</v>
      </c>
      <c r="B8314" s="5" t="s">
        <v>7529</v>
      </c>
      <c r="C8314" s="5" t="str">
        <f>IFERROR(__xludf.DUMMYFUNCTION("GOOGLETRANSLATE(A8314,""en"",""hy"")"),"Ո՞վ է Գերմանիայի ներկայիս կանցլերը:")</f>
        <v>Ո՞վ է Գերմանիայի ներկայիս կանցլերը:</v>
      </c>
      <c r="D8314" s="6" t="str">
        <f>IFERROR(__xludf.DUMMYFUNCTION("GOOGLETRANSLATE(B8314,""en"",""hy"")"),"Անգելա Մերկել.")</f>
        <v>Անգելա Մերկել.</v>
      </c>
    </row>
    <row r="8315">
      <c r="A8315" s="5" t="s">
        <v>7787</v>
      </c>
      <c r="B8315" s="5" t="s">
        <v>7788</v>
      </c>
      <c r="C8315" s="5" t="str">
        <f>IFERROR(__xludf.DUMMYFUNCTION("GOOGLETRANSLATE(A8315,""en"",""hy"")"),"Ո՞րն է շնաձկան ամենամեծ տեսակը:")</f>
        <v>Ո՞րն է շնաձկան ամենամեծ տեսակը:</v>
      </c>
      <c r="D8315" s="6" t="str">
        <f>IFERROR(__xludf.DUMMYFUNCTION("GOOGLETRANSLATE(B8315,""en"",""hy"")"),"Շնաձկների ամենամեծ տեսակը կետ շնաձուկն է։")</f>
        <v>Շնաձկների ամենամեծ տեսակը կետ շնաձուկն է։</v>
      </c>
    </row>
    <row r="8316">
      <c r="A8316" s="5" t="s">
        <v>9793</v>
      </c>
      <c r="B8316" s="5" t="s">
        <v>9794</v>
      </c>
      <c r="C8316" s="5" t="str">
        <f>IFERROR(__xludf.DUMMYFUNCTION("GOOGLETRANSLATE(A8316,""en"",""hy"")"),"Ո՞վ հաղթեց Super Bowl-ը 2020 թվականին:")</f>
        <v>Ո՞վ հաղթեց Super Bowl-ը 2020 թվականին:</v>
      </c>
      <c r="D8316" s="6" t="str">
        <f>IFERROR(__xludf.DUMMYFUNCTION("GOOGLETRANSLATE(B8316,""en"",""hy"")"),"Կանզաս Սիթի Չեֆսը հաղթել է 2020 թվականի Super Bowl-ում:")</f>
        <v>Կանզաս Սիթի Չեֆսը հաղթել է 2020 թվականի Super Bowl-ում:</v>
      </c>
    </row>
    <row r="8317">
      <c r="A8317" s="5" t="s">
        <v>9795</v>
      </c>
      <c r="B8317" s="5" t="s">
        <v>9796</v>
      </c>
      <c r="C8317" s="5" t="str">
        <f>IFERROR(__xludf.DUMMYFUNCTION("GOOGLETRANSLATE(A8317,""en"",""hy"")"),"Ո՞րն է գնդիկի ծավալը հաշվելու բանաձևը:")</f>
        <v>Ո՞րն է գնդիկի ծավալը հաշվելու բանաձևը:</v>
      </c>
      <c r="D8317" s="6" t="str">
        <f>IFERROR(__xludf.DUMMYFUNCTION("GOOGLETRANSLATE(B8317,""en"",""hy"")"),"Գնդի ծավալը հաշվելու բանաձևն է՝ V = (4/3)πr^3։")</f>
        <v>Գնդի ծավալը հաշվելու բանաձևն է՝ V = (4/3)πr^3։</v>
      </c>
    </row>
    <row r="8318">
      <c r="A8318" s="5" t="s">
        <v>8123</v>
      </c>
      <c r="B8318" s="5" t="s">
        <v>7448</v>
      </c>
      <c r="C8318" s="5" t="str">
        <f>IFERROR(__xludf.DUMMYFUNCTION("GOOGLETRANSLATE(A8318,""en"",""hy"")"),"Ո՞վ է նկարել հայտնի «Վերջին ընթրիքը» ստեղծագործությունը:")</f>
        <v>Ո՞վ է նկարել հայտնի «Վերջին ընթրիքը» ստեղծագործությունը:</v>
      </c>
      <c r="D8318" s="6" t="str">
        <f>IFERROR(__xludf.DUMMYFUNCTION("GOOGLETRANSLATE(B8318,""en"",""hy"")"),"Լեոնարդո դա Վինչի.")</f>
        <v>Լեոնարդո դա Վինչի.</v>
      </c>
    </row>
    <row r="8319">
      <c r="A8319" s="5" t="s">
        <v>7791</v>
      </c>
      <c r="B8319" s="5" t="s">
        <v>7792</v>
      </c>
      <c r="C8319" s="5" t="str">
        <f>IFERROR(__xludf.DUMMYFUNCTION("GOOGLETRANSLATE(A8319,""en"",""hy"")"),"Ո՞րն է Ավստրալիայի ազգային կենդանին:")</f>
        <v>Ո՞րն է Ավստրալիայի ազգային կենդանին:</v>
      </c>
      <c r="D8319" s="6" t="str">
        <f>IFERROR(__xludf.DUMMYFUNCTION("GOOGLETRANSLATE(B8319,""en"",""hy"")"),"Ավստրալիայի ազգային կենդանին կենգուրուն է։")</f>
        <v>Ավստրալիայի ազգային կենդանին կենգուրուն է։</v>
      </c>
    </row>
    <row r="8320">
      <c r="A8320" s="5" t="s">
        <v>9797</v>
      </c>
      <c r="B8320" s="5" t="s">
        <v>7494</v>
      </c>
      <c r="C8320" s="5" t="str">
        <f>IFERROR(__xludf.DUMMYFUNCTION("GOOGLETRANSLATE(A8320,""en"",""hy"")"),"Քանի՞ տարր կա պարբերական աղյուսակում:")</f>
        <v>Քանի՞ տարր կա պարբերական աղյուսակում:</v>
      </c>
      <c r="D8320" s="6" t="str">
        <f>IFERROR(__xludf.DUMMYFUNCTION("GOOGLETRANSLATE(B8320,""en"",""hy"")"),"Պարբերական աղյուսակում կա 118 տարր։")</f>
        <v>Պարբերական աղյուսակում կա 118 տարր։</v>
      </c>
    </row>
    <row r="8321">
      <c r="A8321" s="5" t="s">
        <v>8843</v>
      </c>
      <c r="B8321" s="5" t="s">
        <v>9176</v>
      </c>
      <c r="C8321" s="5" t="str">
        <f>IFERROR(__xludf.DUMMYFUNCTION("GOOGLETRANSLATE(A8321,""en"",""hy"")"),"Ո՞վ է Հնդկաստանի ներկայիս վարչապետը:")</f>
        <v>Ո՞վ է Հնդկաստանի ներկայիս վարչապետը:</v>
      </c>
      <c r="D8321" s="6" t="str">
        <f>IFERROR(__xludf.DUMMYFUNCTION("GOOGLETRANSLATE(B8321,""en"",""hy"")"),"Նարենդրա Մոդի.")</f>
        <v>Նարենդրա Մոդի.</v>
      </c>
    </row>
    <row r="8322">
      <c r="A8322" s="5" t="s">
        <v>9798</v>
      </c>
      <c r="B8322" s="5" t="s">
        <v>7464</v>
      </c>
      <c r="C8322" s="5" t="str">
        <f>IFERROR(__xludf.DUMMYFUNCTION("GOOGLETRANSLATE(A8322,""en"",""hy"")"),"Ո՞րն է աշխարհի ամենամեծ լեռը:")</f>
        <v>Ո՞րն է աշխարհի ամենամեծ լեռը:</v>
      </c>
      <c r="D8322" s="6" t="str">
        <f>IFERROR(__xludf.DUMMYFUNCTION("GOOGLETRANSLATE(B8322,""en"",""hy"")"),"Էվերեստ լեռ.")</f>
        <v>Էվերեստ լեռ.</v>
      </c>
    </row>
    <row r="8323">
      <c r="A8323" s="5" t="s">
        <v>7849</v>
      </c>
      <c r="B8323" s="5" t="s">
        <v>7541</v>
      </c>
      <c r="C8323" s="5" t="str">
        <f>IFERROR(__xludf.DUMMYFUNCTION("GOOGLETRANSLATE(A8323,""en"",""hy"")"),"Ո՞վ է գրել «Սպանել ծաղրող թռչունին» վեպը:")</f>
        <v>Ո՞վ է գրել «Սպանել ծաղրող թռչունին» վեպը:</v>
      </c>
      <c r="D8323" s="6" t="str">
        <f>IFERROR(__xludf.DUMMYFUNCTION("GOOGLETRANSLATE(B8323,""en"",""hy"")"),"Հարփեր Լի.")</f>
        <v>Հարփեր Լի.</v>
      </c>
    </row>
    <row r="8324">
      <c r="A8324" s="5" t="s">
        <v>7589</v>
      </c>
      <c r="B8324" s="5" t="s">
        <v>7545</v>
      </c>
      <c r="C8324" s="5" t="str">
        <f>IFERROR(__xludf.DUMMYFUNCTION("GOOGLETRANSLATE(A8324,""en"",""hy"")"),"Ո՞րն է Իտալիայի մայրաքաղաքը:")</f>
        <v>Ո՞րն է Իտալիայի մայրաքաղաքը:</v>
      </c>
      <c r="D8324" s="6" t="str">
        <f>IFERROR(__xludf.DUMMYFUNCTION("GOOGLETRANSLATE(B8324,""en"",""hy"")"),"Հռոմ.")</f>
        <v>Հռոմ.</v>
      </c>
    </row>
    <row r="8325">
      <c r="A8325" s="5" t="s">
        <v>7773</v>
      </c>
      <c r="B8325" s="5" t="s">
        <v>7774</v>
      </c>
      <c r="C8325" s="5" t="str">
        <f>IFERROR(__xludf.DUMMYFUNCTION("GOOGLETRANSLATE(A8325,""en"",""hy"")"),"Ո՞վ է հայտնաբերել պենիցիլինը:")</f>
        <v>Ո՞վ է հայտնաբերել պենիցիլինը:</v>
      </c>
      <c r="D8325" s="6" t="str">
        <f>IFERROR(__xludf.DUMMYFUNCTION("GOOGLETRANSLATE(B8325,""en"",""hy"")"),"Ալեքսանդր Ֆլեմինգը հայտնաբերել է պենիցիլին:")</f>
        <v>Ալեքսանդր Ֆլեմինգը հայտնաբերել է պենիցիլին:</v>
      </c>
    </row>
    <row r="8326">
      <c r="A8326" s="5" t="s">
        <v>7699</v>
      </c>
      <c r="B8326" s="5" t="s">
        <v>7700</v>
      </c>
      <c r="C8326" s="5" t="str">
        <f>IFERROR(__xludf.DUMMYFUNCTION("GOOGLETRANSLATE(A8326,""en"",""hy"")"),"Ո՞րն է ածխածնի քիմիական նշանը:")</f>
        <v>Ո՞րն է ածխածնի քիմիական նշանը:</v>
      </c>
      <c r="D8326" s="6" t="str">
        <f>IFERROR(__xludf.DUMMYFUNCTION("GOOGLETRANSLATE(B8326,""en"",""hy"")"),"Ածխածնի քիմիական նշանը C է:")</f>
        <v>Ածխածնի քիմիական նշանը C է:</v>
      </c>
    </row>
    <row r="8327">
      <c r="A8327" s="5" t="s">
        <v>9799</v>
      </c>
      <c r="B8327" s="5" t="s">
        <v>9800</v>
      </c>
      <c r="C8327" s="5" t="str">
        <f>IFERROR(__xludf.DUMMYFUNCTION("GOOGLETRANSLATE(A8327,""en"",""hy"")"),"Ո՞վ է հորինել հարաբերականության տեսությունը:")</f>
        <v>Ո՞վ է հորինել հարաբերականության տեսությունը:</v>
      </c>
      <c r="D8327" s="6" t="str">
        <f>IFERROR(__xludf.DUMMYFUNCTION("GOOGLETRANSLATE(B8327,""en"",""hy"")"),"Ալբեր Էյնշտեյն.")</f>
        <v>Ալբեր Էյնշտեյն.</v>
      </c>
    </row>
    <row r="8328">
      <c r="A8328" s="5" t="s">
        <v>7526</v>
      </c>
      <c r="B8328" s="5" t="s">
        <v>7527</v>
      </c>
      <c r="C8328" s="5" t="str">
        <f>IFERROR(__xludf.DUMMYFUNCTION("GOOGLETRANSLATE(A8328,""en"",""hy"")"),"Ո՞րն է աշխարհի ամենամեծ կղզին:")</f>
        <v>Ո՞րն է աշխարհի ամենամեծ կղզին:</v>
      </c>
      <c r="D8328" s="6" t="str">
        <f>IFERROR(__xludf.DUMMYFUNCTION("GOOGLETRANSLATE(B8328,""en"",""hy"")"),"Գրենլանդիա.")</f>
        <v>Գրենլանդիա.</v>
      </c>
    </row>
    <row r="8329">
      <c r="A8329" s="5" t="s">
        <v>8298</v>
      </c>
      <c r="B8329" s="5" t="s">
        <v>9071</v>
      </c>
      <c r="C8329" s="5" t="str">
        <f>IFERROR(__xludf.DUMMYFUNCTION("GOOGLETRANSLATE(A8329,""en"",""hy"")"),"Ո՞ր թվականին է փլվել Բեռլինի պատը:")</f>
        <v>Ո՞ր թվականին է փլվել Բեռլինի պատը:</v>
      </c>
      <c r="D8329" s="6" t="str">
        <f>IFERROR(__xludf.DUMMYFUNCTION("GOOGLETRANSLATE(B8329,""en"",""hy"")"),"Բեռլինի պատը փլվեց 1989թ.")</f>
        <v>Բեռլինի պատը փլվեց 1989թ.</v>
      </c>
    </row>
    <row r="8330">
      <c r="A8330" s="5" t="s">
        <v>7852</v>
      </c>
      <c r="B8330" s="5" t="s">
        <v>7853</v>
      </c>
      <c r="C8330" s="5" t="str">
        <f>IFERROR(__xludf.DUMMYFUNCTION("GOOGLETRANSLATE(A8330,""en"",""hy"")"),"Ո՞վ է ներկայիս Անգլիայի թագուհին:")</f>
        <v>Ո՞վ է ներկայիս Անգլիայի թագուհին:</v>
      </c>
      <c r="D8330" s="6" t="str">
        <f>IFERROR(__xludf.DUMMYFUNCTION("GOOGLETRANSLATE(B8330,""en"",""hy"")"),"Եղիսաբեթ II թագուհին.")</f>
        <v>Եղիսաբեթ II թագուհին.</v>
      </c>
    </row>
    <row r="8331">
      <c r="A8331" s="5" t="s">
        <v>8127</v>
      </c>
      <c r="B8331" s="5" t="s">
        <v>6556</v>
      </c>
      <c r="C8331" s="5" t="str">
        <f>IFERROR(__xludf.DUMMYFUNCTION("GOOGLETRANSLATE(A8331,""en"",""hy"")"),"Ո՞րն է Ռուսաստանի պաշտոնական լեզուն:")</f>
        <v>Ո՞րն է Ռուսաստանի պաշտոնական լեզուն:</v>
      </c>
      <c r="D8331" s="6" t="str">
        <f>IFERROR(__xludf.DUMMYFUNCTION("GOOGLETRANSLATE(B8331,""en"",""hy"")"),"Ռուսաստանի պաշտոնական լեզուն ռուսերենն է։")</f>
        <v>Ռուսաստանի պաշտոնական լեզուն ռուսերենն է։</v>
      </c>
    </row>
    <row r="8332">
      <c r="A8332" s="5" t="s">
        <v>8264</v>
      </c>
      <c r="B8332" s="5" t="s">
        <v>7621</v>
      </c>
      <c r="C8332" s="5" t="str">
        <f>IFERROR(__xludf.DUMMYFUNCTION("GOOGLETRANSLATE(A8332,""en"",""hy"")"),"Ո՞վ է նկարել հայտնի «Վեներայի ծնունդը» ստեղծագործությունը:")</f>
        <v>Ո՞վ է նկարել հայտնի «Վեներայի ծնունդը» ստեղծագործությունը:</v>
      </c>
      <c r="D8332" s="6" t="str">
        <f>IFERROR(__xludf.DUMMYFUNCTION("GOOGLETRANSLATE(B8332,""en"",""hy"")"),"Սանդրո Բոտիչելի.")</f>
        <v>Սանդրո Բոտիչելի.</v>
      </c>
    </row>
    <row r="8333">
      <c r="A8333" s="5" t="s">
        <v>8161</v>
      </c>
      <c r="B8333" s="5" t="s">
        <v>8162</v>
      </c>
      <c r="C8333" s="5" t="str">
        <f>IFERROR(__xludf.DUMMYFUNCTION("GOOGLETRANSLATE(A8333,""en"",""hy"")"),"Ո՞րն է Ճապոնիայի ազգային ծաղիկը:")</f>
        <v>Ո՞րն է Ճապոնիայի ազգային ծաղիկը:</v>
      </c>
      <c r="D8333" s="6" t="str">
        <f>IFERROR(__xludf.DUMMYFUNCTION("GOOGLETRANSLATE(B8333,""en"",""hy"")"),"Ճապոնիայի ազգային ծաղիկը բալի ծաղիկն է:")</f>
        <v>Ճապոնիայի ազգային ծաղիկը բալի ծաղիկն է:</v>
      </c>
    </row>
    <row r="8334">
      <c r="A8334" s="5" t="s">
        <v>8181</v>
      </c>
      <c r="B8334" s="5" t="s">
        <v>8100</v>
      </c>
      <c r="C8334" s="5" t="str">
        <f>IFERROR(__xludf.DUMMYFUNCTION("GOOGLETRANSLATE(A8334,""en"",""hy"")"),"Քանի՞ մոլորակ կա մեր արեգակնային համակարգում:")</f>
        <v>Քանի՞ մոլորակ կա մեր արեգակնային համակարգում:</v>
      </c>
      <c r="D8334" s="6" t="str">
        <f>IFERROR(__xludf.DUMMYFUNCTION("GOOGLETRANSLATE(B8334,""en"",""hy"")"),"Մեր Արեգակնային համակարգում կա ութ մոլորակ:")</f>
        <v>Մեր Արեգակնային համակարգում կա ութ մոլորակ:</v>
      </c>
    </row>
    <row r="8335">
      <c r="A8335" s="5" t="s">
        <v>9801</v>
      </c>
      <c r="B8335" s="5" t="s">
        <v>9802</v>
      </c>
      <c r="C8335" s="5" t="str">
        <f>IFERROR(__xludf.DUMMYFUNCTION("GOOGLETRANSLATE(A8335,""en"",""hy"")"),"Ո՞վ է արժանացել գրականության Նոբելյան մրցանակի 2020 թվականին:")</f>
        <v>Ո՞վ է արժանացել գրականության Նոբելյան մրցանակի 2020 թվականին:</v>
      </c>
      <c r="D8335" s="6" t="str">
        <f>IFERROR(__xludf.DUMMYFUNCTION("GOOGLETRANSLATE(B8335,""en"",""hy"")"),"Լուիզա Գլյուկ")</f>
        <v>Լուիզա Գլյուկ</v>
      </c>
    </row>
    <row r="8336">
      <c r="A8336" s="5" t="s">
        <v>7595</v>
      </c>
      <c r="B8336" s="5" t="s">
        <v>7596</v>
      </c>
      <c r="C8336" s="5" t="str">
        <f>IFERROR(__xludf.DUMMYFUNCTION("GOOGLETRANSLATE(A8336,""en"",""hy"")"),"Ո՞րն է Բրազիլիայի արժույթը:")</f>
        <v>Ո՞րն է Բրազիլիայի արժույթը:</v>
      </c>
      <c r="D8336" s="6" t="str">
        <f>IFERROR(__xludf.DUMMYFUNCTION("GOOGLETRANSLATE(B8336,""en"",""hy"")"),"Բրազիլիայի արժույթը բրազիլական ռեալն է։")</f>
        <v>Բրազիլիայի արժույթը բրազիլական ռեալն է։</v>
      </c>
    </row>
    <row r="8337">
      <c r="A8337" s="5" t="s">
        <v>7655</v>
      </c>
      <c r="B8337" s="5" t="s">
        <v>7656</v>
      </c>
      <c r="C8337" s="5" t="str">
        <f>IFERROR(__xludf.DUMMYFUNCTION("GOOGLETRANSLATE(A8337,""en"",""hy"")"),"Ո՞վ է գրել «Ագռավը» բանաստեղծությունը:")</f>
        <v>Ո՞վ է գրել «Ագռավը» բանաստեղծությունը:</v>
      </c>
      <c r="D8337" s="6" t="str">
        <f>IFERROR(__xludf.DUMMYFUNCTION("GOOGLETRANSLATE(B8337,""en"",""hy"")"),"Էդգար Ալան Պո.")</f>
        <v>Էդգար Ալան Պո.</v>
      </c>
    </row>
    <row r="8338">
      <c r="A8338" s="5" t="s">
        <v>7574</v>
      </c>
      <c r="B8338" s="5" t="s">
        <v>9803</v>
      </c>
      <c r="C8338" s="5" t="str">
        <f>IFERROR(__xludf.DUMMYFUNCTION("GOOGLETRANSLATE(A8338,""en"",""hy"")"),"Ո՞րն է Չինաստանի մայրաքաղաքը:")</f>
        <v>Ո՞րն է Չինաստանի մայրաքաղաքը:</v>
      </c>
      <c r="D8338" s="6" t="str">
        <f>IFERROR(__xludf.DUMMYFUNCTION("GOOGLETRANSLATE(B8338,""en"",""hy"")"),"Չինաստանի մայրաքաղաքը Պեկինն է։")</f>
        <v>Չինաստանի մայրաքաղաքը Պեկինն է։</v>
      </c>
    </row>
    <row r="8339">
      <c r="A8339" s="5" t="s">
        <v>8312</v>
      </c>
      <c r="B8339" s="5" t="s">
        <v>8313</v>
      </c>
      <c r="C8339" s="5" t="str">
        <f>IFERROR(__xludf.DUMMYFUNCTION("GOOGLETRANSLATE(A8339,""en"",""hy"")"),"Ո՞ւմ է վերագրվում լամպի հայտնագործությունը:")</f>
        <v>Ո՞ւմ է վերագրվում լամպի հայտնագործությունը:</v>
      </c>
      <c r="D8339" s="6" t="str">
        <f>IFERROR(__xludf.DUMMYFUNCTION("GOOGLETRANSLATE(B8339,""en"",""hy"")"),"Թոմաս Էդիսոն")</f>
        <v>Թոմաս Էդիսոն</v>
      </c>
    </row>
    <row r="8340">
      <c r="A8340" s="5" t="s">
        <v>7592</v>
      </c>
      <c r="B8340" s="5" t="s">
        <v>7593</v>
      </c>
      <c r="C8340" s="5" t="str">
        <f>IFERROR(__xludf.DUMMYFUNCTION("GOOGLETRANSLATE(A8340,""en"",""hy"")"),"Ո՞րն է թթվածնի քիմիական նշանը:")</f>
        <v>Ո՞րն է թթվածնի քիմիական նշանը:</v>
      </c>
      <c r="D8340" s="6" t="str">
        <f>IFERROR(__xludf.DUMMYFUNCTION("GOOGLETRANSLATE(B8340,""en"",""hy"")"),"Թթվածնի քիմիական նշանը O է:")</f>
        <v>Թթվածնի քիմիական նշանը O է:</v>
      </c>
    </row>
    <row r="8341">
      <c r="A8341" s="5" t="s">
        <v>8115</v>
      </c>
      <c r="B8341" s="5" t="s">
        <v>9278</v>
      </c>
      <c r="C8341" s="5" t="str">
        <f>IFERROR(__xludf.DUMMYFUNCTION("GOOGLETRANSLATE(A8341,""en"",""hy"")"),"Ո՞վ է եղել Միացյալ Թագավորության առաջին կին վարչապետը:")</f>
        <v>Ո՞վ է եղել Միացյալ Թագավորության առաջին կին վարչապետը:</v>
      </c>
      <c r="D8341" s="6" t="str">
        <f>IFERROR(__xludf.DUMMYFUNCTION("GOOGLETRANSLATE(B8341,""en"",""hy"")"),"Մարգարեթ Թետչեր.")</f>
        <v>Մարգարեթ Թետչեր.</v>
      </c>
    </row>
    <row r="8342">
      <c r="A8342" s="5" t="s">
        <v>7618</v>
      </c>
      <c r="B8342" s="5" t="s">
        <v>9804</v>
      </c>
      <c r="C8342" s="5" t="str">
        <f>IFERROR(__xludf.DUMMYFUNCTION("GOOGLETRANSLATE(A8342,""en"",""hy"")"),"Ո՞րն է աշխարհի ամենամեծ ջրվեժը:")</f>
        <v>Ո՞րն է աշխարհի ամենամեծ ջրվեժը:</v>
      </c>
      <c r="D8342" s="6" t="str">
        <f>IFERROR(__xludf.DUMMYFUNCTION("GOOGLETRANSLATE(B8342,""en"",""hy"")"),"Վիկտորիա ջրվեժ.")</f>
        <v>Վիկտորիա ջրվեժ.</v>
      </c>
    </row>
    <row r="8343">
      <c r="A8343" s="5" t="s">
        <v>7443</v>
      </c>
      <c r="B8343" s="5" t="s">
        <v>7444</v>
      </c>
      <c r="C8343" s="5" t="str">
        <f>IFERROR(__xludf.DUMMYFUNCTION("GOOGLETRANSLATE(A8343,""en"",""hy"")"),"Ո՞վ է գրել «1984» վեպը։")</f>
        <v>Ո՞վ է գրել «1984» վեպը։</v>
      </c>
      <c r="D8343" s="6" t="str">
        <f>IFERROR(__xludf.DUMMYFUNCTION("GOOGLETRANSLATE(B8343,""en"",""hy"")"),"Ջորջ Օրուել.")</f>
        <v>Ջորջ Օրուել.</v>
      </c>
    </row>
    <row r="8344">
      <c r="A8344" s="5" t="s">
        <v>7780</v>
      </c>
      <c r="B8344" s="5" t="s">
        <v>2951</v>
      </c>
      <c r="C8344" s="5" t="str">
        <f>IFERROR(__xludf.DUMMYFUNCTION("GOOGLETRANSLATE(A8344,""en"",""hy"")"),"Ո՞րն է Կանադայի մայրաքաղաքը:")</f>
        <v>Ո՞րն է Կանադայի մայրաքաղաքը:</v>
      </c>
      <c r="D8344" s="6" t="str">
        <f>IFERROR(__xludf.DUMMYFUNCTION("GOOGLETRANSLATE(B8344,""en"",""hy"")"),"Օտտավա.")</f>
        <v>Օտտավա.</v>
      </c>
    </row>
    <row r="8345">
      <c r="A8345" s="5" t="s">
        <v>8698</v>
      </c>
      <c r="B8345" s="5" t="s">
        <v>7956</v>
      </c>
      <c r="C8345" s="5" t="str">
        <f>IFERROR(__xludf.DUMMYFUNCTION("GOOGLETRANSLATE(A8345,""en"",""hy"")"),"Ո՞վ է հայտնաբերել գրավիտացիայի տեսությունը:")</f>
        <v>Ո՞վ է հայտնաբերել գրավիտացիայի տեսությունը:</v>
      </c>
      <c r="D8345" s="6" t="str">
        <f>IFERROR(__xludf.DUMMYFUNCTION("GOOGLETRANSLATE(B8345,""en"",""hy"")"),"Իսահակ Նյուտոն.")</f>
        <v>Իսահակ Նյուտոն.</v>
      </c>
    </row>
    <row r="8346">
      <c r="A8346" s="5" t="s">
        <v>7557</v>
      </c>
      <c r="B8346" s="5" t="s">
        <v>7857</v>
      </c>
      <c r="C8346" s="5" t="str">
        <f>IFERROR(__xludf.DUMMYFUNCTION("GOOGLETRANSLATE(A8346,""en"",""hy"")"),"Ո՞րն է երկաթի քիմիական նշանը:")</f>
        <v>Ո՞րն է երկաթի քիմիական նշանը:</v>
      </c>
      <c r="D8346" s="6" t="str">
        <f>IFERROR(__xludf.DUMMYFUNCTION("GOOGLETRANSLATE(B8346,""en"",""hy"")"),"Երկաթի քիմիական նշանը Fe է:")</f>
        <v>Երկաթի քիմիական նշանը Fe է:</v>
      </c>
    </row>
    <row r="8347">
      <c r="A8347" s="5" t="s">
        <v>7601</v>
      </c>
      <c r="B8347" s="5" t="s">
        <v>3966</v>
      </c>
      <c r="C8347" s="5" t="str">
        <f>IFERROR(__xludf.DUMMYFUNCTION("GOOGLETRANSLATE(A8347,""en"",""hy"")"),"Ո՞վ է Ֆրանսիայի ներկայիս նախագահը.")</f>
        <v>Ո՞վ է Ֆրանսիայի ներկայիս նախագահը.</v>
      </c>
      <c r="D8347" s="6" t="str">
        <f>IFERROR(__xludf.DUMMYFUNCTION("GOOGLETRANSLATE(B8347,""en"",""hy"")"),"Էմանուել Մակրոն.")</f>
        <v>Էմանուել Մակրոն.</v>
      </c>
    </row>
    <row r="8348">
      <c r="A8348" s="5" t="s">
        <v>7480</v>
      </c>
      <c r="B8348" s="5" t="s">
        <v>8688</v>
      </c>
      <c r="C8348" s="5" t="str">
        <f>IFERROR(__xludf.DUMMYFUNCTION("GOOGLETRANSLATE(A8348,""en"",""hy"")"),"Ո՞րն է Միացյալ Նահանգների ազգային թռչունը:")</f>
        <v>Ո՞րն է Միացյալ Նահանգների ազգային թռչունը:</v>
      </c>
      <c r="D8348" s="6" t="str">
        <f>IFERROR(__xludf.DUMMYFUNCTION("GOOGLETRANSLATE(B8348,""en"",""hy"")"),"Միացյալ Նահանգների ազգային թռչունը ճաղատ արծիվն է:")</f>
        <v>Միացյալ Նահանգների ազգային թռչունը ճաղատ արծիվն է:</v>
      </c>
    </row>
    <row r="8349">
      <c r="A8349" s="5" t="s">
        <v>8014</v>
      </c>
      <c r="B8349" s="5" t="s">
        <v>8460</v>
      </c>
      <c r="C8349" s="5" t="str">
        <f>IFERROR(__xludf.DUMMYFUNCTION("GOOGLETRANSLATE(A8349,""en"",""hy"")"),"Քանի՞ խաղացող կա բասկետբոլի թիմում:")</f>
        <v>Քանի՞ խաղացող կա բասկետբոլի թիմում:</v>
      </c>
      <c r="D8349" s="6" t="str">
        <f>IFERROR(__xludf.DUMMYFUNCTION("GOOGLETRANSLATE(B8349,""en"",""hy"")"),"Բասկետբոլի թիմում 5 խաղացող կա։")</f>
        <v>Բասկետբոլի թիմում 5 խաղացող կա։</v>
      </c>
    </row>
    <row r="8350">
      <c r="A8350" s="5" t="s">
        <v>7744</v>
      </c>
      <c r="B8350" s="5" t="s">
        <v>7745</v>
      </c>
      <c r="C8350" s="5" t="str">
        <f>IFERROR(__xludf.DUMMYFUNCTION("GOOGLETRANSLATE(A8350,""en"",""hy"")"),"Ո՞վ է նկարել հայտնի «Հիշողության համառությունը» ստեղծագործությունը:")</f>
        <v>Ո՞վ է նկարել հայտնի «Հիշողության համառությունը» ստեղծագործությունը:</v>
      </c>
      <c r="D8350" s="6" t="str">
        <f>IFERROR(__xludf.DUMMYFUNCTION("GOOGLETRANSLATE(B8350,""en"",""hy"")"),"Սալվադոր Դալի.")</f>
        <v>Սալվադոր Դալի.</v>
      </c>
    </row>
    <row r="8351">
      <c r="A8351" s="5" t="s">
        <v>7706</v>
      </c>
      <c r="B8351" s="5" t="s">
        <v>7707</v>
      </c>
      <c r="C8351" s="5" t="str">
        <f>IFERROR(__xludf.DUMMYFUNCTION("GOOGLETRANSLATE(A8351,""en"",""hy"")"),"Ո՞րն է Միացյալ Թագավորության արժույթը:")</f>
        <v>Ո՞րն է Միացյալ Թագավորության արժույթը:</v>
      </c>
      <c r="D8351" s="6" t="str">
        <f>IFERROR(__xludf.DUMMYFUNCTION("GOOGLETRANSLATE(B8351,""en"",""hy"")"),"Միացյալ Թագավորության արժույթը բրիտանական ֆունտն է։")</f>
        <v>Միացյալ Թագավորության արժույթը բրիտանական ֆունտն է։</v>
      </c>
    </row>
    <row r="8352">
      <c r="A8352" s="5" t="s">
        <v>7683</v>
      </c>
      <c r="B8352" s="5" t="s">
        <v>1016</v>
      </c>
      <c r="C8352" s="5" t="str">
        <f>IFERROR(__xludf.DUMMYFUNCTION("GOOGLETRANSLATE(A8352,""en"",""hy"")"),"Ո՞վ է գրել «Համլետ» պիեսը։")</f>
        <v>Ո՞վ է գրել «Համլետ» պիեսը։</v>
      </c>
      <c r="D8352" s="6" t="str">
        <f>IFERROR(__xludf.DUMMYFUNCTION("GOOGLETRANSLATE(B8352,""en"",""hy"")"),"Ուիլյամ Շեքսպիր.")</f>
        <v>Ուիլյամ Շեքսպիր.</v>
      </c>
    </row>
    <row r="8353">
      <c r="A8353" s="5" t="s">
        <v>7626</v>
      </c>
      <c r="B8353" s="5" t="s">
        <v>8066</v>
      </c>
      <c r="C8353" s="5" t="str">
        <f>IFERROR(__xludf.DUMMYFUNCTION("GOOGLETRANSLATE(A8353,""en"",""hy"")"),"Ո՞րն է Գերմանիայի մայրաքաղաքը:")</f>
        <v>Ո՞րն է Գերմանիայի մայրաքաղաքը:</v>
      </c>
      <c r="D8353" s="6" t="str">
        <f>IFERROR(__xludf.DUMMYFUNCTION("GOOGLETRANSLATE(B8353,""en"",""hy"")"),"Բեռլին.")</f>
        <v>Բեռլին.</v>
      </c>
    </row>
    <row r="8354">
      <c r="A8354" s="5" t="s">
        <v>8454</v>
      </c>
      <c r="B8354" s="7">
        <v>1776.0</v>
      </c>
      <c r="C8354" s="5" t="str">
        <f>IFERROR(__xludf.DUMMYFUNCTION("GOOGLETRANSLATE(A8354,""en"",""hy"")"),"Ո՞ր թվականին է Միացյալ Նահանգները հռչակել անկախությունը Մեծ Բրիտանիայից.")</f>
        <v>Ո՞ր թվականին է Միացյալ Նահանգները հռչակել անկախությունը Մեծ Բրիտանիայից.</v>
      </c>
      <c r="D8354" s="6" t="str">
        <f>IFERROR(__xludf.DUMMYFUNCTION("GOOGLETRANSLATE(B8354,""en"",""hy"")"),"1776 թ")</f>
        <v>1776 թ</v>
      </c>
    </row>
    <row r="8355">
      <c r="A8355" s="5" t="s">
        <v>9805</v>
      </c>
      <c r="B8355" s="5" t="s">
        <v>9806</v>
      </c>
      <c r="C8355" s="5" t="str">
        <f>IFERROR(__xludf.DUMMYFUNCTION("GOOGLETRANSLATE(A8355,""en"",""hy"")"),"Ո՞վ է հայտնի որպես «Համակարգչի հայր»:")</f>
        <v>Ո՞վ է հայտնի որպես «Համակարգչի հայր»:</v>
      </c>
      <c r="D8355" s="6" t="str">
        <f>IFERROR(__xludf.DUMMYFUNCTION("GOOGLETRANSLATE(B8355,""en"",""hy"")"),"Չարլզ Բեբիջ.")</f>
        <v>Չարլզ Բեբիջ.</v>
      </c>
    </row>
    <row r="8356">
      <c r="A8356" s="5" t="s">
        <v>7809</v>
      </c>
      <c r="B8356" s="5" t="s">
        <v>9807</v>
      </c>
      <c r="C8356" s="5" t="str">
        <f>IFERROR(__xludf.DUMMYFUNCTION("GOOGLETRANSLATE(A8356,""en"",""hy"")"),"Ո՞րն է հելիումի քիմիական նշանը:")</f>
        <v>Ո՞րն է հելիումի քիմիական նշանը:</v>
      </c>
      <c r="D8356" s="6" t="str">
        <f>IFERROR(__xludf.DUMMYFUNCTION("GOOGLETRANSLATE(B8356,""en"",""hy"")"),"Նա.")</f>
        <v>Նա.</v>
      </c>
    </row>
    <row r="8357">
      <c r="A8357" s="5" t="s">
        <v>8229</v>
      </c>
      <c r="B8357" s="5" t="s">
        <v>8230</v>
      </c>
      <c r="C8357" s="5" t="str">
        <f>IFERROR(__xludf.DUMMYFUNCTION("GOOGLETRANSLATE(A8357,""en"",""hy"")"),"Ո՞վ հայտնաբերեց Ամերիկան:")</f>
        <v>Ո՞վ հայտնաբերեց Ամերիկան:</v>
      </c>
      <c r="D8357" s="6" t="str">
        <f>IFERROR(__xludf.DUMMYFUNCTION("GOOGLETRANSLATE(B8357,""en"",""hy"")"),"Քրիստափոր Կոլումբոս.")</f>
        <v>Քրիստափոր Կոլումբոս.</v>
      </c>
    </row>
    <row r="8358">
      <c r="A8358" s="5" t="s">
        <v>7489</v>
      </c>
      <c r="B8358" s="5" t="s">
        <v>249</v>
      </c>
      <c r="C8358" s="5" t="str">
        <f>IFERROR(__xludf.DUMMYFUNCTION("GOOGLETRANSLATE(A8358,""en"",""hy"")"),"Ո՞րն է աշխարհի ամենաբարձր շենքը:")</f>
        <v>Ո՞րն է աշխարհի ամենաբարձր շենքը:</v>
      </c>
      <c r="D8358" s="6" t="str">
        <f>IFERROR(__xludf.DUMMYFUNCTION("GOOGLETRANSLATE(B8358,""en"",""hy"")"),"Բուրջ Խալիֆա")</f>
        <v>Բուրջ Խալիֆա</v>
      </c>
    </row>
    <row r="8359">
      <c r="A8359" s="5" t="s">
        <v>7890</v>
      </c>
      <c r="B8359" s="5" t="s">
        <v>7613</v>
      </c>
      <c r="C8359" s="5" t="str">
        <f>IFERROR(__xludf.DUMMYFUNCTION("GOOGLETRANSLATE(A8359,""en"",""hy"")"),"Ո՞վ է գրել «Մեծն Գեթսբի» վեպը:")</f>
        <v>Ո՞վ է գրել «Մեծն Գեթսբի» վեպը:</v>
      </c>
      <c r="D8359" s="6" t="str">
        <f>IFERROR(__xludf.DUMMYFUNCTION("GOOGLETRANSLATE(B8359,""en"",""hy"")"),"F. Scott Fitzgerald")</f>
        <v>F. Scott Fitzgerald</v>
      </c>
    </row>
    <row r="8360">
      <c r="A8360" s="5" t="s">
        <v>7903</v>
      </c>
      <c r="B8360" s="5" t="s">
        <v>5204</v>
      </c>
      <c r="C8360" s="5" t="str">
        <f>IFERROR(__xludf.DUMMYFUNCTION("GOOGLETRANSLATE(A8360,""en"",""hy"")"),"Ո՞րն է Մեքսիկայի մայրաքաղաքը:")</f>
        <v>Ո՞րն է Մեքսիկայի մայրաքաղաքը:</v>
      </c>
      <c r="D8360" s="6" t="str">
        <f>IFERROR(__xludf.DUMMYFUNCTION("GOOGLETRANSLATE(B8360,""en"",""hy"")"),"Մեխիկո Սիթի")</f>
        <v>Մեխիկո Սիթի</v>
      </c>
    </row>
    <row r="8361">
      <c r="A8361" s="5" t="s">
        <v>9808</v>
      </c>
      <c r="B8361" s="5" t="s">
        <v>9809</v>
      </c>
      <c r="C8361" s="5" t="str">
        <f>IFERROR(__xludf.DUMMYFUNCTION("GOOGLETRANSLATE(A8361,""en"",""hy"")"),"Ո՞վ է արժանացել Խաղաղության Նոբելյան մրցանակի 2020 թվականին:")</f>
        <v>Ո՞վ է արժանացել Խաղաղության Նոբելյան մրցանակի 2020 թվականին:</v>
      </c>
      <c r="D8361" s="6" t="str">
        <f>IFERROR(__xludf.DUMMYFUNCTION("GOOGLETRANSLATE(B8361,""en"",""hy"")"),"Պարենի համաշխարհային ծրագիրը (ՊՀԾ) արժանացել է Խաղաղության Նոբելյան մրցանակի 2020 թվականին։")</f>
        <v>Պարենի համաշխարհային ծրագիրը (ՊՀԾ) արժանացել է Խաղաղության Նոբելյան մրցանակի 2020 թվականին։</v>
      </c>
    </row>
    <row r="8362">
      <c r="A8362" s="5" t="s">
        <v>7599</v>
      </c>
      <c r="B8362" s="5" t="s">
        <v>7600</v>
      </c>
      <c r="C8362" s="5" t="str">
        <f>IFERROR(__xludf.DUMMYFUNCTION("GOOGLETRANSLATE(A8362,""en"",""hy"")"),"Ո՞րն է աշխարհի ամենամեծ լիճը:")</f>
        <v>Ո՞րն է աշխարհի ամենամեծ լիճը:</v>
      </c>
      <c r="D8362" s="6" t="str">
        <f>IFERROR(__xludf.DUMMYFUNCTION("GOOGLETRANSLATE(B8362,""en"",""hy"")"),"Աշխարհի ամենամեծ լիճը Կասպից ծովն է։")</f>
        <v>Աշխարհի ամենամեծ լիճը Կասպից ծովն է։</v>
      </c>
    </row>
    <row r="8363">
      <c r="A8363" s="5" t="s">
        <v>7606</v>
      </c>
      <c r="B8363" s="5" t="s">
        <v>8448</v>
      </c>
      <c r="C8363" s="5" t="str">
        <f>IFERROR(__xludf.DUMMYFUNCTION("GOOGLETRANSLATE(A8363,""en"",""hy"")"),"Ո՞վ է հորինել էվոլյուցիայի տեսությունը:")</f>
        <v>Ո՞վ է հորինել էվոլյուցիայի տեսությունը:</v>
      </c>
      <c r="D8363" s="6" t="str">
        <f>IFERROR(__xludf.DUMMYFUNCTION("GOOGLETRANSLATE(B8363,""en"",""hy"")"),"Չարլզ Դարվին")</f>
        <v>Չարլզ Դարվին</v>
      </c>
    </row>
    <row r="8364">
      <c r="A8364" s="5" t="s">
        <v>7509</v>
      </c>
      <c r="B8364" s="5" t="s">
        <v>7510</v>
      </c>
      <c r="C8364" s="5" t="str">
        <f>IFERROR(__xludf.DUMMYFUNCTION("GOOGLETRANSLATE(A8364,""en"",""hy"")"),"Ո՞րն է արծաթի քիմիական նշանը:")</f>
        <v>Ո՞րն է արծաթի քիմիական նշանը:</v>
      </c>
      <c r="D8364" s="6" t="str">
        <f>IFERROR(__xludf.DUMMYFUNCTION("GOOGLETRANSLATE(B8364,""en"",""hy"")"),"Ագ")</f>
        <v>Ագ</v>
      </c>
    </row>
    <row r="8365">
      <c r="A8365" s="5" t="s">
        <v>8166</v>
      </c>
      <c r="B8365" s="5" t="s">
        <v>5756</v>
      </c>
      <c r="C8365" s="5" t="str">
        <f>IFERROR(__xludf.DUMMYFUNCTION("GOOGLETRANSLATE(A8365,""en"",""hy"")"),"Ո՞վ է Ճապոնիայի ներկայիս վարչապետը:")</f>
        <v>Ո՞վ է Ճապոնիայի ներկայիս վարչապետը:</v>
      </c>
      <c r="D8365" s="6" t="str">
        <f>IFERROR(__xludf.DUMMYFUNCTION("GOOGLETRANSLATE(B8365,""en"",""hy"")"),"Յոսիհիդե Շուգա.")</f>
        <v>Յոսիհիդե Շուգա.</v>
      </c>
    </row>
    <row r="8366">
      <c r="A8366" s="5" t="s">
        <v>7817</v>
      </c>
      <c r="B8366" s="5" t="s">
        <v>7818</v>
      </c>
      <c r="C8366" s="5" t="str">
        <f>IFERROR(__xludf.DUMMYFUNCTION("GOOGLETRANSLATE(A8366,""en"",""hy"")"),"Ո՞րն է Կանադայի ազգային կենդանին:")</f>
        <v>Ո՞րն է Կանադայի ազգային կենդանին:</v>
      </c>
      <c r="D8366" s="6" t="str">
        <f>IFERROR(__xludf.DUMMYFUNCTION("GOOGLETRANSLATE(B8366,""en"",""hy"")"),"Կանադայի ազգային կենդանին կեղևն է:")</f>
        <v>Կանադայի ազգային կենդանին կեղևն է:</v>
      </c>
    </row>
    <row r="8367">
      <c r="A8367" s="5" t="s">
        <v>9810</v>
      </c>
      <c r="B8367" s="5" t="s">
        <v>9811</v>
      </c>
      <c r="C8367" s="5" t="str">
        <f>IFERROR(__xludf.DUMMYFUNCTION("GOOGLETRANSLATE(A8367,""en"",""hy"")"),"Քանի՞ ոսկոր կա մեծահասակ մարդու գանգում:")</f>
        <v>Քանի՞ ոսկոր կա մեծահասակ մարդու գանգում:</v>
      </c>
      <c r="D8367" s="6" t="str">
        <f>IFERROR(__xludf.DUMMYFUNCTION("GOOGLETRANSLATE(B8367,""en"",""hy"")"),"Հասուն մարդու գանգում կա 22 ոսկոր։")</f>
        <v>Հասուն մարդու գանգում կա 22 ոսկոր։</v>
      </c>
    </row>
    <row r="8368">
      <c r="A8368" s="5" t="s">
        <v>8246</v>
      </c>
      <c r="B8368" s="5" t="s">
        <v>7648</v>
      </c>
      <c r="C8368" s="5" t="str">
        <f>IFERROR(__xludf.DUMMYFUNCTION("GOOGLETRANSLATE(A8368,""en"",""hy"")"),"Ո՞վ է նկարել հայտնի «Աստղային գիշերը» արվեստի գործը:")</f>
        <v>Ո՞վ է նկարել հայտնի «Աստղային գիշերը» արվեստի գործը:</v>
      </c>
      <c r="D8368" s="6" t="str">
        <f>IFERROR(__xludf.DUMMYFUNCTION("GOOGLETRANSLATE(B8368,""en"",""hy"")"),"Վինսենթ վան Գոգ.")</f>
        <v>Վինսենթ վան Գոգ.</v>
      </c>
    </row>
    <row r="8369">
      <c r="A8369" s="5" t="s">
        <v>7614</v>
      </c>
      <c r="B8369" s="5" t="s">
        <v>7721</v>
      </c>
      <c r="C8369" s="5" t="str">
        <f>IFERROR(__xludf.DUMMYFUNCTION("GOOGLETRANSLATE(A8369,""en"",""hy"")"),"Ո՞րն է Ֆրանսիայի արժույթը:")</f>
        <v>Ո՞րն է Ֆրանսիայի արժույթը:</v>
      </c>
      <c r="D8369" s="6" t="str">
        <f>IFERROR(__xludf.DUMMYFUNCTION("GOOGLETRANSLATE(B8369,""en"",""hy"")"),"Ֆրանսիայի արժույթը եվրոն է։")</f>
        <v>Ֆրանսիայի արժույթը եվրոն է։</v>
      </c>
    </row>
    <row r="8370">
      <c r="A8370" s="5" t="s">
        <v>7713</v>
      </c>
      <c r="B8370" s="5" t="s">
        <v>7714</v>
      </c>
      <c r="C8370" s="5" t="str">
        <f>IFERROR(__xludf.DUMMYFUNCTION("GOOGLETRANSLATE(A8370,""en"",""hy"")"),"Ո՞վ է գրել «The Waste Land» բանաստեղծությունը:")</f>
        <v>Ո՞վ է գրել «The Waste Land» բանաստեղծությունը:</v>
      </c>
      <c r="D8370" s="6" t="str">
        <f>IFERROR(__xludf.DUMMYFUNCTION("GOOGLETRANSLATE(B8370,""en"",""hy"")"),"Տ.Ս. Էլիոթ.")</f>
        <v>Տ.Ս. Էլիոթ.</v>
      </c>
    </row>
    <row r="8371">
      <c r="A8371" s="5" t="s">
        <v>7608</v>
      </c>
      <c r="B8371" s="5" t="s">
        <v>7609</v>
      </c>
      <c r="C8371" s="5" t="str">
        <f>IFERROR(__xludf.DUMMYFUNCTION("GOOGLETRANSLATE(A8371,""en"",""hy"")"),"Ո՞րն է Հնդկաստանի մայրաքաղաքը:")</f>
        <v>Ո՞րն է Հնդկաստանի մայրաքաղաքը:</v>
      </c>
      <c r="D8371" s="6" t="str">
        <f>IFERROR(__xludf.DUMMYFUNCTION("GOOGLETRANSLATE(B8371,""en"",""hy"")"),"Նյու Դելի.")</f>
        <v>Նյու Դելի.</v>
      </c>
    </row>
    <row r="8372">
      <c r="A8372" s="5" t="s">
        <v>9812</v>
      </c>
      <c r="B8372" s="5" t="s">
        <v>9813</v>
      </c>
      <c r="C8372" s="5" t="str">
        <f>IFERROR(__xludf.DUMMYFUNCTION("GOOGLETRANSLATE(A8372,""en"",""hy"")"),"Ո՞վ է արժանացել «Օսկար» մրցանակի՝ 2020 թվականին լավագույն դերասան անվանակարգում:")</f>
        <v>Ո՞վ է արժանացել «Օսկար» մրցանակի՝ 2020 թվականին լավագույն դերասան անվանակարգում:</v>
      </c>
      <c r="D8372" s="6" t="str">
        <f>IFERROR(__xludf.DUMMYFUNCTION("GOOGLETRANSLATE(B8372,""en"",""hy"")"),"Խոակին Ֆենիքս.")</f>
        <v>Խոակին Ֆենիքս.</v>
      </c>
    </row>
    <row r="8373">
      <c r="A8373" s="5" t="s">
        <v>8378</v>
      </c>
      <c r="B8373" s="5" t="s">
        <v>9814</v>
      </c>
      <c r="C8373" s="5" t="str">
        <f>IFERROR(__xludf.DUMMYFUNCTION("GOOGLETRANSLATE(A8373,""en"",""hy"")"),"Ո՞րն է աշխարհի ամենամեծ ձորը:")</f>
        <v>Ո՞րն է աշխարհի ամենամեծ ձորը:</v>
      </c>
      <c r="D8373" s="6" t="str">
        <f>IFERROR(__xludf.DUMMYFUNCTION("GOOGLETRANSLATE(B8373,""en"",""hy"")"),"Աշխարհի ամենամեծ կիրճը Միացյալ Նահանգների Գրանդ կանյոնն է։")</f>
        <v>Աշխարհի ամենամեծ կիրճը Միացյալ Նահանգների Գրանդ կանյոնն է։</v>
      </c>
    </row>
    <row r="8374">
      <c r="A8374" s="5" t="s">
        <v>7919</v>
      </c>
      <c r="B8374" s="5" t="s">
        <v>7556</v>
      </c>
      <c r="C8374" s="5" t="str">
        <f>IFERROR(__xludf.DUMMYFUNCTION("GOOGLETRANSLATE(A8374,""en"",""hy"")"),"Ո՞վ է հայտնաբերել հարաբերականության տեսությունը:")</f>
        <v>Ո՞վ է հայտնաբերել հարաբերականության տեսությունը:</v>
      </c>
      <c r="D8374" s="6" t="str">
        <f>IFERROR(__xludf.DUMMYFUNCTION("GOOGLETRANSLATE(B8374,""en"",""hy"")"),"Albert Einstein.")</f>
        <v>Albert Einstein.</v>
      </c>
    </row>
    <row r="8375">
      <c r="A8375" s="5" t="s">
        <v>7761</v>
      </c>
      <c r="B8375" s="5" t="s">
        <v>7762</v>
      </c>
      <c r="C8375" s="5" t="str">
        <f>IFERROR(__xludf.DUMMYFUNCTION("GOOGLETRANSLATE(A8375,""en"",""hy"")"),"Ո՞րն է ջրածնի քիմիական նշանը:")</f>
        <v>Ո՞րն է ջրածնի քիմիական նշանը:</v>
      </c>
      <c r="D8375" s="6" t="str">
        <f>IFERROR(__xludf.DUMMYFUNCTION("GOOGLETRANSLATE(B8375,""en"",""hy"")"),"Հ")</f>
        <v>Հ</v>
      </c>
    </row>
    <row r="8376">
      <c r="A8376" s="5" t="s">
        <v>8159</v>
      </c>
      <c r="B8376" s="5" t="s">
        <v>8160</v>
      </c>
      <c r="C8376" s="5" t="str">
        <f>IFERROR(__xludf.DUMMYFUNCTION("GOOGLETRANSLATE(A8376,""en"",""hy"")"),"Ո՞վ է Ռուսաստանի ներկայիս նախագահը.")</f>
        <v>Ո՞վ է Ռուսաստանի ներկայիս նախագահը.</v>
      </c>
      <c r="D8376" s="6" t="str">
        <f>IFERROR(__xludf.DUMMYFUNCTION("GOOGLETRANSLATE(B8376,""en"",""hy"")"),"Վլադիմիր Պուտին.")</f>
        <v>Վլադիմիր Պուտին.</v>
      </c>
    </row>
    <row r="8377">
      <c r="A8377" s="5" t="s">
        <v>7530</v>
      </c>
      <c r="B8377" s="5" t="s">
        <v>7531</v>
      </c>
      <c r="C8377" s="5" t="str">
        <f>IFERROR(__xludf.DUMMYFUNCTION("GOOGLETRANSLATE(A8377,""en"",""hy"")"),"Ո՞րն է Հնդկաստանի ազգային թռչունը:")</f>
        <v>Ո՞րն է Հնդկաստանի ազգային թռչունը:</v>
      </c>
      <c r="D8377" s="6" t="str">
        <f>IFERROR(__xludf.DUMMYFUNCTION("GOOGLETRANSLATE(B8377,""en"",""hy"")"),"Հնդկաստանի ազգային թռչունը սիրամարգն է։")</f>
        <v>Հնդկաստանի ազգային թռչունը սիրամարգն է։</v>
      </c>
    </row>
    <row r="8378">
      <c r="A8378" s="5" t="s">
        <v>8644</v>
      </c>
      <c r="B8378" s="5" t="s">
        <v>8645</v>
      </c>
      <c r="C8378" s="5" t="str">
        <f>IFERROR(__xludf.DUMMYFUNCTION("GOOGLETRANSLATE(A8378,""en"",""hy"")"),"Քանի՞ խաղացող կա վոլեյբոլի թիմում:")</f>
        <v>Քանի՞ խաղացող կա վոլեյբոլի թիմում:</v>
      </c>
      <c r="D8378" s="6" t="str">
        <f>IFERROR(__xludf.DUMMYFUNCTION("GOOGLETRANSLATE(B8378,""en"",""hy"")"),"Վոլեյբոլի թիմում վեց խաղացող կա։")</f>
        <v>Վոլեյբոլի թիմում վեց խաղացող կա։</v>
      </c>
    </row>
    <row r="8379">
      <c r="A8379" s="5" t="s">
        <v>8275</v>
      </c>
      <c r="B8379" s="5" t="s">
        <v>7549</v>
      </c>
      <c r="C8379" s="5" t="str">
        <f>IFERROR(__xludf.DUMMYFUNCTION("GOOGLETRANSLATE(A8379,""en"",""hy"")"),"Ո՞վ է նկարել հայտնի «Մարգարտյա ականջօղով աղջիկը» ստեղծագործությունը:")</f>
        <v>Ո՞վ է նկարել հայտնի «Մարգարտյա ականջօղով աղջիկը» ստեղծագործությունը:</v>
      </c>
      <c r="D8379" s="6" t="str">
        <f>IFERROR(__xludf.DUMMYFUNCTION("GOOGLETRANSLATE(B8379,""en"",""hy"")"),"Յոհաննես Վերմեեր.")</f>
        <v>Յոհաննես Վերմեեր.</v>
      </c>
    </row>
    <row r="8380">
      <c r="A8380" s="5" t="s">
        <v>7579</v>
      </c>
      <c r="B8380" s="5" t="s">
        <v>7580</v>
      </c>
      <c r="C8380" s="5" t="str">
        <f>IFERROR(__xludf.DUMMYFUNCTION("GOOGLETRANSLATE(A8380,""en"",""hy"")"),"Ո՞րն է Գերմանիայի արժույթը:")</f>
        <v>Ո՞րն է Գերմանիայի արժույթը:</v>
      </c>
      <c r="D8380" s="6" t="str">
        <f>IFERROR(__xludf.DUMMYFUNCTION("GOOGLETRANSLATE(B8380,""en"",""hy"")"),"Գերմանիայի արժույթը եվրոն է։")</f>
        <v>Գերմանիայի արժույթը եվրոն է։</v>
      </c>
    </row>
    <row r="8381">
      <c r="A8381" s="5" t="s">
        <v>7642</v>
      </c>
      <c r="B8381" s="5" t="s">
        <v>2951</v>
      </c>
      <c r="C8381" s="5" t="str">
        <f>IFERROR(__xludf.DUMMYFUNCTION("GOOGLETRANSLATE(A8381,""en"",""hy"")"),"Ո՞րն է Կանադայի մայրաքաղաքը:")</f>
        <v>Ո՞րն է Կանադայի մայրաքաղաքը:</v>
      </c>
      <c r="D8381" s="6" t="str">
        <f>IFERROR(__xludf.DUMMYFUNCTION("GOOGLETRANSLATE(B8381,""en"",""hy"")"),"Օտտավա.")</f>
        <v>Օտտավա.</v>
      </c>
    </row>
    <row r="8382">
      <c r="A8382" s="5" t="s">
        <v>7644</v>
      </c>
      <c r="B8382" s="5" t="s">
        <v>7541</v>
      </c>
      <c r="C8382" s="5" t="str">
        <f>IFERROR(__xludf.DUMMYFUNCTION("GOOGLETRANSLATE(A8382,""en"",""hy"")"),"Ո՞վ է «Սպանել ծաղրող թռչունին» գրքի հեղինակը.")</f>
        <v>Ո՞վ է «Սպանել ծաղրող թռչունին» գրքի հեղինակը.</v>
      </c>
      <c r="D8382" s="6" t="str">
        <f>IFERROR(__xludf.DUMMYFUNCTION("GOOGLETRANSLATE(B8382,""en"",""hy"")"),"Հարփեր Լի.")</f>
        <v>Հարփեր Լի.</v>
      </c>
    </row>
    <row r="8383">
      <c r="A8383" s="5" t="s">
        <v>7452</v>
      </c>
      <c r="B8383" s="5" t="s">
        <v>7453</v>
      </c>
      <c r="C8383" s="5" t="str">
        <f>IFERROR(__xludf.DUMMYFUNCTION("GOOGLETRANSLATE(A8383,""en"",""hy"")"),"Ո՞րն է ոսկու քիմիական նշանը:")</f>
        <v>Ո՞րն է ոսկու քիմիական նշանը:</v>
      </c>
      <c r="D8383" s="6" t="str">
        <f>IFERROR(__xludf.DUMMYFUNCTION("GOOGLETRANSLATE(B8383,""en"",""hy"")"),"Ոսկու քիմիական նշանը Au-ն է:")</f>
        <v>Ոսկու քիմիական նշանը Au-ն է:</v>
      </c>
    </row>
    <row r="8384">
      <c r="A8384" s="5" t="s">
        <v>8012</v>
      </c>
      <c r="B8384" s="5" t="s">
        <v>8590</v>
      </c>
      <c r="C8384" s="5" t="str">
        <f>IFERROR(__xludf.DUMMYFUNCTION("GOOGLETRANSLATE(A8384,""en"",""hy"")"),"Ո՞ր մոլորակն է հայտնի որպես Կարմիր մոլորակ:")</f>
        <v>Ո՞ր մոլորակն է հայտնի որպես Կարմիր մոլորակ:</v>
      </c>
      <c r="D8384" s="6" t="str">
        <f>IFERROR(__xludf.DUMMYFUNCTION("GOOGLETRANSLATE(B8384,""en"",""hy"")"),"Մարս")</f>
        <v>Մարս</v>
      </c>
    </row>
    <row r="8385">
      <c r="A8385" s="5" t="s">
        <v>7461</v>
      </c>
      <c r="B8385" s="5" t="s">
        <v>7462</v>
      </c>
      <c r="C8385" s="5" t="str">
        <f>IFERROR(__xludf.DUMMYFUNCTION("GOOGLETRANSLATE(A8385,""en"",""hy"")"),"Ո՞րն է մարդու մարմնի ամենամեծ օրգանը:")</f>
        <v>Ո՞րն է մարդու մարմնի ամենամեծ օրգանը:</v>
      </c>
      <c r="D8385" s="6" t="str">
        <f>IFERROR(__xludf.DUMMYFUNCTION("GOOGLETRANSLATE(B8385,""en"",""hy"")"),"Մաշկը.")</f>
        <v>Մաշկը.</v>
      </c>
    </row>
    <row r="8386">
      <c r="A8386" s="5" t="s">
        <v>7447</v>
      </c>
      <c r="B8386" s="5" t="s">
        <v>7448</v>
      </c>
      <c r="C8386" s="5" t="str">
        <f>IFERROR(__xludf.DUMMYFUNCTION("GOOGLETRANSLATE(A8386,""en"",""hy"")"),"Ո՞վ է նկարել Մոնա Լիզան:")</f>
        <v>Ո՞վ է նկարել Մոնա Լիզան:</v>
      </c>
      <c r="D8386" s="6" t="str">
        <f>IFERROR(__xludf.DUMMYFUNCTION("GOOGLETRANSLATE(B8386,""en"",""hy"")"),"Լեոնարդո դա Վինչի.")</f>
        <v>Լեոնարդո դա Վինչի.</v>
      </c>
    </row>
    <row r="8387">
      <c r="A8387" s="5" t="s">
        <v>8011</v>
      </c>
      <c r="B8387" s="7">
        <v>1945.0</v>
      </c>
      <c r="C8387" s="5" t="str">
        <f>IFERROR(__xludf.DUMMYFUNCTION("GOOGLETRANSLATE(A8387,""en"",""hy"")"),"Ո՞ր թվականին ավարտվեց Երկրորդ համաշխարհային պատերազմը:")</f>
        <v>Ո՞ր թվականին ավարտվեց Երկրորդ համաշխարհային պատերազմը:</v>
      </c>
      <c r="D8387" s="6" t="str">
        <f>IFERROR(__xludf.DUMMYFUNCTION("GOOGLETRANSLATE(B8387,""en"",""hy"")"),"1945 թ")</f>
        <v>1945 թ</v>
      </c>
    </row>
    <row r="8388">
      <c r="A8388" s="5" t="s">
        <v>8161</v>
      </c>
      <c r="B8388" s="5" t="s">
        <v>8162</v>
      </c>
      <c r="C8388" s="5" t="str">
        <f>IFERROR(__xludf.DUMMYFUNCTION("GOOGLETRANSLATE(A8388,""en"",""hy"")"),"Ո՞րն է Ճապոնիայի ազգային ծաղիկը:")</f>
        <v>Ո՞րն է Ճապոնիայի ազգային ծաղիկը:</v>
      </c>
      <c r="D8388" s="6" t="str">
        <f>IFERROR(__xludf.DUMMYFUNCTION("GOOGLETRANSLATE(B8388,""en"",""hy"")"),"Ճապոնիայի ազգային ծաղիկը բալի ծաղիկն է:")</f>
        <v>Ճապոնիայի ազգային ծաղիկը բալի ծաղիկն է:</v>
      </c>
    </row>
    <row r="8389">
      <c r="A8389" s="5" t="s">
        <v>7479</v>
      </c>
      <c r="B8389" s="5" t="s">
        <v>9164</v>
      </c>
      <c r="C8389" s="5" t="str">
        <f>IFERROR(__xludf.DUMMYFUNCTION("GOOGLETRANSLATE(A8389,""en"",""hy"")"),"Ո՞վ է Միացյալ Թագավորության ներկայիս վարչապետը:")</f>
        <v>Ո՞վ է Միացյալ Թագավորության ներկայիս վարչապետը:</v>
      </c>
      <c r="D8389" s="6" t="str">
        <f>IFERROR(__xludf.DUMMYFUNCTION("GOOGLETRANSLATE(B8389,""en"",""hy"")"),"Միացյալ Թագավորության ներկայիս վարչապետը Բորիս Ջոնսոնն է։")</f>
        <v>Միացյալ Թագավորության ներկայիս վարչապետը Բորիս Ջոնսոնն է։</v>
      </c>
    </row>
    <row r="8390">
      <c r="A8390" s="5" t="s">
        <v>7665</v>
      </c>
      <c r="B8390" s="5" t="s">
        <v>7666</v>
      </c>
      <c r="C8390" s="5" t="str">
        <f>IFERROR(__xludf.DUMMYFUNCTION("GOOGLETRANSLATE(A8390,""en"",""hy"")"),"Ո՞րն է նատրիումի քիմիական նշանը:")</f>
        <v>Ո՞րն է նատրիումի քիմիական նշանը:</v>
      </c>
      <c r="D8390" s="6" t="str">
        <f>IFERROR(__xludf.DUMMYFUNCTION("GOOGLETRANSLATE(B8390,""en"",""hy"")"),"Նա")</f>
        <v>Նա</v>
      </c>
    </row>
    <row r="8391">
      <c r="A8391" s="5" t="s">
        <v>8078</v>
      </c>
      <c r="B8391" s="5" t="s">
        <v>7478</v>
      </c>
      <c r="C8391" s="5" t="str">
        <f>IFERROR(__xludf.DUMMYFUNCTION("GOOGLETRANSLATE(A8391,""en"",""hy"")"),"Ո՞ր երկիրն է հայտնի որպես Ծագող Արևի երկիր:")</f>
        <v>Ո՞ր երկիրն է հայտնի որպես Ծագող Արևի երկիր:</v>
      </c>
      <c r="D8391" s="6" t="str">
        <f>IFERROR(__xludf.DUMMYFUNCTION("GOOGLETRANSLATE(B8391,""en"",""hy"")"),"Ճապոնիա.")</f>
        <v>Ճապոնիա.</v>
      </c>
    </row>
    <row r="8392">
      <c r="A8392" s="5" t="s">
        <v>7640</v>
      </c>
      <c r="B8392" s="5" t="s">
        <v>1016</v>
      </c>
      <c r="C8392" s="5" t="str">
        <f>IFERROR(__xludf.DUMMYFUNCTION("GOOGLETRANSLATE(A8392,""en"",""hy"")"),"Ո՞վ է գրել «Ռոմեո և Ջուլիետ» պիեսը:")</f>
        <v>Ո՞վ է գրել «Ռոմեո և Ջուլիետ» պիեսը:</v>
      </c>
      <c r="D8392" s="6" t="str">
        <f>IFERROR(__xludf.DUMMYFUNCTION("GOOGLETRANSLATE(B8392,""en"",""hy"")"),"Ուիլյամ Շեքսպիր.")</f>
        <v>Ուիլյամ Շեքսպիր.</v>
      </c>
    </row>
    <row r="8393">
      <c r="A8393" s="5" t="s">
        <v>7455</v>
      </c>
      <c r="B8393" s="5" t="s">
        <v>8453</v>
      </c>
      <c r="C8393" s="5" t="str">
        <f>IFERROR(__xludf.DUMMYFUNCTION("GOOGLETRANSLATE(A8393,""en"",""hy"")"),"Ո՞րն է աշխարհի ամենամեծ օվկիանոսը:")</f>
        <v>Ո՞րն է աշխարհի ամենամեծ օվկիանոսը:</v>
      </c>
      <c r="D8393" s="6" t="str">
        <f>IFERROR(__xludf.DUMMYFUNCTION("GOOGLETRANSLATE(B8393,""en"",""hy"")"),"Աշխարհի ամենամեծ օվկիանոսը Խաղաղ օվկիանոսն է։")</f>
        <v>Աշխարհի ամենամեծ օվկիանոսը Խաղաղ օվկիանոսն է։</v>
      </c>
    </row>
    <row r="8394">
      <c r="A8394" s="5" t="s">
        <v>7601</v>
      </c>
      <c r="B8394" s="5" t="s">
        <v>3966</v>
      </c>
      <c r="C8394" s="5" t="str">
        <f>IFERROR(__xludf.DUMMYFUNCTION("GOOGLETRANSLATE(A8394,""en"",""hy"")"),"Ո՞վ է Ֆրանսիայի ներկայիս նախագահը.")</f>
        <v>Ո՞վ է Ֆրանսիայի ներկայիս նախագահը.</v>
      </c>
      <c r="D8394" s="6" t="str">
        <f>IFERROR(__xludf.DUMMYFUNCTION("GOOGLETRANSLATE(B8394,""en"",""hy"")"),"Էմանուել Մակրոն.")</f>
        <v>Էմանուել Մակրոն.</v>
      </c>
    </row>
    <row r="8395">
      <c r="A8395" s="5" t="s">
        <v>9815</v>
      </c>
      <c r="B8395" s="5" t="s">
        <v>9816</v>
      </c>
      <c r="C8395" s="5" t="str">
        <f>IFERROR(__xludf.DUMMYFUNCTION("GOOGLETRANSLATE(A8395,""en"",""hy"")"),"Ո՞րն է օդի հիմնական բաղադրիչը:")</f>
        <v>Ո՞րն է օդի հիմնական բաղադրիչը:</v>
      </c>
      <c r="D8395" s="6" t="str">
        <f>IFERROR(__xludf.DUMMYFUNCTION("GOOGLETRANSLATE(B8395,""en"",""hy"")"),"Օդի հիմնական բաղադրիչը ազոտն է։")</f>
        <v>Օդի հիմնական բաղադրիչը ազոտն է։</v>
      </c>
    </row>
    <row r="8396">
      <c r="A8396" s="5" t="s">
        <v>7485</v>
      </c>
      <c r="B8396" s="5" t="s">
        <v>7486</v>
      </c>
      <c r="C8396" s="5" t="str">
        <f>IFERROR(__xludf.DUMMYFUNCTION("GOOGLETRANSLATE(A8396,""en"",""hy"")"),"Ո՞վ է Հարի Փոթերի շարքի հեղինակը:")</f>
        <v>Ո՞վ է Հարի Փոթերի շարքի հեղինակը:</v>
      </c>
      <c r="D8396" s="6" t="str">
        <f>IFERROR(__xludf.DUMMYFUNCTION("GOOGLETRANSLATE(B8396,""en"",""hy"")"),"Ջ.Կ. Ռոուլինգ.")</f>
        <v>Ջ.Կ. Ռոուլինգ.</v>
      </c>
    </row>
    <row r="8397">
      <c r="A8397" s="5" t="s">
        <v>8181</v>
      </c>
      <c r="B8397" s="5" t="s">
        <v>8100</v>
      </c>
      <c r="C8397" s="5" t="str">
        <f>IFERROR(__xludf.DUMMYFUNCTION("GOOGLETRANSLATE(A8397,""en"",""hy"")"),"Քանի՞ մոլորակ կա մեր արեգակնային համակարգում:")</f>
        <v>Քանի՞ մոլորակ կա մեր արեգակնային համակարգում:</v>
      </c>
      <c r="D8397" s="6" t="str">
        <f>IFERROR(__xludf.DUMMYFUNCTION("GOOGLETRANSLATE(B8397,""en"",""hy"")"),"Մեր Արեգակնային համակարգում կա ութ մոլորակ:")</f>
        <v>Մեր Արեգակնային համակարգում կա ութ մոլորակ:</v>
      </c>
    </row>
    <row r="8398">
      <c r="A8398" s="5" t="s">
        <v>7463</v>
      </c>
      <c r="B8398" s="5" t="s">
        <v>7464</v>
      </c>
      <c r="C8398" s="5" t="str">
        <f>IFERROR(__xludf.DUMMYFUNCTION("GOOGLETRANSLATE(A8398,""en"",""hy"")"),"Ո՞րն է աշխարհի ամենաբարձր լեռը:")</f>
        <v>Ո՞րն է աշխարհի ամենաբարձր լեռը:</v>
      </c>
      <c r="D8398" s="6" t="str">
        <f>IFERROR(__xludf.DUMMYFUNCTION("GOOGLETRANSLATE(B8398,""en"",""hy"")"),"Էվերեստ լեռ.")</f>
        <v>Էվերեստ լեռ.</v>
      </c>
    </row>
    <row r="8399">
      <c r="A8399" s="5" t="s">
        <v>8223</v>
      </c>
      <c r="B8399" s="5" t="s">
        <v>9817</v>
      </c>
      <c r="C8399" s="5" t="str">
        <f>IFERROR(__xludf.DUMMYFUNCTION("GOOGLETRANSLATE(A8399,""en"",""hy"")"),"Ո՞վ է հայտնաբերել էլեկտրաէներգիան:")</f>
        <v>Ո՞վ է հայտնաբերել էլեկտրաէներգիան:</v>
      </c>
      <c r="D8399" s="6" t="str">
        <f>IFERROR(__xludf.DUMMYFUNCTION("GOOGLETRANSLATE(B8399,""en"",""hy"")"),"Բենջամին Ֆրանկլինին վերագրվում է էլեկտրաէներգիայի հայտնաբերումը օդապարիկի և բանալիով իր հայտնի փորձի միջոցով 1752 թվականին:")</f>
        <v>Բենջամին Ֆրանկլինին վերագրվում է էլեկտրաէներգիայի հայտնաբերումը օդապարիկի և բանալիով իր հայտնի փորձի միջոցով 1752 թվականին:</v>
      </c>
    </row>
    <row r="8400">
      <c r="A8400" s="5" t="s">
        <v>9728</v>
      </c>
      <c r="B8400" s="5" t="s">
        <v>9729</v>
      </c>
      <c r="C8400" s="5" t="str">
        <f>IFERROR(__xludf.DUMMYFUNCTION("GOOGLETRANSLATE(A8400,""en"",""hy"")"),"Ո՞րն է ջրի բանաձևը:")</f>
        <v>Ո՞րն է ջրի բանաձևը:</v>
      </c>
      <c r="D8400" s="6" t="str">
        <f>IFERROR(__xludf.DUMMYFUNCTION("GOOGLETRANSLATE(B8400,""en"",""hy"")"),"Ջրի բանաձեւը H2O է:")</f>
        <v>Ջրի բանաձեւը H2O է:</v>
      </c>
    </row>
    <row r="8401">
      <c r="A8401" s="5" t="s">
        <v>7791</v>
      </c>
      <c r="B8401" s="5" t="s">
        <v>8128</v>
      </c>
      <c r="C8401" s="5" t="str">
        <f>IFERROR(__xludf.DUMMYFUNCTION("GOOGLETRANSLATE(A8401,""en"",""hy"")"),"Ո՞րն է Ավստրալիայի ազգային կենդանին:")</f>
        <v>Ո՞րն է Ավստրալիայի ազգային կենդանին:</v>
      </c>
      <c r="D8401" s="6" t="str">
        <f>IFERROR(__xludf.DUMMYFUNCTION("GOOGLETRANSLATE(B8401,""en"",""hy"")"),"Կենգուրու.")</f>
        <v>Կենգուրու.</v>
      </c>
    </row>
    <row r="8402">
      <c r="A8402" s="5" t="s">
        <v>7838</v>
      </c>
      <c r="B8402" s="5" t="s">
        <v>7648</v>
      </c>
      <c r="C8402" s="5" t="str">
        <f>IFERROR(__xludf.DUMMYFUNCTION("GOOGLETRANSLATE(A8402,""en"",""hy"")"),"Ո՞վ է նկարել «Աստղային գիշերը»:")</f>
        <v>Ո՞վ է նկարել «Աստղային գիշերը»:</v>
      </c>
      <c r="D8402" s="6" t="str">
        <f>IFERROR(__xludf.DUMMYFUNCTION("GOOGLETRANSLATE(B8402,""en"",""hy"")"),"Վինսենթ վան Գոգ.")</f>
        <v>Վինսենթ վան Գոգ.</v>
      </c>
    </row>
    <row r="8403">
      <c r="A8403" s="5" t="s">
        <v>7497</v>
      </c>
      <c r="B8403" s="5" t="s">
        <v>1299</v>
      </c>
      <c r="C8403" s="5" t="str">
        <f>IFERROR(__xludf.DUMMYFUNCTION("GOOGLETRANSLATE(A8403,""en"",""hy"")"),"Ո՞րն է աշխարհի ամենամեծ մայրցամաքը:")</f>
        <v>Ո՞րն է աշխարհի ամենամեծ մայրցամաքը:</v>
      </c>
      <c r="D8403" s="6" t="str">
        <f>IFERROR(__xludf.DUMMYFUNCTION("GOOGLETRANSLATE(B8403,""en"",""hy"")"),"Ասիա.")</f>
        <v>Ասիա.</v>
      </c>
    </row>
    <row r="8404">
      <c r="A8404" s="5" t="s">
        <v>9818</v>
      </c>
      <c r="B8404" s="5" t="s">
        <v>7635</v>
      </c>
      <c r="C8404" s="5" t="str">
        <f>IFERROR(__xludf.DUMMYFUNCTION("GOOGLETRANSLATE(A8404,""en"",""hy"")"),"Ո՞վ է առաջին մարդը, ով քայլել է լուսնի վրա:")</f>
        <v>Ո՞վ է առաջին մարդը, ով քայլել է լուսնի վրա:</v>
      </c>
      <c r="D8404" s="6" t="str">
        <f>IFERROR(__xludf.DUMMYFUNCTION("GOOGLETRANSLATE(B8404,""en"",""hy"")"),"Նիլ Արմսթրոնգ.")</f>
        <v>Նիլ Արմսթրոնգ.</v>
      </c>
    </row>
    <row r="8405">
      <c r="A8405" s="5" t="s">
        <v>7480</v>
      </c>
      <c r="B8405" s="5" t="s">
        <v>7481</v>
      </c>
      <c r="C8405" s="5" t="str">
        <f>IFERROR(__xludf.DUMMYFUNCTION("GOOGLETRANSLATE(A8405,""en"",""hy"")"),"Ո՞րն է Միացյալ Նահանգների ազգային թռչունը:")</f>
        <v>Ո՞րն է Միացյալ Նահանգների ազգային թռչունը:</v>
      </c>
      <c r="D8405" s="6" t="str">
        <f>IFERROR(__xludf.DUMMYFUNCTION("GOOGLETRANSLATE(B8405,""en"",""hy"")"),"Միացյալ Նահանգների ազգային թռչունը ճաղատ արծիվն է։")</f>
        <v>Միացյալ Նահանգների ազգային թռչունը ճաղատ արծիվն է։</v>
      </c>
    </row>
    <row r="8406">
      <c r="A8406" s="5" t="s">
        <v>7629</v>
      </c>
      <c r="B8406" s="5" t="s">
        <v>7630</v>
      </c>
      <c r="C8406" s="5" t="str">
        <f>IFERROR(__xludf.DUMMYFUNCTION("GOOGLETRANSLATE(A8406,""en"",""hy"")"),"Ո՞վ է «Հպարտություն և նախապաշարմունք» գրքի հեղինակը.")</f>
        <v>Ո՞վ է «Հպարտություն և նախապաշարմունք» գրքի հեղինակը.</v>
      </c>
      <c r="D8406" s="6" t="str">
        <f>IFERROR(__xludf.DUMMYFUNCTION("GOOGLETRANSLATE(B8406,""en"",""hy"")"),"Ջեյն Օսթին.")</f>
        <v>Ջեյն Օսթին.</v>
      </c>
    </row>
    <row r="8407">
      <c r="A8407" s="5" t="s">
        <v>8245</v>
      </c>
      <c r="B8407" s="5" t="s">
        <v>7501</v>
      </c>
      <c r="C8407" s="5" t="str">
        <f>IFERROR(__xludf.DUMMYFUNCTION("GOOGLETRANSLATE(A8407,""en"",""hy"")"),"Ո՞ր քաղաքում է գտնվում Էյֆելյան աշտարակը:")</f>
        <v>Ո՞ր քաղաքում է գտնվում Էյֆելյան աշտարակը:</v>
      </c>
      <c r="D8407" s="6" t="str">
        <f>IFERROR(__xludf.DUMMYFUNCTION("GOOGLETRANSLATE(B8407,""en"",""hy"")"),"Փարիզ.")</f>
        <v>Փարիզ.</v>
      </c>
    </row>
    <row r="8408">
      <c r="A8408" s="5" t="s">
        <v>7557</v>
      </c>
      <c r="B8408" s="5" t="s">
        <v>7857</v>
      </c>
      <c r="C8408" s="5" t="str">
        <f>IFERROR(__xludf.DUMMYFUNCTION("GOOGLETRANSLATE(A8408,""en"",""hy"")"),"Ո՞րն է երկաթի քիմիական նշանը:")</f>
        <v>Ո՞րն է երկաթի քիմիական նշանը:</v>
      </c>
      <c r="D8408" s="6" t="str">
        <f>IFERROR(__xludf.DUMMYFUNCTION("GOOGLETRANSLATE(B8408,""en"",""hy"")"),"Երկաթի քիմիական նշանը Fe է:")</f>
        <v>Երկաթի քիմիական նշանը Fe է:</v>
      </c>
    </row>
    <row r="8409">
      <c r="A8409" s="5" t="s">
        <v>9068</v>
      </c>
      <c r="B8409" s="5" t="s">
        <v>3535</v>
      </c>
      <c r="C8409" s="5" t="str">
        <f>IFERROR(__xludf.DUMMYFUNCTION("GOOGLETRANSLATE(A8409,""en"",""hy"")"),"Ո՞ր երկիրն է հայտնի որպես Land Down Under:")</f>
        <v>Ո՞ր երկիրն է հայտնի որպես Land Down Under:</v>
      </c>
      <c r="D8409" s="6" t="str">
        <f>IFERROR(__xludf.DUMMYFUNCTION("GOOGLETRANSLATE(B8409,""en"",""hy"")"),"Ավստրալիա.")</f>
        <v>Ավստրալիա.</v>
      </c>
    </row>
    <row r="8410">
      <c r="A8410" s="5" t="s">
        <v>7778</v>
      </c>
      <c r="B8410" s="5" t="s">
        <v>7474</v>
      </c>
      <c r="C8410" s="5" t="str">
        <f>IFERROR(__xludf.DUMMYFUNCTION("GOOGLETRANSLATE(A8410,""en"",""hy"")"),"Ո՞վ է նկարել Սիքստինյան կապելլայի առաստաղը:")</f>
        <v>Ո՞վ է նկարել Սիքստինյան կապելլայի առաստաղը:</v>
      </c>
      <c r="D8410" s="6" t="str">
        <f>IFERROR(__xludf.DUMMYFUNCTION("GOOGLETRANSLATE(B8410,""en"",""hy"")"),"Միքելանջելո.")</f>
        <v>Միքելանջելո.</v>
      </c>
    </row>
    <row r="8411">
      <c r="A8411" s="5" t="s">
        <v>7703</v>
      </c>
      <c r="B8411" s="5" t="s">
        <v>7704</v>
      </c>
      <c r="C8411" s="5" t="str">
        <f>IFERROR(__xludf.DUMMYFUNCTION("GOOGLETRANSLATE(A8411,""en"",""hy"")"),"Ո՞րն է Իտալիայի մայրաքաղաքը:")</f>
        <v>Ո՞րն է Իտալիայի մայրաքաղաքը:</v>
      </c>
      <c r="D8411" s="6" t="str">
        <f>IFERROR(__xludf.DUMMYFUNCTION("GOOGLETRANSLATE(B8411,""en"",""hy"")"),"Հռոմ")</f>
        <v>Հռոմ</v>
      </c>
    </row>
    <row r="8412">
      <c r="A8412" s="5" t="s">
        <v>7513</v>
      </c>
      <c r="B8412" s="5" t="s">
        <v>8337</v>
      </c>
      <c r="C8412" s="5" t="str">
        <f>IFERROR(__xludf.DUMMYFUNCTION("GOOGLETRANSLATE(A8412,""en"",""hy"")"),"Ո՞րն է աշխարհի ամենամեծ անապատը:")</f>
        <v>Ո՞րն է աշխարհի ամենամեծ անապատը:</v>
      </c>
      <c r="D8412" s="6" t="str">
        <f>IFERROR(__xludf.DUMMYFUNCTION("GOOGLETRANSLATE(B8412,""en"",""hy"")"),"Աշխարհի ամենամեծ անապատը Անտարկտիդայի անապատն է։")</f>
        <v>Աշխարհի ամենամեծ անապատը Անտարկտիդայի անապատն է։</v>
      </c>
    </row>
    <row r="8413">
      <c r="A8413" s="5" t="s">
        <v>7504</v>
      </c>
      <c r="B8413" s="5" t="s">
        <v>7505</v>
      </c>
      <c r="C8413" s="5" t="str">
        <f>IFERROR(__xludf.DUMMYFUNCTION("GOOGLETRANSLATE(A8413,""en"",""hy"")"),"Ո՞վ է Միացյալ Նահանգների ներկայիս նախագահը:")</f>
        <v>Ո՞վ է Միացյալ Նահանգների ներկայիս նախագահը:</v>
      </c>
      <c r="D8413" s="6" t="str">
        <f>IFERROR(__xludf.DUMMYFUNCTION("GOOGLETRANSLATE(B8413,""en"",""hy"")"),"Ջո Բայդեն.")</f>
        <v>Ջո Բայդեն.</v>
      </c>
    </row>
    <row r="8414">
      <c r="A8414" s="5" t="s">
        <v>7532</v>
      </c>
      <c r="B8414" s="5" t="s">
        <v>7533</v>
      </c>
      <c r="C8414" s="5" t="str">
        <f>IFERROR(__xludf.DUMMYFUNCTION("GOOGLETRANSLATE(A8414,""en"",""hy"")"),"Ո՞րն է սննդի աղի քիմիական բանաձևը:")</f>
        <v>Ո՞րն է սննդի աղի քիմիական բանաձևը:</v>
      </c>
      <c r="D8414" s="6" t="str">
        <f>IFERROR(__xludf.DUMMYFUNCTION("GOOGLETRANSLATE(B8414,""en"",""hy"")"),"Սեղանի աղի քիմիական բանաձևը NaCl է:")</f>
        <v>Սեղանի աղի քիմիական բանաձևը NaCl է:</v>
      </c>
    </row>
    <row r="8415">
      <c r="A8415" s="5" t="s">
        <v>8039</v>
      </c>
      <c r="B8415" s="5" t="s">
        <v>8040</v>
      </c>
      <c r="C8415" s="5" t="str">
        <f>IFERROR(__xludf.DUMMYFUNCTION("GOOGLETRANSLATE(A8415,""en"",""hy"")"),"Ո՞ր երկիրն է հայտնի Թաջ Մահալով:")</f>
        <v>Ո՞ր երկիրն է հայտնի Թաջ Մահալով:</v>
      </c>
      <c r="D8415" s="6" t="str">
        <f>IFERROR(__xludf.DUMMYFUNCTION("GOOGLETRANSLATE(B8415,""en"",""hy"")"),"Հնդկաստան")</f>
        <v>Հնդկաստան</v>
      </c>
    </row>
    <row r="8416">
      <c r="A8416" s="5" t="s">
        <v>9360</v>
      </c>
      <c r="B8416" s="5" t="s">
        <v>7444</v>
      </c>
      <c r="C8416" s="5" t="str">
        <f>IFERROR(__xludf.DUMMYFUNCTION("GOOGLETRANSLATE(A8416,""en"",""hy"")"),"Ո՞վ է «1984»-ի հեղինակը.")</f>
        <v>Ո՞վ է «1984»-ի հեղինակը.</v>
      </c>
      <c r="D8416" s="6" t="str">
        <f>IFERROR(__xludf.DUMMYFUNCTION("GOOGLETRANSLATE(B8416,""en"",""hy"")"),"Ջորջ Օրուել.")</f>
        <v>Ջորջ Օրուել.</v>
      </c>
    </row>
    <row r="8417">
      <c r="A8417" s="5" t="s">
        <v>7502</v>
      </c>
      <c r="B8417" s="5" t="s">
        <v>7503</v>
      </c>
      <c r="C8417" s="5" t="str">
        <f>IFERROR(__xludf.DUMMYFUNCTION("GOOGLETRANSLATE(A8417,""en"",""hy"")"),"Քանի՞ կողմ ունի վեցանկյունը:")</f>
        <v>Քանի՞ կողմ ունի վեցանկյունը:</v>
      </c>
      <c r="D8417" s="6" t="str">
        <f>IFERROR(__xludf.DUMMYFUNCTION("GOOGLETRANSLATE(B8417,""en"",""hy"")"),"Վեցանկյունն ունի վեց կողմ:")</f>
        <v>Վեցանկյունն ունի վեց կողմ:</v>
      </c>
    </row>
    <row r="8418">
      <c r="A8418" s="5" t="s">
        <v>8138</v>
      </c>
      <c r="B8418" s="5" t="s">
        <v>9819</v>
      </c>
      <c r="C8418" s="5" t="str">
        <f>IFERROR(__xludf.DUMMYFUNCTION("GOOGLETRANSLATE(A8418,""en"",""hy"")"),"Ո՞րն է Բրազիլիայում խոսվող հիմնական լեզուն:")</f>
        <v>Ո՞րն է Բրազիլիայում խոսվող հիմնական լեզուն:</v>
      </c>
      <c r="D8418" s="6" t="str">
        <f>IFERROR(__xludf.DUMMYFUNCTION("GOOGLETRANSLATE(B8418,""en"",""hy"")"),"պորտուգալերեն")</f>
        <v>պորտուգալերեն</v>
      </c>
    </row>
    <row r="8419">
      <c r="A8419" s="5" t="s">
        <v>7678</v>
      </c>
      <c r="B8419" s="5" t="s">
        <v>7451</v>
      </c>
      <c r="C8419" s="5" t="str">
        <f>IFERROR(__xludf.DUMMYFUNCTION("GOOGLETRANSLATE(A8419,""en"",""hy"")"),"Ո՞րն է Ավստրալիայի մայրաքաղաքը:")</f>
        <v>Ո՞րն է Ավստրալիայի մայրաքաղաքը:</v>
      </c>
      <c r="D8419" s="6" t="str">
        <f>IFERROR(__xludf.DUMMYFUNCTION("GOOGLETRANSLATE(B8419,""en"",""hy"")"),"Կանբերա.")</f>
        <v>Կանբերա.</v>
      </c>
    </row>
    <row r="8420">
      <c r="A8420" s="5" t="s">
        <v>9820</v>
      </c>
      <c r="B8420" s="5" t="s">
        <v>9821</v>
      </c>
      <c r="C8420" s="5" t="str">
        <f>IFERROR(__xludf.DUMMYFUNCTION("GOOGLETRANSLATE(A8420,""en"",""hy"")"),"Ո՞վ է հայտնի հույն փիլիսոփան, որը հայտնի է էթիկայի վերաբերյալ իր փիլիսոփայությամբ:")</f>
        <v>Ո՞վ է հայտնի հույն փիլիսոփան, որը հայտնի է էթիկայի վերաբերյալ իր փիլիսոփայությամբ:</v>
      </c>
      <c r="D8420" s="6" t="str">
        <f>IFERROR(__xludf.DUMMYFUNCTION("GOOGLETRANSLATE(B8420,""en"",""hy"")"),"Հույն հայտնի փիլիսոփան, որը հայտնի է էթիկայի մասին իր փիլիսոփայությամբ, Արիստոտելն է։")</f>
        <v>Հույն հայտնի փիլիսոփան, որը հայտնի է էթիկայի մասին իր փիլիսոփայությամբ, Արիստոտելն է։</v>
      </c>
    </row>
    <row r="8421">
      <c r="A8421" s="5" t="s">
        <v>7809</v>
      </c>
      <c r="B8421" s="5" t="s">
        <v>7810</v>
      </c>
      <c r="C8421" s="5" t="str">
        <f>IFERROR(__xludf.DUMMYFUNCTION("GOOGLETRANSLATE(A8421,""en"",""hy"")"),"Ո՞րն է հելիումի քիմիական նշանը:")</f>
        <v>Ո՞րն է հելիումի քիմիական նշանը:</v>
      </c>
      <c r="D8421" s="6" t="str">
        <f>IFERROR(__xludf.DUMMYFUNCTION("GOOGLETRANSLATE(B8421,""en"",""hy"")"),"Նա")</f>
        <v>Նա</v>
      </c>
    </row>
    <row r="8422">
      <c r="A8422" s="5" t="s">
        <v>8624</v>
      </c>
      <c r="B8422" s="5" t="s">
        <v>2790</v>
      </c>
      <c r="C8422" s="5" t="str">
        <f>IFERROR(__xludf.DUMMYFUNCTION("GOOGLETRANSLATE(A8422,""en"",""hy"")"),"Ո՞ր երկիրն է հայտնի Մեծ պարիսպով:")</f>
        <v>Ո՞ր երկիրն է հայտնի Մեծ պարիսպով:</v>
      </c>
      <c r="D8422" s="6" t="str">
        <f>IFERROR(__xludf.DUMMYFUNCTION("GOOGLETRANSLATE(B8422,""en"",""hy"")"),"Չինաստան.")</f>
        <v>Չինաստան.</v>
      </c>
    </row>
    <row r="8423">
      <c r="A8423" s="5" t="s">
        <v>8123</v>
      </c>
      <c r="B8423" s="5" t="s">
        <v>7448</v>
      </c>
      <c r="C8423" s="5" t="str">
        <f>IFERROR(__xludf.DUMMYFUNCTION("GOOGLETRANSLATE(A8423,""en"",""hy"")"),"Ո՞վ է նկարել հայտնի «Վերջին ընթրիքը» ստեղծագործությունը:")</f>
        <v>Ո՞վ է նկարել հայտնի «Վերջին ընթրիքը» ստեղծագործությունը:</v>
      </c>
      <c r="D8423" s="6" t="str">
        <f>IFERROR(__xludf.DUMMYFUNCTION("GOOGLETRANSLATE(B8423,""en"",""hy"")"),"Լեոնարդո դա Վինչի.")</f>
        <v>Լեոնարդո դա Վինչի.</v>
      </c>
    </row>
    <row r="8424">
      <c r="A8424" s="5" t="s">
        <v>8250</v>
      </c>
      <c r="B8424" s="5" t="s">
        <v>7712</v>
      </c>
      <c r="C8424" s="5" t="str">
        <f>IFERROR(__xludf.DUMMYFUNCTION("GOOGLETRANSLATE(A8424,""en"",""hy"")"),"Ո՞ր քաղաքում է գտնվում Ազատության արձանը:")</f>
        <v>Ո՞ր քաղաքում է գտնվում Ազատության արձանը:</v>
      </c>
      <c r="D8424" s="6" t="str">
        <f>IFERROR(__xludf.DUMMYFUNCTION("GOOGLETRANSLATE(B8424,""en"",""hy"")"),"Նյու Յորք քաղաք.")</f>
        <v>Նյու Յորք քաղաք.</v>
      </c>
    </row>
    <row r="8425">
      <c r="A8425" s="5" t="s">
        <v>8103</v>
      </c>
      <c r="B8425" s="5" t="s">
        <v>7767</v>
      </c>
      <c r="C8425" s="5" t="str">
        <f>IFERROR(__xludf.DUMMYFUNCTION("GOOGLETRANSLATE(A8425,""en"",""hy"")"),"Ո՞րն է Աֆրիկայի ամենաերկար գետը:")</f>
        <v>Ո՞րն է Աֆրիկայի ամենաերկար գետը:</v>
      </c>
      <c r="D8425" s="6" t="str">
        <f>IFERROR(__xludf.DUMMYFUNCTION("GOOGLETRANSLATE(B8425,""en"",""hy"")"),"Նեղոս.")</f>
        <v>Նեղոս.</v>
      </c>
    </row>
    <row r="8426">
      <c r="A8426" s="5" t="s">
        <v>7660</v>
      </c>
      <c r="B8426" s="5" t="s">
        <v>7661</v>
      </c>
      <c r="C8426" s="5" t="str">
        <f>IFERROR(__xludf.DUMMYFUNCTION("GOOGLETRANSLATE(A8426,""en"",""hy"")"),"Ո՞վ է «Մեծն Գեթսբիի» հեղինակը.")</f>
        <v>Ո՞վ է «Մեծն Գեթսբիի» հեղինակը.</v>
      </c>
      <c r="D8426" s="6" t="str">
        <f>IFERROR(__xludf.DUMMYFUNCTION("GOOGLETRANSLATE(B8426,""en"",""hy"")"),"F. Scott Fitzgerald.")</f>
        <v>F. Scott Fitzgerald.</v>
      </c>
    </row>
    <row r="8427">
      <c r="A8427" s="5" t="s">
        <v>7653</v>
      </c>
      <c r="B8427" s="5" t="s">
        <v>1307</v>
      </c>
      <c r="C8427" s="5" t="str">
        <f>IFERROR(__xludf.DUMMYFUNCTION("GOOGLETRANSLATE(A8427,""en"",""hy"")"),"Ո՞րն է Իսպանիայի մայրաքաղաքը:")</f>
        <v>Ո՞րն է Իսպանիայի մայրաքաղաքը:</v>
      </c>
      <c r="D8427" s="6" t="str">
        <f>IFERROR(__xludf.DUMMYFUNCTION("GOOGLETRANSLATE(B8427,""en"",""hy"")"),"Մադրիդ.")</f>
        <v>Մադրիդ.</v>
      </c>
    </row>
    <row r="8428">
      <c r="A8428" s="5" t="s">
        <v>7699</v>
      </c>
      <c r="B8428" s="5" t="s">
        <v>8615</v>
      </c>
      <c r="C8428" s="5" t="str">
        <f>IFERROR(__xludf.DUMMYFUNCTION("GOOGLETRANSLATE(A8428,""en"",""hy"")"),"Ո՞րն է ածխածնի քիմիական նշանը:")</f>
        <v>Ո՞րն է ածխածնի քիմիական նշանը:</v>
      </c>
      <c r="D8428" s="6" t="str">
        <f>IFERROR(__xludf.DUMMYFUNCTION("GOOGLETRANSLATE(B8428,""en"",""hy"")"),"Գ")</f>
        <v>Գ</v>
      </c>
    </row>
    <row r="8429">
      <c r="A8429" s="5" t="s">
        <v>8648</v>
      </c>
      <c r="B8429" s="5" t="s">
        <v>7512</v>
      </c>
      <c r="C8429" s="5" t="str">
        <f>IFERROR(__xludf.DUMMYFUNCTION("GOOGLETRANSLATE(A8429,""en"",""hy"")"),"Ո՞ր երկիրն է հայտնի Գիզայի բուրգերով:")</f>
        <v>Ո՞ր երկիրն է հայտնի Գիզայի բուրգերով:</v>
      </c>
      <c r="D8429" s="6" t="str">
        <f>IFERROR(__xludf.DUMMYFUNCTION("GOOGLETRANSLATE(B8429,""en"",""hy"")"),"Եգիպտոս.")</f>
        <v>Եգիպտոս.</v>
      </c>
    </row>
    <row r="8430">
      <c r="A8430" s="5" t="s">
        <v>8264</v>
      </c>
      <c r="B8430" s="5" t="s">
        <v>7621</v>
      </c>
      <c r="C8430" s="5" t="str">
        <f>IFERROR(__xludf.DUMMYFUNCTION("GOOGLETRANSLATE(A8430,""en"",""hy"")"),"Ո՞վ է նկարել հայտնի «Վեներայի ծնունդը» ստեղծագործությունը:")</f>
        <v>Ո՞վ է նկարել հայտնի «Վեներայի ծնունդը» ստեղծագործությունը:</v>
      </c>
      <c r="D8430" s="6" t="str">
        <f>IFERROR(__xludf.DUMMYFUNCTION("GOOGLETRANSLATE(B8430,""en"",""hy"")"),"Սանդրո Բոտիչելի.")</f>
        <v>Սանդրո Բոտիչելի.</v>
      </c>
    </row>
    <row r="8431">
      <c r="A8431" s="5" t="s">
        <v>9080</v>
      </c>
      <c r="B8431" s="5" t="s">
        <v>7938</v>
      </c>
      <c r="C8431" s="5" t="str">
        <f>IFERROR(__xludf.DUMMYFUNCTION("GOOGLETRANSLATE(A8431,""en"",""hy"")"),"Ո՞րն է Ճապոնիայում խոսվող հիմնական լեզուն:")</f>
        <v>Ո՞րն է Ճապոնիայում խոսվող հիմնական լեզուն:</v>
      </c>
      <c r="D8431" s="6" t="str">
        <f>IFERROR(__xludf.DUMMYFUNCTION("GOOGLETRANSLATE(B8431,""en"",""hy"")"),"ճապոներեն.")</f>
        <v>ճապոներեն.</v>
      </c>
    </row>
    <row r="8432">
      <c r="A8432" s="5" t="s">
        <v>7528</v>
      </c>
      <c r="B8432" s="5" t="s">
        <v>9822</v>
      </c>
      <c r="C8432" s="5" t="str">
        <f>IFERROR(__xludf.DUMMYFUNCTION("GOOGLETRANSLATE(A8432,""en"",""hy"")"),"Ո՞վ է Գերմանիայի ներկայիս կանցլերը:")</f>
        <v>Ո՞վ է Գերմանիայի ներկայիս կանցլերը:</v>
      </c>
      <c r="D8432" s="6" t="str">
        <f>IFERROR(__xludf.DUMMYFUNCTION("GOOGLETRANSLATE(B8432,""en"",""hy"")"),"Անգելա Մերկել")</f>
        <v>Անգելա Մերկել</v>
      </c>
    </row>
    <row r="8433">
      <c r="A8433" s="5" t="s">
        <v>8408</v>
      </c>
      <c r="B8433" s="5" t="s">
        <v>8409</v>
      </c>
      <c r="C8433" s="5" t="str">
        <f>IFERROR(__xludf.DUMMYFUNCTION("GOOGLETRANSLATE(A8433,""en"",""hy"")"),"Քանի՞ ոտք ունի սարդը:")</f>
        <v>Քանի՞ ոտք ունի սարդը:</v>
      </c>
      <c r="D8433" s="6" t="str">
        <f>IFERROR(__xludf.DUMMYFUNCTION("GOOGLETRANSLATE(B8433,""en"",""hy"")"),"Սարդն ունի ութ ոտք:")</f>
        <v>Սարդն ունի ութ ոտք:</v>
      </c>
    </row>
    <row r="8434">
      <c r="A8434" s="5" t="s">
        <v>7659</v>
      </c>
      <c r="B8434" s="5" t="s">
        <v>9119</v>
      </c>
      <c r="C8434" s="5" t="str">
        <f>IFERROR(__xludf.DUMMYFUNCTION("GOOGLETRANSLATE(A8434,""en"",""hy"")"),"Ո՞րն է Բրազիլիայի մայրաքաղաքը:")</f>
        <v>Ո՞րն է Բրազիլիայի մայրաքաղաքը:</v>
      </c>
      <c r="D8434" s="6" t="str">
        <f>IFERROR(__xludf.DUMMYFUNCTION("GOOGLETRANSLATE(B8434,""en"",""hy"")"),"Բրազիլիայի մայրաքաղաքը Բրազիլիան է։")</f>
        <v>Բրազիլիայի մայրաքաղաքը Բրազիլիան է։</v>
      </c>
    </row>
    <row r="8435">
      <c r="A8435" s="5" t="s">
        <v>7854</v>
      </c>
      <c r="B8435" s="5" t="s">
        <v>7458</v>
      </c>
      <c r="C8435" s="5" t="str">
        <f>IFERROR(__xludf.DUMMYFUNCTION("GOOGLETRANSLATE(A8435,""en"",""hy"")"),"Ո՞վ էր Միացյալ Նահանգների առաջին նախագահը:")</f>
        <v>Ո՞վ էր Միացյալ Նահանգների առաջին նախագահը:</v>
      </c>
      <c r="D8435" s="6" t="str">
        <f>IFERROR(__xludf.DUMMYFUNCTION("GOOGLETRANSLATE(B8435,""en"",""hy"")"),"Ջորջ Վաշինգտոն.")</f>
        <v>Ջորջ Վաշինգտոն.</v>
      </c>
    </row>
    <row r="8436">
      <c r="A8436" s="5" t="s">
        <v>7592</v>
      </c>
      <c r="B8436" s="5" t="s">
        <v>7593</v>
      </c>
      <c r="C8436" s="5" t="str">
        <f>IFERROR(__xludf.DUMMYFUNCTION("GOOGLETRANSLATE(A8436,""en"",""hy"")"),"Ո՞րն է թթվածնի քիմիական նշանը:")</f>
        <v>Ո՞րն է թթվածնի քիմիական նշանը:</v>
      </c>
      <c r="D8436" s="6" t="str">
        <f>IFERROR(__xludf.DUMMYFUNCTION("GOOGLETRANSLATE(B8436,""en"",""hy"")"),"Թթվածնի քիմիական նշանը O է:")</f>
        <v>Թթվածնի քիմիական նշանը O է:</v>
      </c>
    </row>
    <row r="8437">
      <c r="A8437" s="5" t="s">
        <v>8319</v>
      </c>
      <c r="B8437" s="5" t="s">
        <v>8614</v>
      </c>
      <c r="C8437" s="5" t="str">
        <f>IFERROR(__xludf.DUMMYFUNCTION("GOOGLETRANSLATE(A8437,""en"",""hy"")"),"Ո՞ր երկիրն է հայտնի որպես Կեսգիշերային Արևի երկիր:")</f>
        <v>Ո՞ր երկիրն է հայտնի որպես Կեսգիշերային Արևի երկիր:</v>
      </c>
      <c r="D8437" s="6" t="str">
        <f>IFERROR(__xludf.DUMMYFUNCTION("GOOGLETRANSLATE(B8437,""en"",""hy"")"),"Նորվեգիա.")</f>
        <v>Նորվեգիա.</v>
      </c>
    </row>
    <row r="8438">
      <c r="A8438" s="5" t="s">
        <v>8010</v>
      </c>
      <c r="B8438" s="5" t="s">
        <v>7578</v>
      </c>
      <c r="C8438" s="5" t="str">
        <f>IFERROR(__xludf.DUMMYFUNCTION("GOOGLETRANSLATE(A8438,""en"",""hy"")"),"Ո՞վ է գրել «Մոբի-Դիկ» վեպը:")</f>
        <v>Ո՞վ է գրել «Մոբի-Դիկ» վեպը:</v>
      </c>
      <c r="D8438" s="6" t="str">
        <f>IFERROR(__xludf.DUMMYFUNCTION("GOOGLETRANSLATE(B8438,""en"",""hy"")"),"Հերման Մելվիլ.")</f>
        <v>Հերման Մելվիլ.</v>
      </c>
    </row>
    <row r="8439">
      <c r="A8439" s="5" t="s">
        <v>7711</v>
      </c>
      <c r="B8439" s="5" t="s">
        <v>7712</v>
      </c>
      <c r="C8439" s="5" t="str">
        <f>IFERROR(__xludf.DUMMYFUNCTION("GOOGLETRANSLATE(A8439,""en"",""hy"")"),"Ո՞րն է Միացյալ Նահանգների ամենամեծ քաղաքը:")</f>
        <v>Ո՞րն է Միացյալ Նահանգների ամենամեծ քաղաքը:</v>
      </c>
      <c r="D8439" s="6" t="str">
        <f>IFERROR(__xludf.DUMMYFUNCTION("GOOGLETRANSLATE(B8439,""en"",""hy"")"),"Նյու Յորք քաղաք.")</f>
        <v>Նյու Յորք քաղաք.</v>
      </c>
    </row>
    <row r="8440">
      <c r="A8440" s="5" t="s">
        <v>9823</v>
      </c>
      <c r="B8440" s="5" t="s">
        <v>7556</v>
      </c>
      <c r="C8440" s="5" t="str">
        <f>IFERROR(__xludf.DUMMYFUNCTION("GOOGLETRANSLATE(A8440,""en"",""hy"")"),"Ո՞վ է իր հարաբերականության տեսությամբ հայտնի հայտնի գիտնականը:")</f>
        <v>Ո՞վ է իր հարաբերականության տեսությամբ հայտնի հայտնի գիտնականը:</v>
      </c>
      <c r="D8440" s="6" t="str">
        <f>IFERROR(__xludf.DUMMYFUNCTION("GOOGLETRANSLATE(B8440,""en"",""hy"")"),"Albert Einstein.")</f>
        <v>Albert Einstein.</v>
      </c>
    </row>
    <row r="8441">
      <c r="A8441" s="5" t="s">
        <v>7570</v>
      </c>
      <c r="B8441" s="5" t="s">
        <v>7571</v>
      </c>
      <c r="C8441" s="5" t="str">
        <f>IFERROR(__xludf.DUMMYFUNCTION("GOOGLETRANSLATE(A8441,""en"",""hy"")"),"Ո՞րն է գլյուկոզայի քիմիական բանաձևը:")</f>
        <v>Ո՞րն է գլյուկոզայի քիմիական բանաձևը:</v>
      </c>
      <c r="D8441" s="6" t="str">
        <f>IFERROR(__xludf.DUMMYFUNCTION("GOOGLETRANSLATE(B8441,""en"",""hy"")"),"Գլյուկոզայի քիմիական բանաձևը C6H12O6 է:")</f>
        <v>Գլյուկոզայի քիմիական բանաձևը C6H12O6 է:</v>
      </c>
    </row>
    <row r="8442">
      <c r="A8442" s="5" t="s">
        <v>8752</v>
      </c>
      <c r="B8442" s="5" t="s">
        <v>3535</v>
      </c>
      <c r="C8442" s="5" t="str">
        <f>IFERROR(__xludf.DUMMYFUNCTION("GOOGLETRANSLATE(A8442,""en"",""hy"")"),"Ո՞ր երկիրն է հայտնի Սիդնեյի օպերային թատրոնով:")</f>
        <v>Ո՞ր երկիրն է հայտնի Սիդնեյի օպերային թատրոնով:</v>
      </c>
      <c r="D8442" s="6" t="str">
        <f>IFERROR(__xludf.DUMMYFUNCTION("GOOGLETRANSLATE(B8442,""en"",""hy"")"),"Ավստրալիա.")</f>
        <v>Ավստրալիա.</v>
      </c>
    </row>
    <row r="8443">
      <c r="A8443" s="5" t="s">
        <v>8310</v>
      </c>
      <c r="B8443" s="5" t="s">
        <v>7892</v>
      </c>
      <c r="C8443" s="5" t="str">
        <f>IFERROR(__xludf.DUMMYFUNCTION("GOOGLETRANSLATE(A8443,""en"",""hy"")"),"Ո՞վ է նկարել հայտնի «Ճիչ»-ը:")</f>
        <v>Ո՞վ է նկարել հայտնի «Ճիչ»-ը:</v>
      </c>
      <c r="D8443" s="6" t="str">
        <f>IFERROR(__xludf.DUMMYFUNCTION("GOOGLETRANSLATE(B8443,""en"",""hy"")"),"Էդվարդ Մունկ")</f>
        <v>Էդվարդ Մունկ</v>
      </c>
    </row>
    <row r="8444">
      <c r="A8444" s="5" t="s">
        <v>8753</v>
      </c>
      <c r="B8444" s="5" t="s">
        <v>8754</v>
      </c>
      <c r="C8444" s="5" t="str">
        <f>IFERROR(__xludf.DUMMYFUNCTION("GOOGLETRANSLATE(A8444,""en"",""hy"")"),"Ո՞րն է Հյուսիսային Ամերիկայի ամենաբարձր լեռը:")</f>
        <v>Ո՞րն է Հյուսիսային Ամերիկայի ամենաբարձր լեռը:</v>
      </c>
      <c r="D8444" s="6" t="str">
        <f>IFERROR(__xludf.DUMMYFUNCTION("GOOGLETRANSLATE(B8444,""en"",""hy"")"),"Դենալի լեռ.")</f>
        <v>Դենալի լեռ.</v>
      </c>
    </row>
    <row r="8445">
      <c r="A8445" s="5" t="s">
        <v>7679</v>
      </c>
      <c r="B8445" s="5" t="s">
        <v>7560</v>
      </c>
      <c r="C8445" s="5" t="str">
        <f>IFERROR(__xludf.DUMMYFUNCTION("GOOGLETRANSLATE(A8445,""en"",""hy"")"),"Ո՞վ է «The Catcher in the Rye»-ի հեղինակը.")</f>
        <v>Ո՞վ է «The Catcher in the Rye»-ի հեղինակը.</v>
      </c>
      <c r="D8445" s="6" t="str">
        <f>IFERROR(__xludf.DUMMYFUNCTION("GOOGLETRANSLATE(B8445,""en"",""hy"")"),"Ջ.Դ.Սելինջեր.")</f>
        <v>Ջ.Դ.Սելինջեր.</v>
      </c>
    </row>
    <row r="8446">
      <c r="A8446" s="5" t="s">
        <v>8265</v>
      </c>
      <c r="B8446" s="5" t="s">
        <v>7545</v>
      </c>
      <c r="C8446" s="5" t="str">
        <f>IFERROR(__xludf.DUMMYFUNCTION("GOOGLETRANSLATE(A8446,""en"",""hy"")"),"Ո՞ր քաղաքում է գտնվում Կոլիզեյը:")</f>
        <v>Ո՞ր քաղաքում է գտնվում Կոլիզեյը:</v>
      </c>
      <c r="D8446" s="6" t="str">
        <f>IFERROR(__xludf.DUMMYFUNCTION("GOOGLETRANSLATE(B8446,""en"",""hy"")"),"Հռոմ.")</f>
        <v>Հռոմ.</v>
      </c>
    </row>
    <row r="8447">
      <c r="A8447" s="5" t="s">
        <v>7509</v>
      </c>
      <c r="B8447" s="5" t="s">
        <v>7684</v>
      </c>
      <c r="C8447" s="5" t="str">
        <f>IFERROR(__xludf.DUMMYFUNCTION("GOOGLETRANSLATE(A8447,""en"",""hy"")"),"Ո՞րն է արծաթի քիմիական նշանը:")</f>
        <v>Ո՞րն է արծաթի քիմիական նշանը:</v>
      </c>
      <c r="D8447" s="6" t="str">
        <f>IFERROR(__xludf.DUMMYFUNCTION("GOOGLETRANSLATE(B8447,""en"",""hy"")"),"Արծաթի քիմիական խորհրդանիշն է Ag.")</f>
        <v>Արծաթի քիմիական խորհրդանիշն է Ag.</v>
      </c>
    </row>
    <row r="8448">
      <c r="A8448" s="5" t="s">
        <v>9824</v>
      </c>
      <c r="B8448" s="5" t="s">
        <v>9323</v>
      </c>
      <c r="C8448" s="5" t="str">
        <f>IFERROR(__xludf.DUMMYFUNCTION("GOOGLETRANSLATE(A8448,""en"",""hy"")"),"Ո՞ր երկիրն է հայտնի Անգկոր Վատ տաճարային համալիրով:")</f>
        <v>Ո՞ր երկիրն է հայտնի Անգկոր Վատ տաճարային համալիրով:</v>
      </c>
      <c r="D8448" s="6" t="str">
        <f>IFERROR(__xludf.DUMMYFUNCTION("GOOGLETRANSLATE(B8448,""en"",""hy"")"),"Կամբոջա")</f>
        <v>Կամբոջա</v>
      </c>
    </row>
    <row r="8449">
      <c r="A8449" s="5" t="s">
        <v>7744</v>
      </c>
      <c r="B8449" s="5" t="s">
        <v>8043</v>
      </c>
      <c r="C8449" s="5" t="str">
        <f>IFERROR(__xludf.DUMMYFUNCTION("GOOGLETRANSLATE(A8449,""en"",""hy"")"),"Ո՞վ է նկարել հայտնի «Հիշողության համառությունը» ստեղծագործությունը:")</f>
        <v>Ո՞վ է նկարել հայտնի «Հիշողության համառությունը» ստեղծագործությունը:</v>
      </c>
      <c r="D8449" s="6" t="str">
        <f>IFERROR(__xludf.DUMMYFUNCTION("GOOGLETRANSLATE(B8449,""en"",""hy"")"),"Սալվադոր Դալի.")</f>
        <v>Սալվադոր Դալի.</v>
      </c>
    </row>
    <row r="8450">
      <c r="A8450" s="5" t="s">
        <v>8684</v>
      </c>
      <c r="B8450" s="5" t="s">
        <v>2930</v>
      </c>
      <c r="C8450" s="5" t="str">
        <f>IFERROR(__xludf.DUMMYFUNCTION("GOOGLETRANSLATE(A8450,""en"",""hy"")"),"Ո՞րն է Ռուսաստանում խոսվող հիմնական լեզուն:")</f>
        <v>Ո՞րն է Ռուսաստանում խոսվող հիմնական լեզուն:</v>
      </c>
      <c r="D8450" s="6" t="str">
        <f>IFERROR(__xludf.DUMMYFUNCTION("GOOGLETRANSLATE(B8450,""en"",""hy"")"),"ռուսերեն.")</f>
        <v>ռուսերեն.</v>
      </c>
    </row>
    <row r="8451">
      <c r="A8451" s="5" t="s">
        <v>8159</v>
      </c>
      <c r="B8451" s="5" t="s">
        <v>8160</v>
      </c>
      <c r="C8451" s="5" t="str">
        <f>IFERROR(__xludf.DUMMYFUNCTION("GOOGLETRANSLATE(A8451,""en"",""hy"")"),"Ո՞վ է Ռուսաստանի ներկայիս նախագահը.")</f>
        <v>Ո՞վ է Ռուսաստանի ներկայիս նախագահը.</v>
      </c>
      <c r="D8451" s="6" t="str">
        <f>IFERROR(__xludf.DUMMYFUNCTION("GOOGLETRANSLATE(B8451,""en"",""hy"")"),"Վլադիմիր Պուտին.")</f>
        <v>Վլադիմիր Պուտին.</v>
      </c>
    </row>
    <row r="8452">
      <c r="A8452" s="5" t="s">
        <v>8014</v>
      </c>
      <c r="B8452" s="5" t="s">
        <v>8174</v>
      </c>
      <c r="C8452" s="5" t="str">
        <f>IFERROR(__xludf.DUMMYFUNCTION("GOOGLETRANSLATE(A8452,""en"",""hy"")"),"Քանի՞ խաղացող կա բասկետբոլի թիմում:")</f>
        <v>Քանի՞ խաղացող կա բասկետբոլի թիմում:</v>
      </c>
      <c r="D8452" s="6" t="str">
        <f>IFERROR(__xludf.DUMMYFUNCTION("GOOGLETRANSLATE(B8452,""en"",""hy"")"),"Բասկետբոլի թիմում հինգ խաղացող կա:")</f>
        <v>Բասկետբոլի թիմում հինգ խաղացող կա:</v>
      </c>
    </row>
    <row r="8453">
      <c r="A8453" s="5" t="s">
        <v>7627</v>
      </c>
      <c r="B8453" s="5" t="s">
        <v>7501</v>
      </c>
      <c r="C8453" s="5" t="str">
        <f>IFERROR(__xludf.DUMMYFUNCTION("GOOGLETRANSLATE(A8453,""en"",""hy"")"),"Ո՞րն է Ֆրանսիայի մայրաքաղաքը:")</f>
        <v>Ո՞րն է Ֆրանսիայի մայրաքաղաքը:</v>
      </c>
      <c r="D8453" s="6" t="str">
        <f>IFERROR(__xludf.DUMMYFUNCTION("GOOGLETRANSLATE(B8453,""en"",""hy"")"),"Փարիզ.")</f>
        <v>Փարիզ.</v>
      </c>
    </row>
    <row r="8454">
      <c r="A8454" s="5" t="s">
        <v>7893</v>
      </c>
      <c r="B8454" s="5" t="s">
        <v>9825</v>
      </c>
      <c r="C8454" s="5" t="str">
        <f>IFERROR(__xludf.DUMMYFUNCTION("GOOGLETRANSLATE(A8454,""en"",""hy"")"),"Ո՞րն է կալիումի քիմիական նշանը:")</f>
        <v>Ո՞րն է կալիումի քիմիական նշանը:</v>
      </c>
      <c r="D8454" s="6" t="str">
        <f>IFERROR(__xludf.DUMMYFUNCTION("GOOGLETRANSLATE(B8454,""en"",""hy"")"),"Կ")</f>
        <v>Կ</v>
      </c>
    </row>
    <row r="8455">
      <c r="A8455" s="5" t="s">
        <v>8665</v>
      </c>
      <c r="B8455" s="5" t="s">
        <v>8201</v>
      </c>
      <c r="C8455" s="5" t="str">
        <f>IFERROR(__xludf.DUMMYFUNCTION("GOOGLETRANSLATE(A8455,""en"",""hy"")"),"Ո՞ր երկիրն է հայտնի Ակրոպոլիսով:")</f>
        <v>Ո՞ր երկիրն է հայտնի Ակրոպոլիսով:</v>
      </c>
      <c r="D8455" s="6" t="str">
        <f>IFERROR(__xludf.DUMMYFUNCTION("GOOGLETRANSLATE(B8455,""en"",""hy"")"),"Հունաստան.")</f>
        <v>Հունաստան.</v>
      </c>
    </row>
    <row r="8456">
      <c r="A8456" s="5" t="s">
        <v>9301</v>
      </c>
      <c r="B8456" s="5" t="s">
        <v>7867</v>
      </c>
      <c r="C8456" s="5" t="str">
        <f>IFERROR(__xludf.DUMMYFUNCTION("GOOGLETRANSLATE(A8456,""en"",""hy"")"),"Ո՞վ է գրել «Մատանիների տիրակալը» վեպը։")</f>
        <v>Ո՞վ է գրել «Մատանիների տիրակալը» վեպը։</v>
      </c>
      <c r="D8456" s="6" t="str">
        <f>IFERROR(__xludf.DUMMYFUNCTION("GOOGLETRANSLATE(B8456,""en"",""hy"")"),"Ջ.Ռ.Ռ. Թոլքինը։")</f>
        <v>Ջ.Ռ.Ռ. Թոլքինը։</v>
      </c>
    </row>
    <row r="8457">
      <c r="A8457" s="5" t="s">
        <v>7599</v>
      </c>
      <c r="B8457" s="5" t="s">
        <v>7600</v>
      </c>
      <c r="C8457" s="5" t="str">
        <f>IFERROR(__xludf.DUMMYFUNCTION("GOOGLETRANSLATE(A8457,""en"",""hy"")"),"Ո՞րն է աշխարհի ամենամեծ լիճը:")</f>
        <v>Ո՞րն է աշխարհի ամենամեծ լիճը:</v>
      </c>
      <c r="D8457" s="6" t="str">
        <f>IFERROR(__xludf.DUMMYFUNCTION("GOOGLETRANSLATE(B8457,""en"",""hy"")"),"Աշխարհի ամենամեծ լիճը Կասպից ծովն է։")</f>
        <v>Աշխարհի ամենամեծ լիճը Կասպից ծովն է։</v>
      </c>
    </row>
    <row r="8458">
      <c r="A8458" s="5" t="s">
        <v>9826</v>
      </c>
      <c r="B8458" s="5" t="s">
        <v>8500</v>
      </c>
      <c r="C8458" s="5" t="str">
        <f>IFERROR(__xludf.DUMMYFUNCTION("GOOGLETRANSLATE(A8458,""en"",""hy"")"),"Ո՞վ է «Ոդիսական»-ի հեղինակը։")</f>
        <v>Ո՞վ է «Ոդիսական»-ի հեղինակը։</v>
      </c>
      <c r="D8458" s="6" t="str">
        <f>IFERROR(__xludf.DUMMYFUNCTION("GOOGLETRANSLATE(B8458,""en"",""hy"")"),"Հոմեր.")</f>
        <v>Հոմեր.</v>
      </c>
    </row>
    <row r="8459">
      <c r="A8459" s="5" t="s">
        <v>9827</v>
      </c>
      <c r="B8459" s="5" t="s">
        <v>9016</v>
      </c>
      <c r="C8459" s="5" t="str">
        <f>IFERROR(__xludf.DUMMYFUNCTION("GOOGLETRANSLATE(A8459,""en"",""hy"")"),"Ո՞ր քաղաքում է գտնվում Քրիստոսի Քավիչի արձանը:")</f>
        <v>Ո՞ր քաղաքում է գտնվում Քրիստոսի Քավիչի արձանը:</v>
      </c>
      <c r="D8459" s="6" t="str">
        <f>IFERROR(__xludf.DUMMYFUNCTION("GOOGLETRANSLATE(B8459,""en"",""hy"")"),"Ռիո դե Ժանեյրո.")</f>
        <v>Ռիո դե Ժանեյրո.</v>
      </c>
    </row>
    <row r="8460">
      <c r="A8460" s="5" t="s">
        <v>7875</v>
      </c>
      <c r="B8460" s="5" t="s">
        <v>9828</v>
      </c>
      <c r="C8460" s="5" t="str">
        <f>IFERROR(__xludf.DUMMYFUNCTION("GOOGLETRANSLATE(A8460,""en"",""hy"")"),"Ո՞րն է ազոտի քիմիական նշանը:")</f>
        <v>Ո՞րն է ազոտի քիմիական նշանը:</v>
      </c>
      <c r="D8460" s="6" t="str">
        <f>IFERROR(__xludf.DUMMYFUNCTION("GOOGLETRANSLATE(B8460,""en"",""hy"")"),"Ն")</f>
        <v>Ն</v>
      </c>
    </row>
    <row r="8461">
      <c r="A8461" s="5" t="s">
        <v>8639</v>
      </c>
      <c r="B8461" s="5" t="s">
        <v>6334</v>
      </c>
      <c r="C8461" s="5" t="str">
        <f>IFERROR(__xludf.DUMMYFUNCTION("GOOGLETRANSLATE(A8461,""en"",""hy"")"),"Ո՞ր երկիրն է հայտնի Կոլիզեյով:")</f>
        <v>Ո՞ր երկիրն է հայտնի Կոլիզեյով:</v>
      </c>
      <c r="D8461" s="6" t="str">
        <f>IFERROR(__xludf.DUMMYFUNCTION("GOOGLETRANSLATE(B8461,""en"",""hy"")"),"Իտալիա.")</f>
        <v>Իտալիա.</v>
      </c>
    </row>
    <row r="8462">
      <c r="A8462" s="5" t="s">
        <v>8318</v>
      </c>
      <c r="B8462" s="5" t="s">
        <v>7549</v>
      </c>
      <c r="C8462" s="5" t="str">
        <f>IFERROR(__xludf.DUMMYFUNCTION("GOOGLETRANSLATE(A8462,""en"",""hy"")"),"Ո՞վ է նկարել հայտնի «Մարգարտյա ականջօղով աղջիկը» ստեղծագործությունը:")</f>
        <v>Ո՞վ է նկարել հայտնի «Մարգարտյա ականջօղով աղջիկը» ստեղծագործությունը:</v>
      </c>
      <c r="D8462" s="6" t="str">
        <f>IFERROR(__xludf.DUMMYFUNCTION("GOOGLETRANSLATE(B8462,""en"",""hy"")"),"Յոհաննես Վերմեեր.")</f>
        <v>Յոհաննես Վերմեեր.</v>
      </c>
    </row>
    <row r="8463">
      <c r="A8463" s="5" t="s">
        <v>8114</v>
      </c>
      <c r="B8463" s="5" t="s">
        <v>9345</v>
      </c>
      <c r="C8463" s="5" t="str">
        <f>IFERROR(__xludf.DUMMYFUNCTION("GOOGLETRANSLATE(A8463,""en"",""hy"")"),"Ո՞րն է Չինաստանում խոսվող հիմնական լեզուն:")</f>
        <v>Ո՞րն է Չինաստանում խոսվող հիմնական լեզուն:</v>
      </c>
      <c r="D8463" s="6" t="str">
        <f>IFERROR(__xludf.DUMMYFUNCTION("GOOGLETRANSLATE(B8463,""en"",""hy"")"),"Չինաստանում խոսվող հիմնական լեզուն մանդարինն է։")</f>
        <v>Չինաստանում խոսվող հիմնական լեզուն մանդարինն է։</v>
      </c>
    </row>
    <row r="8464">
      <c r="A8464" s="5" t="s">
        <v>8843</v>
      </c>
      <c r="B8464" s="5" t="s">
        <v>9176</v>
      </c>
      <c r="C8464" s="5" t="str">
        <f>IFERROR(__xludf.DUMMYFUNCTION("GOOGLETRANSLATE(A8464,""en"",""hy"")"),"Ո՞վ է Հնդկաստանի ներկայիս վարչապետը:")</f>
        <v>Ո՞վ է Հնդկաստանի ներկայիս վարչապետը:</v>
      </c>
      <c r="D8464" s="6" t="str">
        <f>IFERROR(__xludf.DUMMYFUNCTION("GOOGLETRANSLATE(B8464,""en"",""hy"")"),"Նարենդրա Մոդի.")</f>
        <v>Նարենդրա Մոդի.</v>
      </c>
    </row>
    <row r="8465">
      <c r="A8465" s="5" t="s">
        <v>7915</v>
      </c>
      <c r="B8465" s="5" t="s">
        <v>7916</v>
      </c>
      <c r="C8465" s="5" t="str">
        <f>IFERROR(__xludf.DUMMYFUNCTION("GOOGLETRANSLATE(A8465,""en"",""hy"")"),"Քանի՞ ոսկոր կա մարդու մարմնում:")</f>
        <v>Քանի՞ ոսկոր կա մարդու մարմնում:</v>
      </c>
      <c r="D8465" s="6" t="str">
        <f>IFERROR(__xludf.DUMMYFUNCTION("GOOGLETRANSLATE(B8465,""en"",""hy"")"),"Մարդու մարմնում կա 206 ոսկոր։")</f>
        <v>Մարդու մարմնում կա 206 ոսկոր։</v>
      </c>
    </row>
    <row r="8466">
      <c r="A8466" s="5" t="s">
        <v>7686</v>
      </c>
      <c r="B8466" s="5" t="s">
        <v>6980</v>
      </c>
      <c r="C8466" s="5" t="str">
        <f>IFERROR(__xludf.DUMMYFUNCTION("GOOGLETRANSLATE(A8466,""en"",""hy"")"),"Ո՞րն է Գերմանիայի մայրաքաղաքը:")</f>
        <v>Ո՞րն է Գերմանիայի մայրաքաղաքը:</v>
      </c>
      <c r="D8466" s="6" t="str">
        <f>IFERROR(__xludf.DUMMYFUNCTION("GOOGLETRANSLATE(B8466,""en"",""hy"")"),"Բեռլին")</f>
        <v>Բեռլին</v>
      </c>
    </row>
    <row r="8467">
      <c r="A8467" s="5" t="s">
        <v>7738</v>
      </c>
      <c r="B8467" s="5" t="s">
        <v>7739</v>
      </c>
      <c r="C8467" s="5" t="str">
        <f>IFERROR(__xludf.DUMMYFUNCTION("GOOGLETRANSLATE(A8467,""en"",""hy"")"),"Ո՞րն է կալցիումի քիմիական նշանը:")</f>
        <v>Ո՞րն է կալցիումի քիմիական նշանը:</v>
      </c>
      <c r="D8467" s="6" t="str">
        <f>IFERROR(__xludf.DUMMYFUNCTION("GOOGLETRANSLATE(B8467,""en"",""hy"")"),"Կալցիումի քիմիական նշանը Ca է:")</f>
        <v>Կալցիումի քիմիական նշանը Ca է:</v>
      </c>
    </row>
    <row r="8468">
      <c r="A8468" s="5" t="s">
        <v>9679</v>
      </c>
      <c r="B8468" s="5" t="s">
        <v>8703</v>
      </c>
      <c r="C8468" s="5" t="str">
        <f>IFERROR(__xludf.DUMMYFUNCTION("GOOGLETRANSLATE(A8468,""en"",""hy"")"),"Ո՞ր երկիրն է հայտնի Այա Սոֆիայի տաճարով:")</f>
        <v>Ո՞ր երկիրն է հայտնի Այա Սոֆիայի տաճարով:</v>
      </c>
      <c r="D8468" s="6" t="str">
        <f>IFERROR(__xludf.DUMMYFUNCTION("GOOGLETRANSLATE(B8468,""en"",""hy"")"),"Հնդկահավ.")</f>
        <v>Հնդկահավ.</v>
      </c>
    </row>
    <row r="8469">
      <c r="A8469" s="5" t="s">
        <v>7683</v>
      </c>
      <c r="B8469" s="5" t="s">
        <v>1016</v>
      </c>
      <c r="C8469" s="5" t="str">
        <f>IFERROR(__xludf.DUMMYFUNCTION("GOOGLETRANSLATE(A8469,""en"",""hy"")"),"Ո՞վ է գրել «Համլետ» պիեսը։")</f>
        <v>Ո՞վ է գրել «Համլետ» պիեսը։</v>
      </c>
      <c r="D8469" s="6" t="str">
        <f>IFERROR(__xludf.DUMMYFUNCTION("GOOGLETRANSLATE(B8469,""en"",""hy"")"),"Ուիլյամ Շեքսպիր.")</f>
        <v>Ուիլյամ Շեքսպիր.</v>
      </c>
    </row>
    <row r="8470">
      <c r="A8470" s="5" t="s">
        <v>9829</v>
      </c>
      <c r="B8470" s="5" t="s">
        <v>7488</v>
      </c>
      <c r="C8470" s="5" t="str">
        <f>IFERROR(__xludf.DUMMYFUNCTION("GOOGLETRANSLATE(A8470,""en"",""hy"")"),"Ո՞ր քաղաքում է գտնվում Թաջ Մահալը:")</f>
        <v>Ո՞ր քաղաքում է գտնվում Թաջ Մահալը:</v>
      </c>
      <c r="D8470" s="6" t="str">
        <f>IFERROR(__xludf.DUMMYFUNCTION("GOOGLETRANSLATE(B8470,""en"",""hy"")"),"Ագրա")</f>
        <v>Ագրա</v>
      </c>
    </row>
    <row r="8471">
      <c r="A8471" s="5" t="s">
        <v>8068</v>
      </c>
      <c r="B8471" s="5" t="s">
        <v>8374</v>
      </c>
      <c r="C8471" s="5" t="str">
        <f>IFERROR(__xludf.DUMMYFUNCTION("GOOGLETRANSLATE(A8471,""en"",""hy"")"),"Ո՞րն է պղնձի քիմիական նշանը:")</f>
        <v>Ո՞րն է պղնձի քիմիական նշանը:</v>
      </c>
      <c r="D8471" s="6" t="str">
        <f>IFERROR(__xludf.DUMMYFUNCTION("GOOGLETRANSLATE(B8471,""en"",""hy"")"),"Պղնձի քիմիական նշանը Cu-ն է։")</f>
        <v>Պղնձի քիմիական նշանը Cu-ն է։</v>
      </c>
    </row>
    <row r="8472">
      <c r="A8472" s="5" t="s">
        <v>8654</v>
      </c>
      <c r="B8472" s="5" t="s">
        <v>7343</v>
      </c>
      <c r="C8472" s="5" t="str">
        <f>IFERROR(__xludf.DUMMYFUNCTION("GOOGLETRANSLATE(A8472,""en"",""hy"")"),"Ո՞ր երկիրն է հայտնի Կրեմլով:")</f>
        <v>Ո՞ր երկիրն է հայտնի Կրեմլով:</v>
      </c>
      <c r="D8472" s="6" t="str">
        <f>IFERROR(__xludf.DUMMYFUNCTION("GOOGLETRANSLATE(B8472,""en"",""hy"")"),"Ռուսաստան.")</f>
        <v>Ռուսաստան.</v>
      </c>
    </row>
    <row r="8473">
      <c r="A8473" s="5" t="s">
        <v>9830</v>
      </c>
      <c r="B8473" s="5" t="s">
        <v>9831</v>
      </c>
      <c r="C8473" s="5" t="str">
        <f>IFERROR(__xludf.DUMMYFUNCTION("GOOGLETRANSLATE(A8473,""en"",""hy"")"),"Ո՞վ է նկարել հայտնի «Մտածողը» ստեղծագործությունը:")</f>
        <v>Ո՞վ է նկարել հայտնի «Մտածողը» ստեղծագործությունը:</v>
      </c>
      <c r="D8473" s="6" t="str">
        <f>IFERROR(__xludf.DUMMYFUNCTION("GOOGLETRANSLATE(B8473,""en"",""hy"")"),"Օգյուստ Ռոդեն.")</f>
        <v>Օգյուստ Ռոդեն.</v>
      </c>
    </row>
    <row r="8474">
      <c r="A8474" s="5" t="s">
        <v>8807</v>
      </c>
      <c r="B8474" s="5" t="s">
        <v>2267</v>
      </c>
      <c r="C8474" s="5" t="str">
        <f>IFERROR(__xludf.DUMMYFUNCTION("GOOGLETRANSLATE(A8474,""en"",""hy"")"),"Ո՞րն է Մեքսիկայում խոսվող հիմնական լեզուն:")</f>
        <v>Ո՞րն է Մեքսիկայում խոսվող հիմնական լեզուն:</v>
      </c>
      <c r="D8474" s="6" t="str">
        <f>IFERROR(__xludf.DUMMYFUNCTION("GOOGLETRANSLATE(B8474,""en"",""hy"")"),"իսպաներեն.")</f>
        <v>իսպաներեն.</v>
      </c>
    </row>
    <row r="8475">
      <c r="A8475" s="5" t="s">
        <v>7566</v>
      </c>
      <c r="B8475" s="5" t="s">
        <v>7934</v>
      </c>
      <c r="C8475" s="5" t="str">
        <f>IFERROR(__xludf.DUMMYFUNCTION("GOOGLETRANSLATE(A8475,""en"",""hy"")"),"Ո՞վ է Կանադայի ներկայիս վարչապետը:")</f>
        <v>Ո՞վ է Կանադայի ներկայիս վարչապետը:</v>
      </c>
      <c r="D8475" s="6" t="str">
        <f>IFERROR(__xludf.DUMMYFUNCTION("GOOGLETRANSLATE(B8475,""en"",""hy"")"),"Ջասթին Թրյուդո.")</f>
        <v>Ջասթին Թրյուդո.</v>
      </c>
    </row>
    <row r="8476">
      <c r="A8476" s="5" t="s">
        <v>8062</v>
      </c>
      <c r="B8476" s="5" t="s">
        <v>9832</v>
      </c>
      <c r="C8476" s="5" t="str">
        <f>IFERROR(__xludf.DUMMYFUNCTION("GOOGLETRANSLATE(A8476,""en"",""hy"")"),"Քանի՞ խաղացող կա ֆուտբոլային թիմում:")</f>
        <v>Քանի՞ խաղացող կա ֆուտբոլային թիմում:</v>
      </c>
      <c r="D8476" s="6" t="str">
        <f>IFERROR(__xludf.DUMMYFUNCTION("GOOGLETRANSLATE(B8476,""en"",""hy"")"),"Տասնմեկ.")</f>
        <v>Տասնմեկ.</v>
      </c>
    </row>
    <row r="8477">
      <c r="A8477" s="5" t="s">
        <v>7729</v>
      </c>
      <c r="B8477" s="5" t="s">
        <v>7525</v>
      </c>
      <c r="C8477" s="5" t="str">
        <f>IFERROR(__xludf.DUMMYFUNCTION("GOOGLETRANSLATE(A8477,""en"",""hy"")"),"Ո՞րն է Չինաստանի մայրաքաղաքը:")</f>
        <v>Ո՞րն է Չինաստանի մայրաքաղաքը:</v>
      </c>
      <c r="D8477" s="6" t="str">
        <f>IFERROR(__xludf.DUMMYFUNCTION("GOOGLETRANSLATE(B8477,""en"",""hy"")"),"Պեկին.")</f>
        <v>Պեկին.</v>
      </c>
    </row>
    <row r="8478">
      <c r="A8478" s="5" t="s">
        <v>7761</v>
      </c>
      <c r="B8478" s="5" t="s">
        <v>7862</v>
      </c>
      <c r="C8478" s="5" t="str">
        <f>IFERROR(__xludf.DUMMYFUNCTION("GOOGLETRANSLATE(A8478,""en"",""hy"")"),"Ո՞րն է ջրածնի քիմիական նշանը:")</f>
        <v>Ո՞րն է ջրածնի քիմիական նշանը:</v>
      </c>
      <c r="D8478" s="6" t="str">
        <f>IFERROR(__xludf.DUMMYFUNCTION("GOOGLETRANSLATE(B8478,""en"",""hy"")"),"Ջրածնի քիմիական նշանն է H.")</f>
        <v>Ջրածնի քիմիական նշանն է H.</v>
      </c>
    </row>
    <row r="8479">
      <c r="A8479" s="5" t="s">
        <v>9833</v>
      </c>
      <c r="B8479" s="5" t="s">
        <v>9129</v>
      </c>
      <c r="C8479" s="5" t="str">
        <f>IFERROR(__xludf.DUMMYFUNCTION("GOOGLETRANSLATE(A8479,""en"",""hy"")"),"Ո՞ր երկիրն է հայտնի Գրանդ Կանյոնով:")</f>
        <v>Ո՞ր երկիրն է հայտնի Գրանդ Կանյոնով:</v>
      </c>
      <c r="D8479" s="6" t="str">
        <f>IFERROR(__xludf.DUMMYFUNCTION("GOOGLETRANSLATE(B8479,""en"",""hy"")"),"Միացյալ Նահանգները.")</f>
        <v>Միացյալ Նահանգները.</v>
      </c>
    </row>
    <row r="8480">
      <c r="A8480" s="5" t="s">
        <v>7698</v>
      </c>
      <c r="B8480" s="5" t="s">
        <v>7630</v>
      </c>
      <c r="C8480" s="5" t="str">
        <f>IFERROR(__xludf.DUMMYFUNCTION("GOOGLETRANSLATE(A8480,""en"",""hy"")"),"Ո՞վ է գրել «Հպարտություն և նախապաշարմունք» վեպը:")</f>
        <v>Ո՞վ է գրել «Հպարտություն և նախապաշարմունք» վեպը:</v>
      </c>
      <c r="D8480" s="6" t="str">
        <f>IFERROR(__xludf.DUMMYFUNCTION("GOOGLETRANSLATE(B8480,""en"",""hy"")"),"Ջեյն Օսթին.")</f>
        <v>Ջեյն Օսթին.</v>
      </c>
    </row>
    <row r="8481">
      <c r="A8481" s="5" t="s">
        <v>7450</v>
      </c>
      <c r="B8481" s="5" t="s">
        <v>7451</v>
      </c>
      <c r="C8481" s="5" t="str">
        <f>IFERROR(__xludf.DUMMYFUNCTION("GOOGLETRANSLATE(A8481,""en"",""hy"")"),"Ո՞րն է Ավստրալիայի մայրաքաղաքը:")</f>
        <v>Ո՞րն է Ավստրալիայի մայրաքաղաքը:</v>
      </c>
      <c r="D8481" s="6" t="str">
        <f>IFERROR(__xludf.DUMMYFUNCTION("GOOGLETRANSLATE(B8481,""en"",""hy"")"),"Կանբերա.")</f>
        <v>Կանբերա.</v>
      </c>
    </row>
    <row r="8482">
      <c r="A8482" s="5" t="s">
        <v>7668</v>
      </c>
      <c r="B8482" s="5" t="s">
        <v>8110</v>
      </c>
      <c r="C8482" s="5" t="str">
        <f>IFERROR(__xludf.DUMMYFUNCTION("GOOGLETRANSLATE(A8482,""en"",""hy"")"),"Ո՞վ է «Հարի Փոթեր» շարքի հեղինակը.")</f>
        <v>Ո՞վ է «Հարի Փոթեր» շարքի հեղինակը.</v>
      </c>
      <c r="D8482" s="6" t="str">
        <f>IFERROR(__xludf.DUMMYFUNCTION("GOOGLETRANSLATE(B8482,""en"",""hy"")"),"Ջ.Կ. Ռոուլինգ")</f>
        <v>Ջ.Կ. Ռոուլինգ</v>
      </c>
    </row>
    <row r="8483">
      <c r="A8483" s="5" t="s">
        <v>7452</v>
      </c>
      <c r="B8483" s="5" t="s">
        <v>7453</v>
      </c>
      <c r="C8483" s="5" t="str">
        <f>IFERROR(__xludf.DUMMYFUNCTION("GOOGLETRANSLATE(A8483,""en"",""hy"")"),"Ո՞րն է ոսկու քիմիական նշանը:")</f>
        <v>Ո՞րն է ոսկու քիմիական նշանը:</v>
      </c>
      <c r="D8483" s="6" t="str">
        <f>IFERROR(__xludf.DUMMYFUNCTION("GOOGLETRANSLATE(B8483,""en"",""hy"")"),"Ոսկու քիմիական նշանը Au-ն է:")</f>
        <v>Ոսկու քիմիական նշանը Au-ն է:</v>
      </c>
    </row>
    <row r="8484">
      <c r="A8484" s="5" t="s">
        <v>7632</v>
      </c>
      <c r="B8484" s="5" t="s">
        <v>7633</v>
      </c>
      <c r="C8484" s="5" t="str">
        <f>IFERROR(__xludf.DUMMYFUNCTION("GOOGLETRANSLATE(A8484,""en"",""hy"")"),"Ո՞րն է մեր արեգակնային համակարգի ամենամեծ մոլորակը:")</f>
        <v>Ո՞րն է մեր արեգակնային համակարգի ամենամեծ մոլորակը:</v>
      </c>
      <c r="D8484" s="6" t="str">
        <f>IFERROR(__xludf.DUMMYFUNCTION("GOOGLETRANSLATE(B8484,""en"",""hy"")"),"Յուպիտեր.")</f>
        <v>Յուպիտեր.</v>
      </c>
    </row>
    <row r="8485">
      <c r="A8485" s="5" t="s">
        <v>8011</v>
      </c>
      <c r="B8485" s="5" t="s">
        <v>7470</v>
      </c>
      <c r="C8485" s="5" t="str">
        <f>IFERROR(__xludf.DUMMYFUNCTION("GOOGLETRANSLATE(A8485,""en"",""hy"")"),"Ո՞ր թվականին ավարտվեց Երկրորդ համաշխարհային պատերազմը:")</f>
        <v>Ո՞ր թվականին ավարտվեց Երկրորդ համաշխարհային պատերազմը:</v>
      </c>
      <c r="D8485" s="6" t="str">
        <f>IFERROR(__xludf.DUMMYFUNCTION("GOOGLETRANSLATE(B8485,""en"",""hy"")"),"Երկրորդ համաշխարհային պատերազմն ավարտվեց 1945 թվականին։")</f>
        <v>Երկրորդ համաշխարհային պատերազմն ավարտվեց 1945 թվականին։</v>
      </c>
    </row>
    <row r="8486">
      <c r="A8486" s="5" t="s">
        <v>7447</v>
      </c>
      <c r="B8486" s="5" t="s">
        <v>7448</v>
      </c>
      <c r="C8486" s="5" t="str">
        <f>IFERROR(__xludf.DUMMYFUNCTION("GOOGLETRANSLATE(A8486,""en"",""hy"")"),"Ո՞վ է նկարել Մոնա Լիզան:")</f>
        <v>Ո՞վ է նկարել Մոնա Լիզան:</v>
      </c>
      <c r="D8486" s="6" t="str">
        <f>IFERROR(__xludf.DUMMYFUNCTION("GOOGLETRANSLATE(B8486,""en"",""hy"")"),"Լեոնարդո դա Վինչի.")</f>
        <v>Լեոնարդո դա Վինչի.</v>
      </c>
    </row>
    <row r="8487">
      <c r="A8487" s="5" t="s">
        <v>9834</v>
      </c>
      <c r="B8487" s="5" t="s">
        <v>8968</v>
      </c>
      <c r="C8487" s="5" t="str">
        <f>IFERROR(__xludf.DUMMYFUNCTION("GOOGLETRANSLATE(A8487,""en"",""hy"")"),"Ո՞րն է Երկրի ամենացուրտ մայրցամաքը:")</f>
        <v>Ո՞րն է Երկրի ամենացուրտ մայրցամաքը:</v>
      </c>
      <c r="D8487" s="6" t="str">
        <f>IFERROR(__xludf.DUMMYFUNCTION("GOOGLETRANSLATE(B8487,""en"",""hy"")"),"Անտարկտիկա.")</f>
        <v>Անտարկտիկա.</v>
      </c>
    </row>
    <row r="8488">
      <c r="A8488" s="5" t="s">
        <v>8039</v>
      </c>
      <c r="B8488" s="5" t="s">
        <v>7921</v>
      </c>
      <c r="C8488" s="5" t="str">
        <f>IFERROR(__xludf.DUMMYFUNCTION("GOOGLETRANSLATE(A8488,""en"",""hy"")"),"Ո՞ր երկիրն է հայտնի Թաջ Մահալով:")</f>
        <v>Ո՞ր երկիրն է հայտնի Թաջ Մահալով:</v>
      </c>
      <c r="D8488" s="6" t="str">
        <f>IFERROR(__xludf.DUMMYFUNCTION("GOOGLETRANSLATE(B8488,""en"",""hy"")"),"Հնդկաստան.")</f>
        <v>Հնդկաստան.</v>
      </c>
    </row>
    <row r="8489">
      <c r="A8489" s="5" t="s">
        <v>7640</v>
      </c>
      <c r="B8489" s="5" t="s">
        <v>1016</v>
      </c>
      <c r="C8489" s="5" t="str">
        <f>IFERROR(__xludf.DUMMYFUNCTION("GOOGLETRANSLATE(A8489,""en"",""hy"")"),"Ո՞վ է գրել «Ռոմեո և Ջուլիետ» պիեսը:")</f>
        <v>Ո՞վ է գրել «Ռոմեո և Ջուլիետ» պիեսը:</v>
      </c>
      <c r="D8489" s="6" t="str">
        <f>IFERROR(__xludf.DUMMYFUNCTION("GOOGLETRANSLATE(B8489,""en"",""hy"")"),"Ուիլյամ Շեքսպիր.")</f>
        <v>Ուիլյամ Շեքսպիր.</v>
      </c>
    </row>
    <row r="8490">
      <c r="A8490" s="5" t="s">
        <v>7722</v>
      </c>
      <c r="B8490" s="5" t="s">
        <v>9835</v>
      </c>
      <c r="C8490" s="5" t="str">
        <f>IFERROR(__xludf.DUMMYFUNCTION("GOOGLETRANSLATE(A8490,""en"",""hy"")"),"Ո՞րն է Աֆրիկայի ամենաբարձր լեռը:")</f>
        <v>Ո՞րն է Աֆրիկայի ամենաբարձր լեռը:</v>
      </c>
      <c r="D8490" s="6" t="str">
        <f>IFERROR(__xludf.DUMMYFUNCTION("GOOGLETRANSLATE(B8490,""en"",""hy"")"),"Աֆրիկայի ամենաբարձր լեռը Կիլիմանջարո լեռն է։")</f>
        <v>Աֆրիկայի ամենաբարձր լեռը Կիլիմանջարո լեռն է։</v>
      </c>
    </row>
    <row r="8491">
      <c r="A8491" s="5" t="s">
        <v>7645</v>
      </c>
      <c r="B8491" s="5" t="s">
        <v>8336</v>
      </c>
      <c r="C8491" s="5" t="str">
        <f>IFERROR(__xludf.DUMMYFUNCTION("GOOGLETRANSLATE(A8491,""en"",""hy"")"),"Ո՞րն է Երկրի ամենամեծ օվկիանոսը:")</f>
        <v>Ո՞րն է Երկրի ամենամեծ օվկիանոսը:</v>
      </c>
      <c r="D8491" s="6" t="str">
        <f>IFERROR(__xludf.DUMMYFUNCTION("GOOGLETRANSLATE(B8491,""en"",""hy"")"),"Երկրի ամենամեծ օվկիանոսը Խաղաղ օվկիանոսն է։")</f>
        <v>Երկրի ամենամեծ օվկիանոսը Խաղաղ օվկիանոսն է։</v>
      </c>
    </row>
    <row r="8492">
      <c r="A8492" s="5" t="s">
        <v>7504</v>
      </c>
      <c r="B8492" s="5" t="s">
        <v>7505</v>
      </c>
      <c r="C8492" s="5" t="str">
        <f>IFERROR(__xludf.DUMMYFUNCTION("GOOGLETRANSLATE(A8492,""en"",""hy"")"),"Ո՞վ է Միացյալ Նահանգների ներկայիս նախագահը:")</f>
        <v>Ո՞վ է Միացյալ Նահանգների ներկայիս նախագահը:</v>
      </c>
      <c r="D8492" s="6" t="str">
        <f>IFERROR(__xludf.DUMMYFUNCTION("GOOGLETRANSLATE(B8492,""en"",""hy"")"),"Ջո Բայդեն.")</f>
        <v>Ջո Բայդեն.</v>
      </c>
    </row>
    <row r="8493">
      <c r="A8493" s="5" t="s">
        <v>9836</v>
      </c>
      <c r="B8493" s="5" t="s">
        <v>9837</v>
      </c>
      <c r="C8493" s="5" t="str">
        <f>IFERROR(__xludf.DUMMYFUNCTION("GOOGLETRANSLATE(A8493,""en"",""hy"")"),"Ինչ տեսակի կենդանի է կոմոդոյի վիշապը:")</f>
        <v>Ինչ տեսակի կենդանի է կոմոդոյի վիշապը:</v>
      </c>
      <c r="D8493" s="6" t="str">
        <f>IFERROR(__xludf.DUMMYFUNCTION("GOOGLETRANSLATE(B8493,""en"",""hy"")"),"Մի մողես.")</f>
        <v>Մի մողես.</v>
      </c>
    </row>
    <row r="8494">
      <c r="A8494" s="5" t="s">
        <v>7773</v>
      </c>
      <c r="B8494" s="5" t="s">
        <v>8253</v>
      </c>
      <c r="C8494" s="5" t="str">
        <f>IFERROR(__xludf.DUMMYFUNCTION("GOOGLETRANSLATE(A8494,""en"",""hy"")"),"Ո՞վ է հայտնաբերել պենիցիլինը:")</f>
        <v>Ո՞վ է հայտնաբերել պենիցիլինը:</v>
      </c>
      <c r="D8494" s="6" t="str">
        <f>IFERROR(__xludf.DUMMYFUNCTION("GOOGLETRANSLATE(B8494,""en"",""hy"")"),"Ալեքսանդր Ֆլեմինգ.")</f>
        <v>Ալեքսանդր Ֆլեմինգ.</v>
      </c>
    </row>
    <row r="8495">
      <c r="A8495" s="5" t="s">
        <v>8020</v>
      </c>
      <c r="B8495" s="5" t="s">
        <v>7961</v>
      </c>
      <c r="C8495" s="5" t="str">
        <f>IFERROR(__xludf.DUMMYFUNCTION("GOOGLETRANSLATE(A8495,""en"",""hy"")"),"Ո՞ր թվականին է խորտակվել Տիտանիկը:")</f>
        <v>Ո՞ր թվականին է խորտակվել Տիտանիկը:</v>
      </c>
      <c r="D8495" s="6" t="str">
        <f>IFERROR(__xludf.DUMMYFUNCTION("GOOGLETRANSLATE(B8495,""en"",""hy"")"),"Տիտանիկը խորտակվել է 1912 թվականին։")</f>
        <v>Տիտանիկը խորտակվել է 1912 թվականին։</v>
      </c>
    </row>
    <row r="8496">
      <c r="A8496" s="5" t="s">
        <v>9838</v>
      </c>
      <c r="B8496" s="5" t="s">
        <v>7496</v>
      </c>
      <c r="C8496" s="5" t="str">
        <f>IFERROR(__xludf.DUMMYFUNCTION("GOOGLETRANSLATE(A8496,""en"",""hy"")"),"Մեր Արեգակնային համակարգի ո՞ր մոլորակն է հայտնի իր օղակներով:")</f>
        <v>Մեր Արեգակնային համակարգի ո՞ր մոլորակն է հայտնի իր օղակներով:</v>
      </c>
      <c r="D8496" s="6" t="str">
        <f>IFERROR(__xludf.DUMMYFUNCTION("GOOGLETRANSLATE(B8496,""en"",""hy"")"),"Սատուրն.")</f>
        <v>Սատուրն.</v>
      </c>
    </row>
    <row r="8497">
      <c r="A8497" s="5" t="s">
        <v>7842</v>
      </c>
      <c r="B8497" s="5" t="s">
        <v>7671</v>
      </c>
      <c r="C8497" s="5" t="str">
        <f>IFERROR(__xludf.DUMMYFUNCTION("GOOGLETRANSLATE(A8497,""en"",""hy"")"),"Ո՞րն է աշխարհի ամենաերկար գետը:")</f>
        <v>Ո՞րն է աշխարհի ամենաերկար գետը:</v>
      </c>
      <c r="D8497" s="6" t="str">
        <f>IFERROR(__xludf.DUMMYFUNCTION("GOOGLETRANSLATE(B8497,""en"",""hy"")"),"Նեղոս գետ.")</f>
        <v>Նեղոս գետ.</v>
      </c>
    </row>
    <row r="8498">
      <c r="A8498" s="5" t="s">
        <v>7849</v>
      </c>
      <c r="B8498" s="5" t="s">
        <v>7541</v>
      </c>
      <c r="C8498" s="5" t="str">
        <f>IFERROR(__xludf.DUMMYFUNCTION("GOOGLETRANSLATE(A8498,""en"",""hy"")"),"Ո՞վ է գրել «Սպանել ծաղրող թռչունին» վեպը:")</f>
        <v>Ո՞վ է գրել «Սպանել ծաղրող թռչունին» վեպը:</v>
      </c>
      <c r="D8498" s="6" t="str">
        <f>IFERROR(__xludf.DUMMYFUNCTION("GOOGLETRANSLATE(B8498,""en"",""hy"")"),"Հարփեր Լի.")</f>
        <v>Հարփեր Լի.</v>
      </c>
    </row>
    <row r="8499">
      <c r="A8499" s="5" t="s">
        <v>9839</v>
      </c>
      <c r="B8499" s="5" t="s">
        <v>8301</v>
      </c>
      <c r="C8499" s="5" t="str">
        <f>IFERROR(__xludf.DUMMYFUNCTION("GOOGLETRANSLATE(A8499,""en"",""hy"")"),"Ո՞րն է Hg նշանով քիմիական տարրը:")</f>
        <v>Ո՞րն է Hg նշանով քիմիական տարրը:</v>
      </c>
      <c r="D8499" s="6" t="str">
        <f>IFERROR(__xludf.DUMMYFUNCTION("GOOGLETRANSLATE(B8499,""en"",""hy"")"),"Մերկուրի.")</f>
        <v>Մերկուրի.</v>
      </c>
    </row>
    <row r="8500">
      <c r="A8500" s="5" t="s">
        <v>8099</v>
      </c>
      <c r="B8500" s="5" t="s">
        <v>8579</v>
      </c>
      <c r="C8500" s="5" t="str">
        <f>IFERROR(__xludf.DUMMYFUNCTION("GOOGLETRANSLATE(A8500,""en"",""hy"")"),"Քանի՞ մոլորակ կա մեր արեգակնային համակարգում:")</f>
        <v>Քանի՞ մոլորակ կա մեր արեգակնային համակարգում:</v>
      </c>
      <c r="D8500" s="6" t="str">
        <f>IFERROR(__xludf.DUMMYFUNCTION("GOOGLETRANSLATE(B8500,""en"",""hy"")"),"Մեր Արեգակնային համակարգում կա 8 մոլորակ։")</f>
        <v>Մեր Արեգակնային համակարգում կա 8 մոլորակ։</v>
      </c>
    </row>
    <row r="8501">
      <c r="A8501" s="5" t="s">
        <v>7473</v>
      </c>
      <c r="B8501" s="5" t="s">
        <v>7474</v>
      </c>
      <c r="C8501" s="5" t="str">
        <f>IFERROR(__xludf.DUMMYFUNCTION("GOOGLETRANSLATE(A8501,""en"",""hy"")"),"Ո՞վ է նկարել Սիքստինյան կապելլայի առաստաղը:")</f>
        <v>Ո՞վ է նկարել Սիքստինյան կապելլայի առաստաղը:</v>
      </c>
      <c r="D8501" s="6" t="str">
        <f>IFERROR(__xludf.DUMMYFUNCTION("GOOGLETRANSLATE(B8501,""en"",""hy"")"),"Միքելանջելո.")</f>
        <v>Միքելանջելո.</v>
      </c>
    </row>
    <row r="8502">
      <c r="A8502" s="5" t="s">
        <v>9840</v>
      </c>
      <c r="B8502" s="5" t="s">
        <v>2951</v>
      </c>
      <c r="C8502" s="5" t="str">
        <f>IFERROR(__xludf.DUMMYFUNCTION("GOOGLETRANSLATE(A8502,""en"",""hy"")"),"Ո՞ր քաղաքն է Կանադայի մայրաքաղաքը:")</f>
        <v>Ո՞ր քաղաքն է Կանադայի մայրաքաղաքը:</v>
      </c>
      <c r="D8502" s="6" t="str">
        <f>IFERROR(__xludf.DUMMYFUNCTION("GOOGLETRANSLATE(B8502,""en"",""hy"")"),"Օտտավա.")</f>
        <v>Օտտավա.</v>
      </c>
    </row>
    <row r="8503">
      <c r="A8503" s="5" t="s">
        <v>7513</v>
      </c>
      <c r="B8503" s="5" t="s">
        <v>7514</v>
      </c>
      <c r="C8503" s="5" t="str">
        <f>IFERROR(__xludf.DUMMYFUNCTION("GOOGLETRANSLATE(A8503,""en"",""hy"")"),"Ո՞րն է աշխարհի ամենամեծ անապատը:")</f>
        <v>Ո՞րն է աշխարհի ամենամեծ անապատը:</v>
      </c>
      <c r="D8503" s="6" t="str">
        <f>IFERROR(__xludf.DUMMYFUNCTION("GOOGLETRANSLATE(B8503,""en"",""hy"")"),"Աշխարհի ամենամեծ անապատը Սահարա անապատն է։")</f>
        <v>Աշխարհի ամենամեծ անապատը Սահարա անապատն է։</v>
      </c>
    </row>
    <row r="8504">
      <c r="A8504" s="5" t="s">
        <v>7674</v>
      </c>
      <c r="B8504" s="5" t="s">
        <v>7675</v>
      </c>
      <c r="C8504" s="5" t="str">
        <f>IFERROR(__xludf.DUMMYFUNCTION("GOOGLETRANSLATE(A8504,""en"",""hy"")"),"Ո՞վ է հունական ծովի աստվածը:")</f>
        <v>Ո՞վ է հունական ծովի աստվածը:</v>
      </c>
      <c r="D8504" s="6" t="str">
        <f>IFERROR(__xludf.DUMMYFUNCTION("GOOGLETRANSLATE(B8504,""en"",""hy"")"),"Պոսեյդոն.")</f>
        <v>Պոսեյդոն.</v>
      </c>
    </row>
    <row r="8505">
      <c r="A8505" s="5" t="s">
        <v>7467</v>
      </c>
      <c r="B8505" s="5" t="s">
        <v>7766</v>
      </c>
      <c r="C8505" s="5" t="str">
        <f>IFERROR(__xludf.DUMMYFUNCTION("GOOGLETRANSLATE(A8505,""en"",""hy"")"),"Ո՞րն է Ճապոնիայի արժույթը:")</f>
        <v>Ո՞րն է Ճապոնիայի արժույթը:</v>
      </c>
      <c r="D8505" s="6" t="str">
        <f>IFERROR(__xludf.DUMMYFUNCTION("GOOGLETRANSLATE(B8505,""en"",""hy"")"),"Ճապոնիայի արժույթը ճապոնական իենն է։")</f>
        <v>Ճապոնիայի արժույթը ճապոնական իենն է։</v>
      </c>
    </row>
    <row r="8506">
      <c r="A8506" s="5" t="s">
        <v>7629</v>
      </c>
      <c r="B8506" s="5" t="s">
        <v>7466</v>
      </c>
      <c r="C8506" s="5" t="str">
        <f>IFERROR(__xludf.DUMMYFUNCTION("GOOGLETRANSLATE(A8506,""en"",""hy"")"),"Ո՞վ է «Հպարտություն և նախապաշարմունք» գրքի հեղինակը.")</f>
        <v>Ո՞վ է «Հպարտություն և նախապաշարմունք» գրքի հեղինակը.</v>
      </c>
      <c r="D8506" s="6" t="str">
        <f>IFERROR(__xludf.DUMMYFUNCTION("GOOGLETRANSLATE(B8506,""en"",""hy"")"),"Ջեյն Օսթին")</f>
        <v>Ջեյն Օսթին</v>
      </c>
    </row>
    <row r="8507">
      <c r="A8507" s="5" t="s">
        <v>7845</v>
      </c>
      <c r="B8507" s="5" t="s">
        <v>3533</v>
      </c>
      <c r="C8507" s="5" t="str">
        <f>IFERROR(__xludf.DUMMYFUNCTION("GOOGLETRANSLATE(A8507,""en"",""hy"")"),"Ո՞րն է Բրազիլիայի պաշտոնական լեզուն:")</f>
        <v>Ո՞րն է Բրազիլիայի պաշտոնական լեզուն:</v>
      </c>
      <c r="D8507" s="6" t="str">
        <f>IFERROR(__xludf.DUMMYFUNCTION("GOOGLETRANSLATE(B8507,""en"",""hy"")"),"Բրազիլիայի պաշտոնական լեզուն պորտուգալերենն է։")</f>
        <v>Բրազիլիայի պաշտոնական լեզուն պորտուգալերենն է։</v>
      </c>
    </row>
    <row r="8508">
      <c r="A8508" s="5" t="s">
        <v>9841</v>
      </c>
      <c r="B8508" s="7">
        <v>1776.0</v>
      </c>
      <c r="C8508" s="5" t="str">
        <f>IFERROR(__xludf.DUMMYFUNCTION("GOOGLETRANSLATE(A8508,""en"",""hy"")"),"Ո՞ր թվականին է ստորագրվել Անկախության հռչակագիրը։")</f>
        <v>Ո՞ր թվականին է ստորագրվել Անկախության հռչակագիրը։</v>
      </c>
      <c r="D8508" s="6" t="str">
        <f>IFERROR(__xludf.DUMMYFUNCTION("GOOGLETRANSLATE(B8508,""en"",""hy"")"),"1776 թ")</f>
        <v>1776 թ</v>
      </c>
    </row>
    <row r="8509">
      <c r="A8509" s="5" t="s">
        <v>9842</v>
      </c>
      <c r="B8509" s="5" t="s">
        <v>9843</v>
      </c>
      <c r="C8509" s="5" t="str">
        <f>IFERROR(__xludf.DUMMYFUNCTION("GOOGLETRANSLATE(A8509,""en"",""hy"")"),"Ո՞վ է Queen խմբի մենակատարը:")</f>
        <v>Ո՞վ է Queen խմբի մենակատարը:</v>
      </c>
      <c r="D8509" s="6" t="str">
        <f>IFERROR(__xludf.DUMMYFUNCTION("GOOGLETRANSLATE(B8509,""en"",""hy"")"),"Ֆրեդի Մերկուրի.")</f>
        <v>Ֆրեդի Մերկուրի.</v>
      </c>
    </row>
    <row r="8510">
      <c r="A8510" s="5" t="s">
        <v>7489</v>
      </c>
      <c r="B8510" s="5" t="s">
        <v>7708</v>
      </c>
      <c r="C8510" s="5" t="str">
        <f>IFERROR(__xludf.DUMMYFUNCTION("GOOGLETRANSLATE(A8510,""en"",""hy"")"),"Ո՞րն է աշխարհի ամենաբարձր շենքը:")</f>
        <v>Ո՞րն է աշխարհի ամենաբարձր շենքը:</v>
      </c>
      <c r="D8510" s="6" t="str">
        <f>IFERROR(__xludf.DUMMYFUNCTION("GOOGLETRANSLATE(B8510,""en"",""hy"")"),"Բուրջ Խալիֆա.")</f>
        <v>Բուրջ Խալիֆա.</v>
      </c>
    </row>
    <row r="8511">
      <c r="A8511" s="5" t="s">
        <v>9844</v>
      </c>
      <c r="B8511" s="5" t="s">
        <v>7867</v>
      </c>
      <c r="C8511" s="5" t="str">
        <f>IFERROR(__xludf.DUMMYFUNCTION("GOOGLETRANSLATE(A8511,""en"",""hy"")"),"Ո՞վ է «Մատանիների տիրակալը» եռերգության հեղինակը.")</f>
        <v>Ո՞վ է «Մատանիների տիրակալը» եռերգության հեղինակը.</v>
      </c>
      <c r="D8511" s="6" t="str">
        <f>IFERROR(__xludf.DUMMYFUNCTION("GOOGLETRANSLATE(B8511,""en"",""hy"")"),"Ջ.Ռ.Ռ. Թոլքինը։")</f>
        <v>Ջ.Ռ.Ռ. Թոլքինը։</v>
      </c>
    </row>
    <row r="8512">
      <c r="A8512" s="5" t="s">
        <v>9845</v>
      </c>
      <c r="B8512" s="5" t="s">
        <v>9846</v>
      </c>
      <c r="C8512" s="5" t="str">
        <f>IFERROR(__xludf.DUMMYFUNCTION("GOOGLETRANSLATE(A8512,""en"",""hy"")"),"Ո՞րն է երկաթի քիմիական տարրի խորհրդանիշը:")</f>
        <v>Ո՞րն է երկաթի քիմիական տարրի խորհրդանիշը:</v>
      </c>
      <c r="D8512" s="6" t="str">
        <f>IFERROR(__xludf.DUMMYFUNCTION("GOOGLETRANSLATE(B8512,""en"",""hy"")"),"Երկաթի քիմիական տարրի խորհրդանիշը Fe է:")</f>
        <v>Երկաթի քիմիական տարրի խորհրդանիշը Fe է:</v>
      </c>
    </row>
    <row r="8513">
      <c r="A8513" s="5" t="s">
        <v>7931</v>
      </c>
      <c r="B8513" s="5" t="s">
        <v>7648</v>
      </c>
      <c r="C8513" s="5" t="str">
        <f>IFERROR(__xludf.DUMMYFUNCTION("GOOGLETRANSLATE(A8513,""en"",""hy"")"),"Ո՞վ է նկարել «Աստղային գիշերը»:")</f>
        <v>Ո՞վ է նկարել «Աստղային գիշերը»:</v>
      </c>
      <c r="D8513" s="6" t="str">
        <f>IFERROR(__xludf.DUMMYFUNCTION("GOOGLETRANSLATE(B8513,""en"",""hy"")"),"Վինսենթ վան Գոգ.")</f>
        <v>Վինսենթ վան Գոգ.</v>
      </c>
    </row>
    <row r="8514">
      <c r="A8514" s="5" t="s">
        <v>8624</v>
      </c>
      <c r="B8514" s="5" t="s">
        <v>3700</v>
      </c>
      <c r="C8514" s="5" t="str">
        <f>IFERROR(__xludf.DUMMYFUNCTION("GOOGLETRANSLATE(A8514,""en"",""hy"")"),"Ո՞ր երկիրն է հայտնի Մեծ պարիսպով:")</f>
        <v>Ո՞ր երկիրն է հայտնի Մեծ պարիսպով:</v>
      </c>
      <c r="D8514" s="6" t="str">
        <f>IFERROR(__xludf.DUMMYFUNCTION("GOOGLETRANSLATE(B8514,""en"",""hy"")"),"Չինաստան")</f>
        <v>Չինաստան</v>
      </c>
    </row>
    <row r="8515">
      <c r="A8515" s="5" t="s">
        <v>7526</v>
      </c>
      <c r="B8515" s="5" t="s">
        <v>7527</v>
      </c>
      <c r="C8515" s="5" t="str">
        <f>IFERROR(__xludf.DUMMYFUNCTION("GOOGLETRANSLATE(A8515,""en"",""hy"")"),"Ո՞րն է աշխարհի ամենամեծ կղզին:")</f>
        <v>Ո՞րն է աշխարհի ամենամեծ կղզին:</v>
      </c>
      <c r="D8515" s="6" t="str">
        <f>IFERROR(__xludf.DUMMYFUNCTION("GOOGLETRANSLATE(B8515,""en"",""hy"")"),"Գրենլանդիա.")</f>
        <v>Գրենլանդիա.</v>
      </c>
    </row>
    <row r="8516">
      <c r="A8516" s="5" t="s">
        <v>7679</v>
      </c>
      <c r="B8516" s="5" t="s">
        <v>7560</v>
      </c>
      <c r="C8516" s="5" t="str">
        <f>IFERROR(__xludf.DUMMYFUNCTION("GOOGLETRANSLATE(A8516,""en"",""hy"")"),"Ո՞վ է «The Catcher in the Rye»-ի հեղինակը.")</f>
        <v>Ո՞վ է «The Catcher in the Rye»-ի հեղինակը.</v>
      </c>
      <c r="D8516" s="6" t="str">
        <f>IFERROR(__xludf.DUMMYFUNCTION("GOOGLETRANSLATE(B8516,""en"",""hy"")"),"Ջ.Դ.Սելինջեր.")</f>
        <v>Ջ.Դ.Սելինջեր.</v>
      </c>
    </row>
    <row r="8517">
      <c r="A8517" s="5" t="s">
        <v>8025</v>
      </c>
      <c r="B8517" s="5" t="s">
        <v>8595</v>
      </c>
      <c r="C8517" s="5" t="str">
        <f>IFERROR(__xludf.DUMMYFUNCTION("GOOGLETRANSLATE(A8517,""en"",""hy"")"),"Ո՞րն է Չինաստանի պաշտոնական լեզուն:")</f>
        <v>Ո՞րն է Չինաստանի պաշտոնական լեզուն:</v>
      </c>
      <c r="D8517" s="6" t="str">
        <f>IFERROR(__xludf.DUMMYFUNCTION("GOOGLETRANSLATE(B8517,""en"",""hy"")"),"Չինաստանի պաշտոնական լեզուն մանդարինն է։")</f>
        <v>Չինաստանի պաշտոնական լեզուն մանդարինն է։</v>
      </c>
    </row>
    <row r="8518">
      <c r="A8518" s="5" t="s">
        <v>8476</v>
      </c>
      <c r="B8518" s="5" t="s">
        <v>7976</v>
      </c>
      <c r="C8518" s="5" t="str">
        <f>IFERROR(__xludf.DUMMYFUNCTION("GOOGLETRANSLATE(A8518,""en"",""hy"")"),"Ո՞ր թվականին է սկսվել Առաջին համաշխարհային պատերազմը:")</f>
        <v>Ո՞ր թվականին է սկսվել Առաջին համաշխարհային պատերազմը:</v>
      </c>
      <c r="D8518" s="6" t="str">
        <f>IFERROR(__xludf.DUMMYFUNCTION("GOOGLETRANSLATE(B8518,""en"",""hy"")"),"Առաջին համաշխարհային պատերազմը սկսվել է 1914 թ.")</f>
        <v>Առաջին համաշխարհային պատերազմը սկսվել է 1914 թ.</v>
      </c>
    </row>
    <row r="8519">
      <c r="A8519" s="5" t="s">
        <v>9847</v>
      </c>
      <c r="B8519" s="5" t="s">
        <v>9848</v>
      </c>
      <c r="C8519" s="5" t="str">
        <f>IFERROR(__xludf.DUMMYFUNCTION("GOOGLETRANSLATE(A8519,""en"",""hy"")"),"Ո՞վ է հունական Զևսի աստծու հռոմեական համարժեքը:")</f>
        <v>Ո՞վ է հունական Զևսի աստծու հռոմեական համարժեքը:</v>
      </c>
      <c r="D8519" s="6" t="str">
        <f>IFERROR(__xludf.DUMMYFUNCTION("GOOGLETRANSLATE(B8519,""en"",""hy"")"),"Հունական Զևսի աստծո հռոմեական համարժեքը Յուպիտերն է:")</f>
        <v>Հունական Զևսի աստծո հռոմեական համարժեքը Յուպիտերն է:</v>
      </c>
    </row>
    <row r="8520">
      <c r="A8520" s="5" t="s">
        <v>7483</v>
      </c>
      <c r="B8520" s="5" t="s">
        <v>8295</v>
      </c>
      <c r="C8520" s="5" t="str">
        <f>IFERROR(__xludf.DUMMYFUNCTION("GOOGLETRANSLATE(A8520,""en"",""hy"")"),"Ո՞րն է ջրի քիմիական բանաձևը:")</f>
        <v>Ո՞րն է ջրի քիմիական բանաձևը:</v>
      </c>
      <c r="D8520" s="6" t="str">
        <f>IFERROR(__xludf.DUMMYFUNCTION("GOOGLETRANSLATE(B8520,""en"",""hy"")"),"H2O")</f>
        <v>H2O</v>
      </c>
    </row>
    <row r="8521">
      <c r="A8521" s="5" t="s">
        <v>7779</v>
      </c>
      <c r="B8521" s="5" t="s">
        <v>7446</v>
      </c>
      <c r="C8521" s="5" t="str">
        <f>IFERROR(__xludf.DUMMYFUNCTION("GOOGLETRANSLATE(A8521,""en"",""hy"")"),"Ո՞ր մոլորակն է հայտնի որպես «Կարմիր մոլորակ»:")</f>
        <v>Ո՞ր մոլորակն է հայտնի որպես «Կարմիր մոլորակ»:</v>
      </c>
      <c r="D8521" s="6" t="str">
        <f>IFERROR(__xludf.DUMMYFUNCTION("GOOGLETRANSLATE(B8521,""en"",""hy"")"),"Մարս.")</f>
        <v>Մարս.</v>
      </c>
    </row>
    <row r="8522">
      <c r="A8522" s="5" t="s">
        <v>7655</v>
      </c>
      <c r="B8522" s="5" t="s">
        <v>7656</v>
      </c>
      <c r="C8522" s="5" t="str">
        <f>IFERROR(__xludf.DUMMYFUNCTION("GOOGLETRANSLATE(A8522,""en"",""hy"")"),"Ո՞վ է գրել «Ագռավը» բանաստեղծությունը:")</f>
        <v>Ո՞վ է գրել «Ագռավը» բանաստեղծությունը:</v>
      </c>
      <c r="D8522" s="6" t="str">
        <f>IFERROR(__xludf.DUMMYFUNCTION("GOOGLETRANSLATE(B8522,""en"",""hy"")"),"Էդգար Ալան Պո.")</f>
        <v>Էդգար Ալան Պո.</v>
      </c>
    </row>
    <row r="8523">
      <c r="A8523" s="5" t="s">
        <v>7614</v>
      </c>
      <c r="B8523" s="5" t="s">
        <v>7721</v>
      </c>
      <c r="C8523" s="5" t="str">
        <f>IFERROR(__xludf.DUMMYFUNCTION("GOOGLETRANSLATE(A8523,""en"",""hy"")"),"Ո՞րն է Ֆրանսիայի արժույթը:")</f>
        <v>Ո՞րն է Ֆրանսիայի արժույթը:</v>
      </c>
      <c r="D8523" s="6" t="str">
        <f>IFERROR(__xludf.DUMMYFUNCTION("GOOGLETRANSLATE(B8523,""en"",""hy"")"),"Ֆրանսիայի արժույթը եվրոն է։")</f>
        <v>Ֆրանսիայի արժույթը եվրոն է։</v>
      </c>
    </row>
    <row r="8524">
      <c r="A8524" s="5" t="s">
        <v>7978</v>
      </c>
      <c r="B8524" s="5" t="s">
        <v>7549</v>
      </c>
      <c r="C8524" s="5" t="str">
        <f>IFERROR(__xludf.DUMMYFUNCTION("GOOGLETRANSLATE(A8524,""en"",""hy"")"),"Ո՞վ է նկարել «Մարգարտյա ականջօղով աղջիկը».")</f>
        <v>Ո՞վ է նկարել «Մարգարտյա ականջօղով աղջիկը».</v>
      </c>
      <c r="D8524" s="6" t="str">
        <f>IFERROR(__xludf.DUMMYFUNCTION("GOOGLETRANSLATE(B8524,""en"",""hy"")"),"Յոհաննես Վերմեեր.")</f>
        <v>Յոհաննես Վերմեեր.</v>
      </c>
    </row>
    <row r="8525">
      <c r="A8525" s="5" t="s">
        <v>7971</v>
      </c>
      <c r="B8525" s="5" t="s">
        <v>7972</v>
      </c>
      <c r="C8525" s="5" t="str">
        <f>IFERROR(__xludf.DUMMYFUNCTION("GOOGLETRANSLATE(A8525,""en"",""hy"")"),"Ո՞ր երկիրն է հայտնի Էյֆելյան աշտարակով:")</f>
        <v>Ո՞ր երկիրն է հայտնի Էյֆելյան աշտարակով:</v>
      </c>
      <c r="D8525" s="6" t="str">
        <f>IFERROR(__xludf.DUMMYFUNCTION("GOOGLETRANSLATE(B8525,""en"",""hy"")"),"Ֆրանսիա.")</f>
        <v>Ֆրանսիա.</v>
      </c>
    </row>
    <row r="8526">
      <c r="A8526" s="5" t="s">
        <v>7536</v>
      </c>
      <c r="B8526" s="5" t="s">
        <v>7537</v>
      </c>
      <c r="C8526" s="5" t="str">
        <f>IFERROR(__xludf.DUMMYFUNCTION("GOOGLETRANSLATE(A8526,""en"",""hy"")"),"Ո՞րն է Ռուսաստանի մայրաքաղաքը:")</f>
        <v>Ո՞րն է Ռուսաստանի մայրաքաղաքը:</v>
      </c>
      <c r="D8526" s="6" t="str">
        <f>IFERROR(__xludf.DUMMYFUNCTION("GOOGLETRANSLATE(B8526,""en"",""hy"")"),"Մոսկվա")</f>
        <v>Մոսկվա</v>
      </c>
    </row>
    <row r="8527">
      <c r="A8527" s="5" t="s">
        <v>7660</v>
      </c>
      <c r="B8527" s="5" t="s">
        <v>7613</v>
      </c>
      <c r="C8527" s="5" t="str">
        <f>IFERROR(__xludf.DUMMYFUNCTION("GOOGLETRANSLATE(A8527,""en"",""hy"")"),"Ո՞վ է «Մեծն Գեթսբիի» հեղինակը.")</f>
        <v>Ո՞վ է «Մեծն Գեթսբիի» հեղինակը.</v>
      </c>
      <c r="D8527" s="6" t="str">
        <f>IFERROR(__xludf.DUMMYFUNCTION("GOOGLETRANSLATE(B8527,""en"",""hy"")"),"F. Scott Fitzgerald")</f>
        <v>F. Scott Fitzgerald</v>
      </c>
    </row>
    <row r="8528">
      <c r="A8528" s="5" t="s">
        <v>7665</v>
      </c>
      <c r="B8528" s="5" t="s">
        <v>7781</v>
      </c>
      <c r="C8528" s="5" t="str">
        <f>IFERROR(__xludf.DUMMYFUNCTION("GOOGLETRANSLATE(A8528,""en"",""hy"")"),"Ո՞րն է նատրիումի քիմիական նշանը:")</f>
        <v>Ո՞րն է նատրիումի քիմիական նշանը:</v>
      </c>
      <c r="D8528" s="6" t="str">
        <f>IFERROR(__xludf.DUMMYFUNCTION("GOOGLETRANSLATE(B8528,""en"",""hy"")"),"Նատրիումի քիմիական նշանը Na է:")</f>
        <v>Նատրիումի քիմիական նշանը Na է:</v>
      </c>
    </row>
    <row r="8529">
      <c r="A8529" s="5" t="s">
        <v>7497</v>
      </c>
      <c r="B8529" s="5" t="s">
        <v>1299</v>
      </c>
      <c r="C8529" s="5" t="str">
        <f>IFERROR(__xludf.DUMMYFUNCTION("GOOGLETRANSLATE(A8529,""en"",""hy"")"),"Ո՞րն է աշխարհի ամենամեծ մայրցամաքը:")</f>
        <v>Ո՞րն է աշխարհի ամենամեծ մայրցամաքը:</v>
      </c>
      <c r="D8529" s="6" t="str">
        <f>IFERROR(__xludf.DUMMYFUNCTION("GOOGLETRANSLATE(B8529,""en"",""hy"")"),"Ասիա.")</f>
        <v>Ասիա.</v>
      </c>
    </row>
    <row r="8530">
      <c r="A8530" s="5" t="s">
        <v>9352</v>
      </c>
      <c r="B8530" s="5" t="s">
        <v>9849</v>
      </c>
      <c r="C8530" s="5" t="str">
        <f>IFERROR(__xludf.DUMMYFUNCTION("GOOGLETRANSLATE(A8530,""en"",""hy"")"),"Ո՞վ է սկանդինավյան ամպրոպի աստվածը:")</f>
        <v>Ո՞վ է սկանդինավյան ամպրոպի աստվածը:</v>
      </c>
      <c r="D8530" s="6" t="str">
        <f>IFERROR(__xludf.DUMMYFUNCTION("GOOGLETRANSLATE(B8530,""en"",""hy"")"),"Թոր.")</f>
        <v>Թոր.</v>
      </c>
    </row>
    <row r="8531">
      <c r="A8531" s="5" t="s">
        <v>8270</v>
      </c>
      <c r="B8531" s="5" t="s">
        <v>8271</v>
      </c>
      <c r="C8531" s="5" t="str">
        <f>IFERROR(__xludf.DUMMYFUNCTION("GOOGLETRANSLATE(A8531,""en"",""hy"")"),"Ո՞րն է Գերմանիայի պաշտոնական լեզուն:")</f>
        <v>Ո՞րն է Գերմանիայի պաշտոնական լեզուն:</v>
      </c>
      <c r="D8531" s="6" t="str">
        <f>IFERROR(__xludf.DUMMYFUNCTION("GOOGLETRANSLATE(B8531,""en"",""hy"")"),"Գերմանիայի պաշտոնական լեզուն գերմաներենն է։")</f>
        <v>Գերմանիայի պաշտոնական լեզուն գերմաներենն է։</v>
      </c>
    </row>
    <row r="8532">
      <c r="A8532" s="5" t="s">
        <v>8860</v>
      </c>
      <c r="B8532" s="5" t="s">
        <v>8861</v>
      </c>
      <c r="C8532" s="5" t="str">
        <f>IFERROR(__xludf.DUMMYFUNCTION("GOOGLETRANSLATE(A8532,""en"",""hy"")"),"Ո՞ր թվականին ավարտվեց Ամերիկայի քաղաքացիական պատերազմը:")</f>
        <v>Ո՞ր թվականին ավարտվեց Ամերիկայի քաղաքացիական պատերազմը:</v>
      </c>
      <c r="D8532" s="6" t="str">
        <f>IFERROR(__xludf.DUMMYFUNCTION("GOOGLETRANSLATE(B8532,""en"",""hy"")"),"Ամերիկյան քաղաքացիական պատերազմն ավարտվեց 1865 թվականին։")</f>
        <v>Ամերիկյան քաղաքացիական պատերազմն ավարտվեց 1865 թվականին։</v>
      </c>
    </row>
    <row r="8533">
      <c r="A8533" s="5" t="s">
        <v>9850</v>
      </c>
      <c r="B8533" s="5" t="s">
        <v>7448</v>
      </c>
      <c r="C8533" s="5" t="str">
        <f>IFERROR(__xludf.DUMMYFUNCTION("GOOGLETRANSLATE(A8533,""en"",""hy"")"),"Ո՞վ է նկարել «Վերջին ընթրիքը»:")</f>
        <v>Ո՞վ է նկարել «Վերջին ընթրիքը»:</v>
      </c>
      <c r="D8533" s="6" t="str">
        <f>IFERROR(__xludf.DUMMYFUNCTION("GOOGLETRANSLATE(B8533,""en"",""hy"")"),"Լեոնարդո դա Վինչի.")</f>
        <v>Լեոնարդո դա Վինչի.</v>
      </c>
    </row>
    <row r="8534">
      <c r="A8534" s="5" t="s">
        <v>9227</v>
      </c>
      <c r="B8534" s="5" t="s">
        <v>7512</v>
      </c>
      <c r="C8534" s="5" t="str">
        <f>IFERROR(__xludf.DUMMYFUNCTION("GOOGLETRANSLATE(A8534,""en"",""hy"")"),"Ո՞ր երկիրն է հայտնի Գիզայի բուրգերով:")</f>
        <v>Ո՞ր երկիրն է հայտնի Գիզայի բուրգերով:</v>
      </c>
      <c r="D8534" s="6" t="str">
        <f>IFERROR(__xludf.DUMMYFUNCTION("GOOGLETRANSLATE(B8534,""en"",""hy"")"),"Եգիպտոս.")</f>
        <v>Եգիպտոս.</v>
      </c>
    </row>
    <row r="8535">
      <c r="A8535" s="5" t="s">
        <v>7872</v>
      </c>
      <c r="B8535" s="5" t="s">
        <v>6011</v>
      </c>
      <c r="C8535" s="5" t="str">
        <f>IFERROR(__xludf.DUMMYFUNCTION("GOOGLETRANSLATE(A8535,""en"",""hy"")"),"Ո՞րն է Իսպանիայի մայրաքաղաքը:")</f>
        <v>Ո՞րն է Իսպանիայի մայրաքաղաքը:</v>
      </c>
      <c r="D8535" s="6" t="str">
        <f>IFERROR(__xludf.DUMMYFUNCTION("GOOGLETRANSLATE(B8535,""en"",""hy"")"),"Մադրիդ")</f>
        <v>Մադրիդ</v>
      </c>
    </row>
    <row r="8536">
      <c r="A8536" s="5" t="s">
        <v>7664</v>
      </c>
      <c r="B8536" s="5" t="s">
        <v>7578</v>
      </c>
      <c r="C8536" s="5" t="str">
        <f>IFERROR(__xludf.DUMMYFUNCTION("GOOGLETRANSLATE(A8536,""en"",""hy"")"),"Ո՞վ է «Մոբի-Դիկի» հեղինակը։")</f>
        <v>Ո՞վ է «Մոբի-Դիկի» հեղինակը։</v>
      </c>
      <c r="D8536" s="6" t="str">
        <f>IFERROR(__xludf.DUMMYFUNCTION("GOOGLETRANSLATE(B8536,""en"",""hy"")"),"Հերման Մելվիլ.")</f>
        <v>Հերման Մելվիլ.</v>
      </c>
    </row>
    <row r="8537">
      <c r="A8537" s="5" t="s">
        <v>9422</v>
      </c>
      <c r="B8537" s="5" t="s">
        <v>9757</v>
      </c>
      <c r="C8537" s="5" t="str">
        <f>IFERROR(__xludf.DUMMYFUNCTION("GOOGLETRANSLATE(A8537,""en"",""hy"")"),"Ո՞րն է Fe նշանով քիմիական տարրը:")</f>
        <v>Ո՞րն է Fe նշանով քիմիական տարրը:</v>
      </c>
      <c r="D8537" s="6" t="str">
        <f>IFERROR(__xludf.DUMMYFUNCTION("GOOGLETRANSLATE(B8537,""en"",""hy"")"),"Երկաթ.")</f>
        <v>Երկաթ.</v>
      </c>
    </row>
    <row r="8538">
      <c r="A8538" s="5" t="s">
        <v>9578</v>
      </c>
      <c r="B8538" s="5" t="s">
        <v>7585</v>
      </c>
      <c r="C8538" s="5" t="str">
        <f>IFERROR(__xludf.DUMMYFUNCTION("GOOGLETRANSLATE(A8538,""en"",""hy"")"),"Ո՞վ է նկարել «Ճիչը»:")</f>
        <v>Ո՞վ է նկարել «Ճիչը»:</v>
      </c>
      <c r="D8538" s="6" t="str">
        <f>IFERROR(__xludf.DUMMYFUNCTION("GOOGLETRANSLATE(B8538,""en"",""hy"")"),"Էդվարդ Մունկ.")</f>
        <v>Էդվարդ Մունկ.</v>
      </c>
    </row>
    <row r="8539">
      <c r="A8539" s="5" t="s">
        <v>8665</v>
      </c>
      <c r="B8539" s="5" t="s">
        <v>8201</v>
      </c>
      <c r="C8539" s="5" t="str">
        <f>IFERROR(__xludf.DUMMYFUNCTION("GOOGLETRANSLATE(A8539,""en"",""hy"")"),"Ո՞ր երկիրն է հայտնի Ակրոպոլիսով:")</f>
        <v>Ո՞ր երկիրն է հայտնի Ակրոպոլիսով:</v>
      </c>
      <c r="D8539" s="6" t="str">
        <f>IFERROR(__xludf.DUMMYFUNCTION("GOOGLETRANSLATE(B8539,""en"",""hy"")"),"Հունաստան.")</f>
        <v>Հունաստան.</v>
      </c>
    </row>
    <row r="8540">
      <c r="A8540" s="5" t="s">
        <v>8750</v>
      </c>
      <c r="B8540" s="5" t="s">
        <v>3894</v>
      </c>
      <c r="C8540" s="5" t="str">
        <f>IFERROR(__xludf.DUMMYFUNCTION("GOOGLETRANSLATE(A8540,""en"",""hy"")"),"Ո՞րն է Իտալիայի պաշտոնական լեզուն:")</f>
        <v>Ո՞րն է Իտալիայի պաշտոնական լեզուն:</v>
      </c>
      <c r="D8540" s="6" t="str">
        <f>IFERROR(__xludf.DUMMYFUNCTION("GOOGLETRANSLATE(B8540,""en"",""hy"")"),"Իտալական.")</f>
        <v>Իտալական.</v>
      </c>
    </row>
    <row r="8541">
      <c r="A8541" s="5" t="s">
        <v>8298</v>
      </c>
      <c r="B8541" s="5" t="s">
        <v>9071</v>
      </c>
      <c r="C8541" s="5" t="str">
        <f>IFERROR(__xludf.DUMMYFUNCTION("GOOGLETRANSLATE(A8541,""en"",""hy"")"),"Ո՞ր թվականին է փլվել Բեռլինի պատը:")</f>
        <v>Ո՞ր թվականին է փլվել Բեռլինի պատը:</v>
      </c>
      <c r="D8541" s="6" t="str">
        <f>IFERROR(__xludf.DUMMYFUNCTION("GOOGLETRANSLATE(B8541,""en"",""hy"")"),"Բեռլինի պատը փլվեց 1989թ.")</f>
        <v>Բեռլինի պատը փլվեց 1989թ.</v>
      </c>
    </row>
    <row r="8542">
      <c r="A8542" s="5" t="s">
        <v>9851</v>
      </c>
      <c r="B8542" s="5" t="s">
        <v>9852</v>
      </c>
      <c r="C8542" s="5" t="str">
        <f>IFERROR(__xludf.DUMMYFUNCTION("GOOGLETRANSLATE(A8542,""en"",""hy"")"),"Ո՞վ է հինդու կործանման աստվածը:")</f>
        <v>Ո՞վ է հինդու կործանման աստվածը:</v>
      </c>
      <c r="D8542" s="6" t="str">
        <f>IFERROR(__xludf.DUMMYFUNCTION("GOOGLETRANSLATE(B8542,""en"",""hy"")"),"Հինդու կործանման աստվածը Տեր Շիվան է:")</f>
        <v>Հինդու կործանման աստվածը Տեր Շիվան է:</v>
      </c>
    </row>
    <row r="8543">
      <c r="A8543" s="5" t="s">
        <v>7579</v>
      </c>
      <c r="B8543" s="5" t="s">
        <v>7580</v>
      </c>
      <c r="C8543" s="5" t="str">
        <f>IFERROR(__xludf.DUMMYFUNCTION("GOOGLETRANSLATE(A8543,""en"",""hy"")"),"Ո՞րն է Գերմանիայի արժույթը:")</f>
        <v>Ո՞րն է Գերմանիայի արժույթը:</v>
      </c>
      <c r="D8543" s="6" t="str">
        <f>IFERROR(__xludf.DUMMYFUNCTION("GOOGLETRANSLATE(B8543,""en"",""hy"")"),"Գերմանիայի արժույթը եվրոն է։")</f>
        <v>Գերմանիայի արժույթը եվրոն է։</v>
      </c>
    </row>
    <row r="8544">
      <c r="A8544" s="5" t="s">
        <v>7443</v>
      </c>
      <c r="B8544" s="5" t="s">
        <v>7444</v>
      </c>
      <c r="C8544" s="5" t="str">
        <f>IFERROR(__xludf.DUMMYFUNCTION("GOOGLETRANSLATE(A8544,""en"",""hy"")"),"Ո՞վ է գրել «1984» վեպը։")</f>
        <v>Ո՞վ է գրել «1984» վեպը։</v>
      </c>
      <c r="D8544" s="6" t="str">
        <f>IFERROR(__xludf.DUMMYFUNCTION("GOOGLETRANSLATE(B8544,""en"",""hy"")"),"Ջորջ Օրուել.")</f>
        <v>Ջորջ Օրուել.</v>
      </c>
    </row>
    <row r="8545">
      <c r="A8545" s="5" t="s">
        <v>7809</v>
      </c>
      <c r="B8545" s="5" t="s">
        <v>7810</v>
      </c>
      <c r="C8545" s="5" t="str">
        <f>IFERROR(__xludf.DUMMYFUNCTION("GOOGLETRANSLATE(A8545,""en"",""hy"")"),"Ո՞րն է հելիումի քիմիական նշանը:")</f>
        <v>Ո՞րն է հելիումի քիմիական նշանը:</v>
      </c>
      <c r="D8545" s="6" t="str">
        <f>IFERROR(__xludf.DUMMYFUNCTION("GOOGLETRANSLATE(B8545,""en"",""hy"")"),"Նա")</f>
        <v>Նա</v>
      </c>
    </row>
    <row r="8546">
      <c r="A8546" s="5" t="s">
        <v>8781</v>
      </c>
      <c r="B8546" s="5" t="s">
        <v>7633</v>
      </c>
      <c r="C8546" s="5" t="str">
        <f>IFERROR(__xludf.DUMMYFUNCTION("GOOGLETRANSLATE(A8546,""en"",""hy"")"),"Ո՞ր մոլորակն է հայտնի իր մեծ կարմիր կետով:")</f>
        <v>Ո՞ր մոլորակն է հայտնի իր մեծ կարմիր կետով:</v>
      </c>
      <c r="D8546" s="6" t="str">
        <f>IFERROR(__xludf.DUMMYFUNCTION("GOOGLETRANSLATE(B8546,""en"",""hy"")"),"Յուպիտեր.")</f>
        <v>Յուպիտեր.</v>
      </c>
    </row>
    <row r="8547">
      <c r="A8547" s="5" t="s">
        <v>9853</v>
      </c>
      <c r="B8547" s="5" t="s">
        <v>7621</v>
      </c>
      <c r="C8547" s="5" t="str">
        <f>IFERROR(__xludf.DUMMYFUNCTION("GOOGLETRANSLATE(A8547,""en"",""hy"")"),"Ո՞վ է նկարել «Վեներայի ծնունդը»:")</f>
        <v>Ո՞վ է նկարել «Վեներայի ծնունդը»:</v>
      </c>
      <c r="D8547" s="6" t="str">
        <f>IFERROR(__xludf.DUMMYFUNCTION("GOOGLETRANSLATE(B8547,""en"",""hy"")"),"Սանդրո Բոտիչելի.")</f>
        <v>Սանդրո Բոտիչելի.</v>
      </c>
    </row>
    <row r="8548">
      <c r="A8548" s="5" t="s">
        <v>8132</v>
      </c>
      <c r="B8548" s="5" t="s">
        <v>4457</v>
      </c>
      <c r="C8548" s="5" t="str">
        <f>IFERROR(__xludf.DUMMYFUNCTION("GOOGLETRANSLATE(A8548,""en"",""hy"")"),"Ո՞րն է բնակչության թվով աշխարհի ամենամեծ քաղաքը:")</f>
        <v>Ո՞րն է բնակչության թվով աշխարհի ամենամեծ քաղաքը:</v>
      </c>
      <c r="D8548" s="6" t="str">
        <f>IFERROR(__xludf.DUMMYFUNCTION("GOOGLETRANSLATE(B8548,""en"",""hy"")"),"Տոկիո, Ճապոնիա.")</f>
        <v>Տոկիո, Ճապոնիա.</v>
      </c>
    </row>
    <row r="8549">
      <c r="A8549" s="5" t="s">
        <v>9826</v>
      </c>
      <c r="B8549" s="5" t="s">
        <v>8500</v>
      </c>
      <c r="C8549" s="5" t="str">
        <f>IFERROR(__xludf.DUMMYFUNCTION("GOOGLETRANSLATE(A8549,""en"",""hy"")"),"Ո՞վ է «Ոդիսական»-ի հեղինակը։")</f>
        <v>Ո՞վ է «Ոդիսական»-ի հեղինակը։</v>
      </c>
      <c r="D8549" s="6" t="str">
        <f>IFERROR(__xludf.DUMMYFUNCTION("GOOGLETRANSLATE(B8549,""en"",""hy"")"),"Հոմեր.")</f>
        <v>Հոմեր.</v>
      </c>
    </row>
    <row r="8550">
      <c r="A8550" s="5" t="s">
        <v>8950</v>
      </c>
      <c r="B8550" s="5" t="s">
        <v>8951</v>
      </c>
      <c r="C8550" s="5" t="str">
        <f>IFERROR(__xludf.DUMMYFUNCTION("GOOGLETRANSLATE(A8550,""en"",""hy"")"),"Ո՞րն է Հնդկաստանի պաշտոնական լեզուն:")</f>
        <v>Ո՞րն է Հնդկաստանի պաշտոնական լեզուն:</v>
      </c>
      <c r="D8550" s="6" t="str">
        <f>IFERROR(__xludf.DUMMYFUNCTION("GOOGLETRANSLATE(B8550,""en"",""hy"")"),"Հնդկաստանի պաշտոնական լեզուն հինդին է։")</f>
        <v>Հնդկաստանի պաշտոնական լեզուն հինդին է։</v>
      </c>
    </row>
    <row r="8551">
      <c r="A8551" s="5" t="s">
        <v>9643</v>
      </c>
      <c r="B8551" s="7">
        <v>1775.0</v>
      </c>
      <c r="C8551" s="5" t="str">
        <f>IFERROR(__xludf.DUMMYFUNCTION("GOOGLETRANSLATE(A8551,""en"",""hy"")"),"Ո՞ր թվականին սկսվեց ամերիկյան հեղափոխությունը:")</f>
        <v>Ո՞ր թվականին սկսվեց ամերիկյան հեղափոխությունը:</v>
      </c>
      <c r="D8551" s="6" t="str">
        <f>IFERROR(__xludf.DUMMYFUNCTION("GOOGLETRANSLATE(B8551,""en"",""hy"")"),"1775 թ")</f>
        <v>1775 թ</v>
      </c>
    </row>
    <row r="8552">
      <c r="A8552" s="5" t="s">
        <v>9854</v>
      </c>
      <c r="B8552" s="5" t="s">
        <v>9855</v>
      </c>
      <c r="C8552" s="5" t="str">
        <f>IFERROR(__xludf.DUMMYFUNCTION("GOOGLETRANSLATE(A8552,""en"",""hy"")"),"Ո՞վ է եգիպտական ​​արևի աստվածը:")</f>
        <v>Ո՞վ է եգիպտական ​​արևի աստվածը:</v>
      </c>
      <c r="D8552" s="6" t="str">
        <f>IFERROR(__xludf.DUMMYFUNCTION("GOOGLETRANSLATE(B8552,""en"",""hy"")"),"Ռա")</f>
        <v>Ռա</v>
      </c>
    </row>
    <row r="8553">
      <c r="A8553" s="5" t="s">
        <v>7542</v>
      </c>
      <c r="B8553" s="5" t="s">
        <v>9856</v>
      </c>
      <c r="C8553" s="5" t="str">
        <f>IFERROR(__xludf.DUMMYFUNCTION("GOOGLETRANSLATE(A8553,""en"",""hy"")"),"Ո՞րն է Կանադայի արժույթը:")</f>
        <v>Ո՞րն է Կանադայի արժույթը:</v>
      </c>
      <c r="D8553" s="6" t="str">
        <f>IFERROR(__xludf.DUMMYFUNCTION("GOOGLETRANSLATE(B8553,""en"",""hy"")"),"Կանադայի արժույթը Կանադական դոլարն է։")</f>
        <v>Կանադայի արժույթը Կանադական դոլարն է։</v>
      </c>
    </row>
    <row r="8554">
      <c r="A8554" s="5" t="s">
        <v>7683</v>
      </c>
      <c r="B8554" s="5" t="s">
        <v>1016</v>
      </c>
      <c r="C8554" s="5" t="str">
        <f>IFERROR(__xludf.DUMMYFUNCTION("GOOGLETRANSLATE(A8554,""en"",""hy"")"),"Ո՞վ է գրել «Համլետ» պիեսը։")</f>
        <v>Ո՞վ է գրել «Համլետ» պիեսը։</v>
      </c>
      <c r="D8554" s="6" t="str">
        <f>IFERROR(__xludf.DUMMYFUNCTION("GOOGLETRANSLATE(B8554,""en"",""hy"")"),"Ուիլյամ Շեքսպիր.")</f>
        <v>Ուիլյամ Շեքսպիր.</v>
      </c>
    </row>
    <row r="8555">
      <c r="A8555" s="5" t="s">
        <v>9857</v>
      </c>
      <c r="B8555" s="5" t="s">
        <v>9858</v>
      </c>
      <c r="C8555" s="5" t="str">
        <f>IFERROR(__xludf.DUMMYFUNCTION("GOOGLETRANSLATE(A8555,""en"",""hy"")"),"Ո՞րն է Au նշանով քիմիական տարրը:")</f>
        <v>Ո՞րն է Au նշանով քիմիական տարրը:</v>
      </c>
      <c r="D8555" s="6" t="str">
        <f>IFERROR(__xludf.DUMMYFUNCTION("GOOGLETRANSLATE(B8555,""en"",""hy"")"),"Ոսկի.")</f>
        <v>Ոսկի.</v>
      </c>
    </row>
    <row r="8556">
      <c r="A8556" s="5" t="s">
        <v>8639</v>
      </c>
      <c r="B8556" s="5" t="s">
        <v>9347</v>
      </c>
      <c r="C8556" s="5" t="str">
        <f>IFERROR(__xludf.DUMMYFUNCTION("GOOGLETRANSLATE(A8556,""en"",""hy"")"),"Ո՞ր երկիրն է հայտնի Կոլիզեյով:")</f>
        <v>Ո՞ր երկիրն է հայտնի Կոլիզեյով:</v>
      </c>
      <c r="D8556" s="6" t="str">
        <f>IFERROR(__xludf.DUMMYFUNCTION("GOOGLETRANSLATE(B8556,""en"",""hy"")"),"Իտալիա")</f>
        <v>Իտալիա</v>
      </c>
    </row>
    <row r="8557">
      <c r="A8557" s="5" t="s">
        <v>7500</v>
      </c>
      <c r="B8557" s="5" t="s">
        <v>7501</v>
      </c>
      <c r="C8557" s="5" t="str">
        <f>IFERROR(__xludf.DUMMYFUNCTION("GOOGLETRANSLATE(A8557,""en"",""hy"")"),"Ո՞րն է Ֆրանսիայի մայրաքաղաքը:")</f>
        <v>Ո՞րն է Ֆրանսիայի մայրաքաղաքը:</v>
      </c>
      <c r="D8557" s="6" t="str">
        <f>IFERROR(__xludf.DUMMYFUNCTION("GOOGLETRANSLATE(B8557,""en"",""hy"")"),"Փարիզ.")</f>
        <v>Փարիզ.</v>
      </c>
    </row>
    <row r="8558">
      <c r="A8558" s="5" t="s">
        <v>7730</v>
      </c>
      <c r="B8558" s="5" t="s">
        <v>7906</v>
      </c>
      <c r="C8558" s="5" t="str">
        <f>IFERROR(__xludf.DUMMYFUNCTION("GOOGLETRANSLATE(A8558,""en"",""hy"")"),"Ո՞վ է «Նարնիայի քրոնիկները» գրքի հեղինակը։")</f>
        <v>Ո՞վ է «Նարնիայի քրոնիկները» գրքի հեղինակը։</v>
      </c>
      <c r="D8558" s="6" t="str">
        <f>IFERROR(__xludf.DUMMYFUNCTION("GOOGLETRANSLATE(B8558,""en"",""hy"")"),"C.S. Լյուիս.")</f>
        <v>C.S. Լյուիս.</v>
      </c>
    </row>
    <row r="8559">
      <c r="A8559" s="5" t="s">
        <v>7509</v>
      </c>
      <c r="B8559" s="5" t="s">
        <v>7684</v>
      </c>
      <c r="C8559" s="5" t="str">
        <f>IFERROR(__xludf.DUMMYFUNCTION("GOOGLETRANSLATE(A8559,""en"",""hy"")"),"Ո՞րն է արծաթի քիմիական նշանը:")</f>
        <v>Ո՞րն է արծաթի քիմիական նշանը:</v>
      </c>
      <c r="D8559" s="6" t="str">
        <f>IFERROR(__xludf.DUMMYFUNCTION("GOOGLETRANSLATE(B8559,""en"",""hy"")"),"Արծաթի քիմիական խորհրդանիշն է Ag.")</f>
        <v>Արծաթի քիմիական խորհրդանիշն է Ag.</v>
      </c>
    </row>
    <row r="8560">
      <c r="A8560" s="5" t="s">
        <v>7618</v>
      </c>
      <c r="B8560" s="5" t="s">
        <v>8173</v>
      </c>
      <c r="C8560" s="5" t="str">
        <f>IFERROR(__xludf.DUMMYFUNCTION("GOOGLETRANSLATE(A8560,""en"",""hy"")"),"Ո՞րն է աշխարհի ամենամեծ ջրվեժը:")</f>
        <v>Ո՞րն է աշխարհի ամենամեծ ջրվեժը:</v>
      </c>
      <c r="D8560" s="6" t="str">
        <f>IFERROR(__xludf.DUMMYFUNCTION("GOOGLETRANSLATE(B8560,""en"",""hy"")"),"Angel Falls")</f>
        <v>Angel Falls</v>
      </c>
    </row>
    <row r="8561">
      <c r="A8561" s="5" t="s">
        <v>7858</v>
      </c>
      <c r="B8561" s="5" t="s">
        <v>7448</v>
      </c>
      <c r="C8561" s="5" t="str">
        <f>IFERROR(__xludf.DUMMYFUNCTION("GOOGLETRANSLATE(A8561,""en"",""hy"")"),"Ո՞վ է նկարել «Մոնա Լիզան»:")</f>
        <v>Ո՞վ է նկարել «Մոնա Լիզան»:</v>
      </c>
      <c r="D8561" s="6" t="str">
        <f>IFERROR(__xludf.DUMMYFUNCTION("GOOGLETRANSLATE(B8561,""en"",""hy"")"),"Լեոնարդո դա Վինչի.")</f>
        <v>Լեոնարդո դա Վինչի.</v>
      </c>
    </row>
    <row r="8562">
      <c r="A8562" s="5" t="s">
        <v>9128</v>
      </c>
      <c r="B8562" s="5" t="s">
        <v>9129</v>
      </c>
      <c r="C8562" s="5" t="str">
        <f>IFERROR(__xludf.DUMMYFUNCTION("GOOGLETRANSLATE(A8562,""en"",""hy"")"),"Ո՞ր երկիրն է հայտնի Ազատության արձանով:")</f>
        <v>Ո՞ր երկիրն է հայտնի Ազատության արձանով:</v>
      </c>
      <c r="D8562" s="6" t="str">
        <f>IFERROR(__xludf.DUMMYFUNCTION("GOOGLETRANSLATE(B8562,""en"",""hy"")"),"Միացյալ Նահանգները.")</f>
        <v>Միացյալ Նահանգները.</v>
      </c>
    </row>
    <row r="8563">
      <c r="A8563" s="5" t="s">
        <v>9859</v>
      </c>
      <c r="B8563" s="5" t="s">
        <v>9860</v>
      </c>
      <c r="C8563" s="5" t="str">
        <f>IFERROR(__xludf.DUMMYFUNCTION("GOOGLETRANSLATE(A8563,""en"",""hy"")"),"Ո՞րն է Ավստրալիայի պաշտոնական լեզուն:")</f>
        <v>Ո՞րն է Ավստրալիայի պաշտոնական լեզուն:</v>
      </c>
      <c r="D8563" s="6" t="str">
        <f>IFERROR(__xludf.DUMMYFUNCTION("GOOGLETRANSLATE(B8563,""en"",""hy"")"),"Ավստրալիայի պաշտոնական լեզուն անգլերենն է։")</f>
        <v>Ավստրալիայի պաշտոնական լեզուն անգլերենն է։</v>
      </c>
    </row>
    <row r="8564">
      <c r="A8564" s="5" t="s">
        <v>9861</v>
      </c>
      <c r="B8564" s="5" t="s">
        <v>9862</v>
      </c>
      <c r="C8564" s="5" t="str">
        <f>IFERROR(__xludf.DUMMYFUNCTION("GOOGLETRANSLATE(A8564,""en"",""hy"")"),"Ո՞ր թվականին է սկսվել Ամերիկյան քաղաքացիական իրավունքների շարժումը:")</f>
        <v>Ո՞ր թվականին է սկսվել Ամերիկյան քաղաքացիական իրավունքների շարժումը:</v>
      </c>
      <c r="D8564" s="6" t="str">
        <f>IFERROR(__xludf.DUMMYFUNCTION("GOOGLETRANSLATE(B8564,""en"",""hy"")"),"Ամերիկյան քաղաքացիական իրավունքների շարժումը սկսվել է 1955 թ.")</f>
        <v>Ամերիկյան քաղաքացիական իրավունքների շարժումը սկսվել է 1955 թ.</v>
      </c>
    </row>
    <row r="8565">
      <c r="A8565" s="5" t="s">
        <v>8325</v>
      </c>
      <c r="B8565" s="5" t="s">
        <v>8326</v>
      </c>
      <c r="C8565" s="5" t="str">
        <f>IFERROR(__xludf.DUMMYFUNCTION("GOOGLETRANSLATE(A8565,""en"",""hy"")"),"Ո՞վ է հունական սիրո և գեղեցկության աստվածուհին:")</f>
        <v>Ո՞վ է հունական սիրո և գեղեցկության աստվածուհին:</v>
      </c>
      <c r="D8565" s="6" t="str">
        <f>IFERROR(__xludf.DUMMYFUNCTION("GOOGLETRANSLATE(B8565,""en"",""hy"")"),"Աֆրոդիտե.")</f>
        <v>Աֆրոդիտե.</v>
      </c>
    </row>
    <row r="8566">
      <c r="A8566" s="5" t="s">
        <v>7706</v>
      </c>
      <c r="B8566" s="5" t="s">
        <v>7707</v>
      </c>
      <c r="C8566" s="5" t="str">
        <f>IFERROR(__xludf.DUMMYFUNCTION("GOOGLETRANSLATE(A8566,""en"",""hy"")"),"Ո՞րն է Միացյալ Թագավորության արժույթը:")</f>
        <v>Ո՞րն է Միացյալ Թագավորության արժույթը:</v>
      </c>
      <c r="D8566" s="6" t="str">
        <f>IFERROR(__xludf.DUMMYFUNCTION("GOOGLETRANSLATE(B8566,""en"",""hy"")"),"Միացյալ Թագավորության արժույթը բրիտանական ֆունտն է։")</f>
        <v>Միացյալ Թագավորության արժույթը բրիտանական ֆունտն է։</v>
      </c>
    </row>
    <row r="8567">
      <c r="A8567" s="5" t="s">
        <v>9863</v>
      </c>
      <c r="B8567" s="5" t="s">
        <v>7896</v>
      </c>
      <c r="C8567" s="5" t="str">
        <f>IFERROR(__xludf.DUMMYFUNCTION("GOOGLETRANSLATE(A8567,""en"",""hy"")"),"Ո՞վ է գրել «Քաջ նոր աշխարհ» վեպը:")</f>
        <v>Ո՞վ է գրել «Քաջ նոր աշխարհ» վեպը:</v>
      </c>
      <c r="D8567" s="6" t="str">
        <f>IFERROR(__xludf.DUMMYFUNCTION("GOOGLETRANSLATE(B8567,""en"",""hy"")"),"Օլդոս Հաքսլի.")</f>
        <v>Օլդոս Հաքսլի.</v>
      </c>
    </row>
    <row r="8568">
      <c r="A8568" s="5" t="s">
        <v>7875</v>
      </c>
      <c r="B8568" s="5" t="s">
        <v>7876</v>
      </c>
      <c r="C8568" s="5" t="str">
        <f>IFERROR(__xludf.DUMMYFUNCTION("GOOGLETRANSLATE(A8568,""en"",""hy"")"),"Ո՞րն է ազոտի քիմիական նշանը:")</f>
        <v>Ո՞րն է ազոտի քիմիական նշանը:</v>
      </c>
      <c r="D8568" s="6" t="str">
        <f>IFERROR(__xludf.DUMMYFUNCTION("GOOGLETRANSLATE(B8568,""en"",""hy"")"),"Ազոտի քիմիական նշանն է N.")</f>
        <v>Ազոտի քիմիական նշանն է N.</v>
      </c>
    </row>
    <row r="8569">
      <c r="A8569" s="5" t="s">
        <v>9249</v>
      </c>
      <c r="B8569" s="5" t="s">
        <v>7912</v>
      </c>
      <c r="C8569" s="5" t="str">
        <f>IFERROR(__xludf.DUMMYFUNCTION("GOOGLETRANSLATE(A8569,""en"",""hy"")"),"Ո՞ր մոլորակն է հայտնի որպես «Արեգակնային համակարգի հսկա»:")</f>
        <v>Ո՞ր մոլորակն է հայտնի որպես «Արեգակնային համակարգի հսկա»:</v>
      </c>
      <c r="D8569" s="6" t="str">
        <f>IFERROR(__xludf.DUMMYFUNCTION("GOOGLETRANSLATE(B8569,""en"",""hy"")"),"Յուպիտեր")</f>
        <v>Յուպիտեր</v>
      </c>
    </row>
    <row r="8570">
      <c r="A8570" s="5" t="s">
        <v>9864</v>
      </c>
      <c r="B8570" s="5" t="s">
        <v>9865</v>
      </c>
      <c r="C8570" s="5" t="str">
        <f>IFERROR(__xludf.DUMMYFUNCTION("GOOGLETRANSLATE(A8570,""en"",""hy"")"),"Ո՞վ է նկարել «Գիշերային պահակը»:")</f>
        <v>Ո՞վ է նկարել «Գիշերային պահակը»:</v>
      </c>
      <c r="D8570" s="6" t="str">
        <f>IFERROR(__xludf.DUMMYFUNCTION("GOOGLETRANSLATE(B8570,""en"",""hy"")"),"Ռեմբրանդտ վան Ռայն.")</f>
        <v>Ռեմբրանդտ վան Ռայն.</v>
      </c>
    </row>
    <row r="8571">
      <c r="A8571" s="5" t="s">
        <v>7672</v>
      </c>
      <c r="B8571" s="5" t="s">
        <v>7673</v>
      </c>
      <c r="C8571" s="5" t="str">
        <f>IFERROR(__xludf.DUMMYFUNCTION("GOOGLETRANSLATE(A8571,""en"",""hy"")"),"Ո՞րն է Հարավային Ամերիկայի ամենամեծ երկիրը:")</f>
        <v>Ո՞րն է Հարավային Ամերիկայի ամենամեծ երկիրը:</v>
      </c>
      <c r="D8571" s="6" t="str">
        <f>IFERROR(__xludf.DUMMYFUNCTION("GOOGLETRANSLATE(B8571,""en"",""hy"")"),"Բրազիլիա.")</f>
        <v>Բրազիլիա.</v>
      </c>
    </row>
    <row r="8572">
      <c r="A8572" s="5" t="s">
        <v>9866</v>
      </c>
      <c r="B8572" s="5" t="s">
        <v>9867</v>
      </c>
      <c r="C8572" s="5" t="str">
        <f>IFERROR(__xludf.DUMMYFUNCTION("GOOGLETRANSLATE(A8572,""en"",""hy"")"),"Ո՞վ է «Քենթերբերիի հեքիաթների» հեղինակը:")</f>
        <v>Ո՞վ է «Քենթերբերիի հեքիաթների» հեղինակը:</v>
      </c>
      <c r="D8572" s="6" t="str">
        <f>IFERROR(__xludf.DUMMYFUNCTION("GOOGLETRANSLATE(B8572,""en"",""hy"")"),"Ջեֆրի Չոսեր.")</f>
        <v>Ջեֆրի Չոսեր.</v>
      </c>
    </row>
    <row r="8573">
      <c r="A8573" s="5" t="s">
        <v>8144</v>
      </c>
      <c r="B8573" s="5" t="s">
        <v>8145</v>
      </c>
      <c r="C8573" s="5" t="str">
        <f>IFERROR(__xludf.DUMMYFUNCTION("GOOGLETRANSLATE(A8573,""en"",""hy"")"),"Ո՞րն է Իսպանիայի պաշտոնական լեզուն:")</f>
        <v>Ո՞րն է Իսպանիայի պաշտոնական լեզուն:</v>
      </c>
      <c r="D8573" s="6" t="str">
        <f>IFERROR(__xludf.DUMMYFUNCTION("GOOGLETRANSLATE(B8573,""en"",""hy"")"),"Իսպանիայի պաշտոնական լեզուն իսպաներենն է։")</f>
        <v>Իսպանիայի պաշտոնական լեզուն իսպաներենն է։</v>
      </c>
    </row>
    <row r="8574">
      <c r="A8574" s="5" t="s">
        <v>8508</v>
      </c>
      <c r="B8574" s="7">
        <v>1789.0</v>
      </c>
      <c r="C8574" s="5" t="str">
        <f>IFERROR(__xludf.DUMMYFUNCTION("GOOGLETRANSLATE(A8574,""en"",""hy"")"),"Ո՞ր թվականին սկսվեց Ֆրանսիական հեղափոխությունը:")</f>
        <v>Ո՞ր թվականին սկսվեց Ֆրանսիական հեղափոխությունը:</v>
      </c>
      <c r="D8574" s="6" t="str">
        <f>IFERROR(__xludf.DUMMYFUNCTION("GOOGLETRANSLATE(B8574,""en"",""hy"")"),"1789 թ")</f>
        <v>1789 թ</v>
      </c>
    </row>
    <row r="8575">
      <c r="A8575" s="5" t="s">
        <v>9868</v>
      </c>
      <c r="B8575" s="5" t="s">
        <v>9869</v>
      </c>
      <c r="C8575" s="5" t="str">
        <f>IFERROR(__xludf.DUMMYFUNCTION("GOOGLETRANSLATE(A8575,""en"",""hy"")"),"Ո՞վ է հունական աստվածուհի Աֆրոդիտեի հռոմեական համարժեքը:")</f>
        <v>Ո՞վ է հունական աստվածուհի Աֆրոդիտեի հռոմեական համարժեքը:</v>
      </c>
      <c r="D8575" s="6" t="str">
        <f>IFERROR(__xludf.DUMMYFUNCTION("GOOGLETRANSLATE(B8575,""en"",""hy"")"),"Հունական Աֆրոդիտե աստվածուհու հռոմեական համարժեքը Վեներան է:")</f>
        <v>Հունական Աֆրոդիտե աստվածուհու հռոմեական համարժեքը Վեներան է:</v>
      </c>
    </row>
    <row r="8576">
      <c r="A8576" s="5" t="s">
        <v>7561</v>
      </c>
      <c r="B8576" s="5" t="s">
        <v>7669</v>
      </c>
      <c r="C8576" s="5" t="str">
        <f>IFERROR(__xludf.DUMMYFUNCTION("GOOGLETRANSLATE(A8576,""en"",""hy"")"),"Ո՞րն է Մեքսիկայի արժույթը:")</f>
        <v>Ո՞րն է Մեքսիկայի արժույթը:</v>
      </c>
      <c r="D8576" s="6" t="str">
        <f>IFERROR(__xludf.DUMMYFUNCTION("GOOGLETRANSLATE(B8576,""en"",""hy"")"),"Մեքսիկայի արժույթը մեքսիկական պեսոն է։")</f>
        <v>Մեքսիկայի արժույթը մեքսիկական պեսոն է։</v>
      </c>
    </row>
    <row r="8577">
      <c r="A8577" s="5" t="s">
        <v>7726</v>
      </c>
      <c r="B8577" s="5" t="s">
        <v>1016</v>
      </c>
      <c r="C8577" s="5" t="str">
        <f>IFERROR(__xludf.DUMMYFUNCTION("GOOGLETRANSLATE(A8577,""en"",""hy"")"),"Ո՞վ է գրել «Մակբեթ» պիեսը։")</f>
        <v>Ո՞վ է գրել «Մակբեթ» պիեսը։</v>
      </c>
      <c r="D8577" s="6" t="str">
        <f>IFERROR(__xludf.DUMMYFUNCTION("GOOGLETRANSLATE(B8577,""en"",""hy"")"),"Ուիլյամ Շեքսպիր.")</f>
        <v>Ուիլյամ Շեքսպիր.</v>
      </c>
    </row>
    <row r="8578">
      <c r="A8578" s="5" t="s">
        <v>9870</v>
      </c>
      <c r="B8578" s="5" t="s">
        <v>9871</v>
      </c>
      <c r="C8578" s="5" t="str">
        <f>IFERROR(__xludf.DUMMYFUNCTION("GOOGLETRANSLATE(A8578,""en"",""hy"")"),"Ո՞րն է Pb նշանով քիմիական տարրը:")</f>
        <v>Ո՞րն է Pb նշանով քիմիական տարրը:</v>
      </c>
      <c r="D8578" s="6" t="str">
        <f>IFERROR(__xludf.DUMMYFUNCTION("GOOGLETRANSLATE(B8578,""en"",""hy"")"),"Pb նշանով քիմիական տարրը կապարն է։")</f>
        <v>Pb նշանով քիմիական տարրը կապարն է։</v>
      </c>
    </row>
    <row r="8579">
      <c r="A8579" s="5" t="s">
        <v>9872</v>
      </c>
      <c r="B8579" s="5" t="s">
        <v>8201</v>
      </c>
      <c r="C8579" s="5" t="str">
        <f>IFERROR(__xludf.DUMMYFUNCTION("GOOGLETRANSLATE(A8579,""en"",""hy"")"),"Ո՞ր երկիրն է հայտնի Պարթենոնով:")</f>
        <v>Ո՞ր երկիրն է հայտնի Պարթենոնով:</v>
      </c>
      <c r="D8579" s="6" t="str">
        <f>IFERROR(__xludf.DUMMYFUNCTION("GOOGLETRANSLATE(B8579,""en"",""hy"")"),"Հունաստան.")</f>
        <v>Հունաստան.</v>
      </c>
    </row>
    <row r="8580">
      <c r="A8580" s="5" t="s">
        <v>7589</v>
      </c>
      <c r="B8580" s="5" t="s">
        <v>7545</v>
      </c>
      <c r="C8580" s="5" t="str">
        <f>IFERROR(__xludf.DUMMYFUNCTION("GOOGLETRANSLATE(A8580,""en"",""hy"")"),"Ո՞րն է Իտալիայի մայրաքաղաքը:")</f>
        <v>Ո՞րն է Իտալիայի մայրաքաղաքը:</v>
      </c>
      <c r="D8580" s="6" t="str">
        <f>IFERROR(__xludf.DUMMYFUNCTION("GOOGLETRANSLATE(B8580,""en"",""hy"")"),"Հռոմ.")</f>
        <v>Հռոմ.</v>
      </c>
    </row>
    <row r="8581">
      <c r="A8581" s="5" t="s">
        <v>7678</v>
      </c>
      <c r="B8581" s="5" t="s">
        <v>7451</v>
      </c>
      <c r="C8581" s="5" t="str">
        <f>IFERROR(__xludf.DUMMYFUNCTION("GOOGLETRANSLATE(A8581,""en"",""hy"")"),"Ո՞րն է Ավստրալիայի մայրաքաղաքը:")</f>
        <v>Ո՞րն է Ավստրալիայի մայրաքաղաքը:</v>
      </c>
      <c r="D8581" s="6" t="str">
        <f>IFERROR(__xludf.DUMMYFUNCTION("GOOGLETRANSLATE(B8581,""en"",""hy"")"),"Կանբերա.")</f>
        <v>Կանբերա.</v>
      </c>
    </row>
    <row r="8582">
      <c r="A8582" s="5" t="s">
        <v>7447</v>
      </c>
      <c r="B8582" s="5" t="s">
        <v>7448</v>
      </c>
      <c r="C8582" s="5" t="str">
        <f>IFERROR(__xludf.DUMMYFUNCTION("GOOGLETRANSLATE(A8582,""en"",""hy"")"),"Ո՞վ է նկարել Մոնա Լիզան:")</f>
        <v>Ո՞վ է նկարել Մոնա Լիզան:</v>
      </c>
      <c r="D8582" s="6" t="str">
        <f>IFERROR(__xludf.DUMMYFUNCTION("GOOGLETRANSLATE(B8582,""en"",""hy"")"),"Լեոնարդո դա Վինչի.")</f>
        <v>Լեոնարդո դա Վինչի.</v>
      </c>
    </row>
    <row r="8583">
      <c r="A8583" s="5" t="s">
        <v>7632</v>
      </c>
      <c r="B8583" s="5" t="s">
        <v>7633</v>
      </c>
      <c r="C8583" s="5" t="str">
        <f>IFERROR(__xludf.DUMMYFUNCTION("GOOGLETRANSLATE(A8583,""en"",""hy"")"),"Ո՞րն է մեր արեգակնային համակարգի ամենամեծ մոլորակը:")</f>
        <v>Ո՞րն է մեր արեգակնային համակարգի ամենամեծ մոլորակը:</v>
      </c>
      <c r="D8583" s="6" t="str">
        <f>IFERROR(__xludf.DUMMYFUNCTION("GOOGLETRANSLATE(B8583,""en"",""hy"")"),"Յուպիտեր.")</f>
        <v>Յուպիտեր.</v>
      </c>
    </row>
    <row r="8584">
      <c r="A8584" s="5" t="s">
        <v>7939</v>
      </c>
      <c r="B8584" s="5" t="s">
        <v>7940</v>
      </c>
      <c r="C8584" s="5" t="str">
        <f>IFERROR(__xludf.DUMMYFUNCTION("GOOGLETRANSLATE(A8584,""en"",""hy"")"),"Քանի՞ մայրցամաք կա աշխարհում:")</f>
        <v>Քանի՞ մայրցամաք կա աշխարհում:</v>
      </c>
      <c r="D8584" s="6" t="str">
        <f>IFERROR(__xludf.DUMMYFUNCTION("GOOGLETRANSLATE(B8584,""en"",""hy"")"),"Աշխարհում կան յոթ մայրցամաքներ։")</f>
        <v>Աշխարհում կան յոթ մայրցամաքներ։</v>
      </c>
    </row>
    <row r="8585">
      <c r="A8585" s="5" t="s">
        <v>7645</v>
      </c>
      <c r="B8585" s="5" t="s">
        <v>8336</v>
      </c>
      <c r="C8585" s="5" t="str">
        <f>IFERROR(__xludf.DUMMYFUNCTION("GOOGLETRANSLATE(A8585,""en"",""hy"")"),"Ո՞րն է Երկրի ամենամեծ օվկիանոսը:")</f>
        <v>Ո՞րն է Երկրի ամենամեծ օվկիանոսը:</v>
      </c>
      <c r="D8585" s="6" t="str">
        <f>IFERROR(__xludf.DUMMYFUNCTION("GOOGLETRANSLATE(B8585,""en"",""hy"")"),"Երկրի ամենամեծ օվկիանոսը Խաղաղ օվկիանոսն է։")</f>
        <v>Երկրի ամենամեծ օվկիանոսը Խաղաղ օվկիանոսն է։</v>
      </c>
    </row>
    <row r="8586">
      <c r="A8586" s="5" t="s">
        <v>7698</v>
      </c>
      <c r="B8586" s="5" t="s">
        <v>7466</v>
      </c>
      <c r="C8586" s="5" t="str">
        <f>IFERROR(__xludf.DUMMYFUNCTION("GOOGLETRANSLATE(A8586,""en"",""hy"")"),"Ո՞վ է գրել «Հպարտություն և նախապաշարմունք» վեպը:")</f>
        <v>Ո՞վ է գրել «Հպարտություն և նախապաշարմունք» վեպը:</v>
      </c>
      <c r="D8586" s="6" t="str">
        <f>IFERROR(__xludf.DUMMYFUNCTION("GOOGLETRANSLATE(B8586,""en"",""hy"")"),"Ջեյն Օսթին")</f>
        <v>Ջեյն Օսթին</v>
      </c>
    </row>
    <row r="8587">
      <c r="A8587" s="5" t="s">
        <v>7467</v>
      </c>
      <c r="B8587" s="5" t="s">
        <v>9873</v>
      </c>
      <c r="C8587" s="5" t="str">
        <f>IFERROR(__xludf.DUMMYFUNCTION("GOOGLETRANSLATE(A8587,""en"",""hy"")"),"Ո՞րն է Ճապոնիայի արժույթը:")</f>
        <v>Ո՞րն է Ճապոնիայի արժույթը:</v>
      </c>
      <c r="D8587" s="6" t="str">
        <f>IFERROR(__xludf.DUMMYFUNCTION("GOOGLETRANSLATE(B8587,""en"",""hy"")"),"Ճապոնիայի արժույթը ճապոնական իենն է (JPY):")</f>
        <v>Ճապոնիայի արժույթը ճապոնական իենն է (JPY):</v>
      </c>
    </row>
    <row r="8588">
      <c r="A8588" s="5" t="s">
        <v>7477</v>
      </c>
      <c r="B8588" s="5" t="s">
        <v>7478</v>
      </c>
      <c r="C8588" s="5" t="str">
        <f>IFERROR(__xludf.DUMMYFUNCTION("GOOGLETRANSLATE(A8588,""en"",""hy"")"),"Ո՞ր երկիրն է հայտնի որպես «Ծագող արևի երկիր»:")</f>
        <v>Ո՞ր երկիրն է հայտնի որպես «Ծագող արևի երկիր»:</v>
      </c>
      <c r="D8588" s="6" t="str">
        <f>IFERROR(__xludf.DUMMYFUNCTION("GOOGLETRANSLATE(B8588,""en"",""hy"")"),"Ճապոնիա.")</f>
        <v>Ճապոնիա.</v>
      </c>
    </row>
    <row r="8589">
      <c r="A8589" s="5" t="s">
        <v>7534</v>
      </c>
      <c r="B8589" s="5" t="s">
        <v>7535</v>
      </c>
      <c r="C8589" s="5" t="str">
        <f>IFERROR(__xludf.DUMMYFUNCTION("GOOGLETRANSLATE(A8589,""en"",""hy"")"),"Ո՞վ է հորինել հեռախոսը:")</f>
        <v>Ո՞վ է հորինել հեռախոսը:</v>
      </c>
      <c r="D8589" s="6" t="str">
        <f>IFERROR(__xludf.DUMMYFUNCTION("GOOGLETRANSLATE(B8589,""en"",""hy"")"),"Ալեքսանդր Գրեհեմ Բել.")</f>
        <v>Ալեքսանդր Գրեհեմ Բել.</v>
      </c>
    </row>
    <row r="8590">
      <c r="A8590" s="5" t="s">
        <v>7452</v>
      </c>
      <c r="B8590" s="5" t="s">
        <v>7453</v>
      </c>
      <c r="C8590" s="5" t="str">
        <f>IFERROR(__xludf.DUMMYFUNCTION("GOOGLETRANSLATE(A8590,""en"",""hy"")"),"Ո՞րն է ոսկու քիմիական նշանը:")</f>
        <v>Ո՞րն է ոսկու քիմիական նշանը:</v>
      </c>
      <c r="D8590" s="6" t="str">
        <f>IFERROR(__xludf.DUMMYFUNCTION("GOOGLETRANSLATE(B8590,""en"",""hy"")"),"Ոսկու քիմիական նշանը Au-ն է:")</f>
        <v>Ոսկու քիմիական նշանը Au-ն է:</v>
      </c>
    </row>
    <row r="8591">
      <c r="A8591" s="5" t="s">
        <v>8245</v>
      </c>
      <c r="B8591" s="5" t="s">
        <v>9874</v>
      </c>
      <c r="C8591" s="5" t="str">
        <f>IFERROR(__xludf.DUMMYFUNCTION("GOOGLETRANSLATE(A8591,""en"",""hy"")"),"Ո՞ր քաղաքում է գտնվում Էյֆելյան աշտարակը:")</f>
        <v>Ո՞ր քաղաքում է գտնվում Էյֆելյան աշտարակը:</v>
      </c>
      <c r="D8591" s="6" t="str">
        <f>IFERROR(__xludf.DUMMYFUNCTION("GOOGLETRANSLATE(B8591,""en"",""hy"")"),"Էյֆելյան աշտարակը գտնվում է Փարիզում։")</f>
        <v>Էյֆելյան աշտարակը գտնվում է Փարիզում։</v>
      </c>
    </row>
    <row r="8592">
      <c r="A8592" s="5" t="s">
        <v>7480</v>
      </c>
      <c r="B8592" s="5" t="s">
        <v>7481</v>
      </c>
      <c r="C8592" s="5" t="str">
        <f>IFERROR(__xludf.DUMMYFUNCTION("GOOGLETRANSLATE(A8592,""en"",""hy"")"),"Ո՞րն է Միացյալ Նահանգների ազգային թռչունը:")</f>
        <v>Ո՞րն է Միացյալ Նահանգների ազգային թռչունը:</v>
      </c>
      <c r="D8592" s="6" t="str">
        <f>IFERROR(__xludf.DUMMYFUNCTION("GOOGLETRANSLATE(B8592,""en"",""hy"")"),"Միացյալ Նահանգների ազգային թռչունը ճաղատ արծիվն է։")</f>
        <v>Միացյալ Նահանգների ազգային թռչունը ճաղատ արծիվն է։</v>
      </c>
    </row>
    <row r="8593">
      <c r="A8593" s="5" t="s">
        <v>8583</v>
      </c>
      <c r="B8593" s="5" t="s">
        <v>3535</v>
      </c>
      <c r="C8593" s="5" t="str">
        <f>IFERROR(__xludf.DUMMYFUNCTION("GOOGLETRANSLATE(A8593,""en"",""hy"")"),"Ո՞ր երկրում է գտնվում Մեծ արգելախութը:")</f>
        <v>Ո՞ր երկրում է գտնվում Մեծ արգելախութը:</v>
      </c>
      <c r="D8593" s="6" t="str">
        <f>IFERROR(__xludf.DUMMYFUNCTION("GOOGLETRANSLATE(B8593,""en"",""hy"")"),"Ավստրալիա.")</f>
        <v>Ավստրալիա.</v>
      </c>
    </row>
    <row r="8594">
      <c r="A8594" s="5" t="s">
        <v>8105</v>
      </c>
      <c r="B8594" s="5" t="s">
        <v>7635</v>
      </c>
      <c r="C8594" s="5" t="str">
        <f>IFERROR(__xludf.DUMMYFUNCTION("GOOGLETRANSLATE(A8594,""en"",""hy"")"),"Ո՞վ էր առաջին մարդը, ով քայլեց լուսնի վրա:")</f>
        <v>Ո՞վ էր առաջին մարդը, ով քայլեց լուսնի վրա:</v>
      </c>
      <c r="D8594" s="6" t="str">
        <f>IFERROR(__xludf.DUMMYFUNCTION("GOOGLETRANSLATE(B8594,""en"",""hy"")"),"Նիլ Արմսթրոնգ.")</f>
        <v>Նիլ Արմսթրոնգ.</v>
      </c>
    </row>
    <row r="8595">
      <c r="A8595" s="5" t="s">
        <v>7722</v>
      </c>
      <c r="B8595" s="5" t="s">
        <v>7723</v>
      </c>
      <c r="C8595" s="5" t="str">
        <f>IFERROR(__xludf.DUMMYFUNCTION("GOOGLETRANSLATE(A8595,""en"",""hy"")"),"Ո՞րն է Աֆրիկայի ամենաբարձր լեռը:")</f>
        <v>Ո՞րն է Աֆրիկայի ամենաբարձր լեռը:</v>
      </c>
      <c r="D8595" s="6" t="str">
        <f>IFERROR(__xludf.DUMMYFUNCTION("GOOGLETRANSLATE(B8595,""en"",""hy"")"),"Կիլիմանջարո լեռ.")</f>
        <v>Կիլիմանջարո լեռ.</v>
      </c>
    </row>
    <row r="8596">
      <c r="A8596" s="5" t="s">
        <v>8246</v>
      </c>
      <c r="B8596" s="5" t="s">
        <v>7648</v>
      </c>
      <c r="C8596" s="5" t="str">
        <f>IFERROR(__xludf.DUMMYFUNCTION("GOOGLETRANSLATE(A8596,""en"",""hy"")"),"Ո՞վ է նկարել հայտնի «Աստղային գիշերը» արվեստի գործը:")</f>
        <v>Ո՞վ է նկարել հայտնի «Աստղային գիշերը» արվեստի գործը:</v>
      </c>
      <c r="D8596" s="6" t="str">
        <f>IFERROR(__xludf.DUMMYFUNCTION("GOOGLETRANSLATE(B8596,""en"",""hy"")"),"Վինսենթ վան Գոգ.")</f>
        <v>Վինսենթ վան Գոգ.</v>
      </c>
    </row>
    <row r="8597">
      <c r="A8597" s="5" t="s">
        <v>7845</v>
      </c>
      <c r="B8597" s="5" t="s">
        <v>3533</v>
      </c>
      <c r="C8597" s="5" t="str">
        <f>IFERROR(__xludf.DUMMYFUNCTION("GOOGLETRANSLATE(A8597,""en"",""hy"")"),"Ո՞րն է Բրազիլիայի պաշտոնական լեզուն:")</f>
        <v>Ո՞րն է Բրազիլիայի պաշտոնական լեզուն:</v>
      </c>
      <c r="D8597" s="6" t="str">
        <f>IFERROR(__xludf.DUMMYFUNCTION("GOOGLETRANSLATE(B8597,""en"",""hy"")"),"Բրազիլիայի պաշտոնական լեզուն պորտուգալերենն է։")</f>
        <v>Բրազիլիայի պաշտոնական լեզուն պորտուգալերենն է։</v>
      </c>
    </row>
    <row r="8598">
      <c r="A8598" s="5" t="s">
        <v>7469</v>
      </c>
      <c r="B8598" s="5" t="s">
        <v>7470</v>
      </c>
      <c r="C8598" s="5" t="str">
        <f>IFERROR(__xludf.DUMMYFUNCTION("GOOGLETRANSLATE(A8598,""en"",""hy"")"),"Ո՞ր տարում ավարտվեց Երկրորդ համաշխարհային պատերազմը:")</f>
        <v>Ո՞ր տարում ավարտվեց Երկրորդ համաշխարհային պատերազմը:</v>
      </c>
      <c r="D8598" s="6" t="str">
        <f>IFERROR(__xludf.DUMMYFUNCTION("GOOGLETRANSLATE(B8598,""en"",""hy"")"),"Երկրորդ համաշխարհային պատերազմն ավարտվեց 1945 թվականին։")</f>
        <v>Երկրորդ համաշխարհային պատերազմն ավարտվեց 1945 թվականին։</v>
      </c>
    </row>
    <row r="8599">
      <c r="A8599" s="5" t="s">
        <v>7642</v>
      </c>
      <c r="B8599" s="5" t="s">
        <v>2951</v>
      </c>
      <c r="C8599" s="5" t="str">
        <f>IFERROR(__xludf.DUMMYFUNCTION("GOOGLETRANSLATE(A8599,""en"",""hy"")"),"Ո՞րն է Կանադայի մայրաքաղաքը:")</f>
        <v>Ո՞րն է Կանադայի մայրաքաղաքը:</v>
      </c>
      <c r="D8599" s="6" t="str">
        <f>IFERROR(__xludf.DUMMYFUNCTION("GOOGLETRANSLATE(B8599,""en"",""hy"")"),"Օտտավա.")</f>
        <v>Օտտավա.</v>
      </c>
    </row>
    <row r="8600">
      <c r="A8600" s="5" t="s">
        <v>8623</v>
      </c>
      <c r="B8600" s="5" t="s">
        <v>1016</v>
      </c>
      <c r="C8600" s="5" t="str">
        <f>IFERROR(__xludf.DUMMYFUNCTION("GOOGLETRANSLATE(A8600,""en"",""hy"")"),"Ո՞վ է գրել «Ռոմեո և Ջուլիետ» և «Համլետ» պիեսները։")</f>
        <v>Ո՞վ է գրել «Ռոմեո և Ջուլիետ» և «Համլետ» պիեսները։</v>
      </c>
      <c r="D8600" s="6" t="str">
        <f>IFERROR(__xludf.DUMMYFUNCTION("GOOGLETRANSLATE(B8600,""en"",""hy"")"),"Ուիլյամ Շեքսպիր.")</f>
        <v>Ուիլյամ Շեքսպիր.</v>
      </c>
    </row>
    <row r="8601">
      <c r="A8601" s="5" t="s">
        <v>8789</v>
      </c>
      <c r="B8601" s="5" t="s">
        <v>9635</v>
      </c>
      <c r="C8601" s="5" t="str">
        <f>IFERROR(__xludf.DUMMYFUNCTION("GOOGLETRANSLATE(A8601,""en"",""hy"")"),"Ո՞ր երկիրն է աշխարհում սուրճի ամենամեծ արտադրողը:")</f>
        <v>Ո՞ր երկիրն է աշխարհում սուրճի ամենամեծ արտադրողը:</v>
      </c>
      <c r="D8601" s="6" t="str">
        <f>IFERROR(__xludf.DUMMYFUNCTION("GOOGLETRANSLATE(B8601,""en"",""hy"")"),"Բրազիլիա")</f>
        <v>Բրազիլիա</v>
      </c>
    </row>
    <row r="8602">
      <c r="A8602" s="5" t="s">
        <v>7557</v>
      </c>
      <c r="B8602" s="5" t="s">
        <v>7857</v>
      </c>
      <c r="C8602" s="5" t="str">
        <f>IFERROR(__xludf.DUMMYFUNCTION("GOOGLETRANSLATE(A8602,""en"",""hy"")"),"Ո՞րն է երկաթի քիմիական նշանը:")</f>
        <v>Ո՞րն է երկաթի քիմիական նշանը:</v>
      </c>
      <c r="D8602" s="6" t="str">
        <f>IFERROR(__xludf.DUMMYFUNCTION("GOOGLETRANSLATE(B8602,""en"",""hy"")"),"Երկաթի քիմիական նշանը Fe է:")</f>
        <v>Երկաթի քիմիական նշանը Fe է:</v>
      </c>
    </row>
    <row r="8603">
      <c r="A8603" s="5" t="s">
        <v>7479</v>
      </c>
      <c r="B8603" s="5" t="s">
        <v>9164</v>
      </c>
      <c r="C8603" s="5" t="str">
        <f>IFERROR(__xludf.DUMMYFUNCTION("GOOGLETRANSLATE(A8603,""en"",""hy"")"),"Ո՞վ է Միացյալ Թագավորության ներկայիս վարչապետը:")</f>
        <v>Ո՞վ է Միացյալ Թագավորության ներկայիս վարչապետը:</v>
      </c>
      <c r="D8603" s="6" t="str">
        <f>IFERROR(__xludf.DUMMYFUNCTION("GOOGLETRANSLATE(B8603,""en"",""hy"")"),"Միացյալ Թագավորության ներկայիս վարչապետը Բորիս Ջոնսոնն է։")</f>
        <v>Միացյալ Թագավորության ներկայիս վարչապետը Բորիս Ջոնսոնն է։</v>
      </c>
    </row>
    <row r="8604">
      <c r="A8604" s="5" t="s">
        <v>7513</v>
      </c>
      <c r="B8604" s="5" t="s">
        <v>7783</v>
      </c>
      <c r="C8604" s="5" t="str">
        <f>IFERROR(__xludf.DUMMYFUNCTION("GOOGLETRANSLATE(A8604,""en"",""hy"")"),"Ո՞րն է աշխարհի ամենամեծ անապատը:")</f>
        <v>Ո՞րն է աշխարհի ամենամեծ անապատը:</v>
      </c>
      <c r="D8604" s="6" t="str">
        <f>IFERROR(__xludf.DUMMYFUNCTION("GOOGLETRANSLATE(B8604,""en"",""hy"")"),"Սահարա անապատ.")</f>
        <v>Սահարա անապատ.</v>
      </c>
    </row>
    <row r="8605">
      <c r="A8605" s="5" t="s">
        <v>7779</v>
      </c>
      <c r="B8605" s="5" t="s">
        <v>8590</v>
      </c>
      <c r="C8605" s="5" t="str">
        <f>IFERROR(__xludf.DUMMYFUNCTION("GOOGLETRANSLATE(A8605,""en"",""hy"")"),"Ո՞ր մոլորակն է հայտնի որպես «Կարմիր մոլորակ»:")</f>
        <v>Ո՞ր մոլորակն է հայտնի որպես «Կարմիր մոլորակ»:</v>
      </c>
      <c r="D8605" s="6" t="str">
        <f>IFERROR(__xludf.DUMMYFUNCTION("GOOGLETRANSLATE(B8605,""en"",""hy"")"),"Մարս")</f>
        <v>Մարս</v>
      </c>
    </row>
    <row r="8606">
      <c r="A8606" s="5" t="s">
        <v>7644</v>
      </c>
      <c r="B8606" s="5" t="s">
        <v>7541</v>
      </c>
      <c r="C8606" s="5" t="str">
        <f>IFERROR(__xludf.DUMMYFUNCTION("GOOGLETRANSLATE(A8606,""en"",""hy"")"),"Ո՞վ է «Սպանել ծաղրող թռչունին» գրքի հեղինակը.")</f>
        <v>Ո՞վ է «Սպանել ծաղրող թռչունին» գրքի հեղինակը.</v>
      </c>
      <c r="D8606" s="6" t="str">
        <f>IFERROR(__xludf.DUMMYFUNCTION("GOOGLETRANSLATE(B8606,""en"",""hy"")"),"Հարփեր Լի.")</f>
        <v>Հարփեր Լի.</v>
      </c>
    </row>
    <row r="8607">
      <c r="A8607" s="5" t="s">
        <v>7579</v>
      </c>
      <c r="B8607" s="5" t="s">
        <v>7580</v>
      </c>
      <c r="C8607" s="5" t="str">
        <f>IFERROR(__xludf.DUMMYFUNCTION("GOOGLETRANSLATE(A8607,""en"",""hy"")"),"Ո՞րն է Գերմանիայի արժույթը:")</f>
        <v>Ո՞րն է Գերմանիայի արժույթը:</v>
      </c>
      <c r="D8607" s="6" t="str">
        <f>IFERROR(__xludf.DUMMYFUNCTION("GOOGLETRANSLATE(B8607,""en"",""hy"")"),"Գերմանիայի արժույթը եվրոն է։")</f>
        <v>Գերմանիայի արժույթը եվրոն է։</v>
      </c>
    </row>
    <row r="8608">
      <c r="A8608" s="5" t="s">
        <v>7920</v>
      </c>
      <c r="B8608" s="5" t="s">
        <v>8040</v>
      </c>
      <c r="C8608" s="5" t="str">
        <f>IFERROR(__xludf.DUMMYFUNCTION("GOOGLETRANSLATE(A8608,""en"",""hy"")"),"Ո՞ր երկրում է գտնվում Թաջ Մահալը:")</f>
        <v>Ո՞ր երկրում է գտնվում Թաջ Մահալը:</v>
      </c>
      <c r="D8608" s="6" t="str">
        <f>IFERROR(__xludf.DUMMYFUNCTION("GOOGLETRANSLATE(B8608,""en"",""hy"")"),"Հնդկաստան")</f>
        <v>Հնդկաստան</v>
      </c>
    </row>
    <row r="8609">
      <c r="A8609" s="5" t="s">
        <v>7791</v>
      </c>
      <c r="B8609" s="5" t="s">
        <v>8128</v>
      </c>
      <c r="C8609" s="5" t="str">
        <f>IFERROR(__xludf.DUMMYFUNCTION("GOOGLETRANSLATE(A8609,""en"",""hy"")"),"Ո՞րն է Ավստրալիայի ազգային կենդանին:")</f>
        <v>Ո՞րն է Ավստրալիայի ազգային կենդանին:</v>
      </c>
      <c r="D8609" s="6" t="str">
        <f>IFERROR(__xludf.DUMMYFUNCTION("GOOGLETRANSLATE(B8609,""en"",""hy"")"),"Կենգուրու.")</f>
        <v>Կենգուրու.</v>
      </c>
    </row>
    <row r="8610">
      <c r="A8610" s="5" t="s">
        <v>8223</v>
      </c>
      <c r="B8610" s="5" t="s">
        <v>9214</v>
      </c>
      <c r="C8610" s="5" t="str">
        <f>IFERROR(__xludf.DUMMYFUNCTION("GOOGLETRANSLATE(A8610,""en"",""hy"")"),"Ո՞վ է հայտնաբերել էլեկտրաէներգիան:")</f>
        <v>Ո՞վ է հայտնաբերել էլեկտրաէներգիան:</v>
      </c>
      <c r="D8610" s="6" t="str">
        <f>IFERROR(__xludf.DUMMYFUNCTION("GOOGLETRANSLATE(B8610,""en"",""hy"")"),"Բենջամին Ֆրանկլին.")</f>
        <v>Բենջամին Ֆրանկլին.</v>
      </c>
    </row>
    <row r="8611">
      <c r="A8611" s="5" t="s">
        <v>7627</v>
      </c>
      <c r="B8611" s="5" t="s">
        <v>7501</v>
      </c>
      <c r="C8611" s="5" t="str">
        <f>IFERROR(__xludf.DUMMYFUNCTION("GOOGLETRANSLATE(A8611,""en"",""hy"")"),"Ո՞րն է Ֆրանսիայի մայրաքաղաքը:")</f>
        <v>Ո՞րն է Ֆրանսիայի մայրաքաղաքը:</v>
      </c>
      <c r="D8611" s="6" t="str">
        <f>IFERROR(__xludf.DUMMYFUNCTION("GOOGLETRANSLATE(B8611,""en"",""hy"")"),"Փարիզ.")</f>
        <v>Փարիզ.</v>
      </c>
    </row>
    <row r="8612">
      <c r="A8612" s="5" t="s">
        <v>7927</v>
      </c>
      <c r="B8612" s="5" t="s">
        <v>8302</v>
      </c>
      <c r="C8612" s="5" t="str">
        <f>IFERROR(__xludf.DUMMYFUNCTION("GOOGLETRANSLATE(A8612,""en"",""hy"")"),"Քանի՞ խաղացող կա բասկետբոլի թիմում:")</f>
        <v>Քանի՞ խաղացող կա բասկետբոլի թիմում:</v>
      </c>
      <c r="D8612" s="6" t="str">
        <f>IFERROR(__xludf.DUMMYFUNCTION("GOOGLETRANSLATE(B8612,""en"",""hy"")"),"Բասկետբոլի թիմում սովորաբար 5 խաղացող կա:")</f>
        <v>Բասկետբոլի թիմում սովորաբար 5 խաղացող կա:</v>
      </c>
    </row>
    <row r="8613">
      <c r="A8613" s="5" t="s">
        <v>7473</v>
      </c>
      <c r="B8613" s="5" t="s">
        <v>7474</v>
      </c>
      <c r="C8613" s="5" t="str">
        <f>IFERROR(__xludf.DUMMYFUNCTION("GOOGLETRANSLATE(A8613,""en"",""hy"")"),"Ո՞վ է նկարել Սիքստինյան կապելլայի առաստաղը:")</f>
        <v>Ո՞վ է նկարել Սիքստինյան կապելլայի առաստաղը:</v>
      </c>
      <c r="D8613" s="6" t="str">
        <f>IFERROR(__xludf.DUMMYFUNCTION("GOOGLETRANSLATE(B8613,""en"",""hy"")"),"Միքելանջելո.")</f>
        <v>Միքելանջելո.</v>
      </c>
    </row>
    <row r="8614">
      <c r="A8614" s="5" t="s">
        <v>7691</v>
      </c>
      <c r="B8614" s="5" t="s">
        <v>7692</v>
      </c>
      <c r="C8614" s="5" t="str">
        <f>IFERROR(__xludf.DUMMYFUNCTION("GOOGLETRANSLATE(A8614,""en"",""hy"")"),"Ո՞րն է Աֆրիկայի ամենամեծ լիճը:")</f>
        <v>Ո՞րն է Աֆրիկայի ամենամեծ լիճը:</v>
      </c>
      <c r="D8614" s="6" t="str">
        <f>IFERROR(__xludf.DUMMYFUNCTION("GOOGLETRANSLATE(B8614,""en"",""hy"")"),"Վիկտորիա լիճ.")</f>
        <v>Վիկտորիա լիճ.</v>
      </c>
    </row>
    <row r="8615">
      <c r="A8615" s="5" t="s">
        <v>7772</v>
      </c>
      <c r="B8615" s="5" t="s">
        <v>3535</v>
      </c>
      <c r="C8615" s="5" t="str">
        <f>IFERROR(__xludf.DUMMYFUNCTION("GOOGLETRANSLATE(A8615,""en"",""hy"")"),"Ո՞ր երկիրն է հայտնի որպես «Land Down Under»:")</f>
        <v>Ո՞ր երկիրն է հայտնի որպես «Land Down Under»:</v>
      </c>
      <c r="D8615" s="6" t="str">
        <f>IFERROR(__xludf.DUMMYFUNCTION("GOOGLETRANSLATE(B8615,""en"",""hy"")"),"Ավստրալիա.")</f>
        <v>Ավստրալիա.</v>
      </c>
    </row>
    <row r="8616">
      <c r="A8616" s="5" t="s">
        <v>7665</v>
      </c>
      <c r="B8616" s="5" t="s">
        <v>7781</v>
      </c>
      <c r="C8616" s="5" t="str">
        <f>IFERROR(__xludf.DUMMYFUNCTION("GOOGLETRANSLATE(A8616,""en"",""hy"")"),"Ո՞րն է նատրիումի քիմիական նշանը:")</f>
        <v>Ո՞րն է նատրիումի քիմիական նշանը:</v>
      </c>
      <c r="D8616" s="6" t="str">
        <f>IFERROR(__xludf.DUMMYFUNCTION("GOOGLETRANSLATE(B8616,""en"",""hy"")"),"Նատրիումի քիմիական նշանը Na է:")</f>
        <v>Նատրիումի քիմիական նշանը Na է:</v>
      </c>
    </row>
    <row r="8617">
      <c r="A8617" s="5" t="s">
        <v>7504</v>
      </c>
      <c r="B8617" s="5" t="s">
        <v>7505</v>
      </c>
      <c r="C8617" s="5" t="str">
        <f>IFERROR(__xludf.DUMMYFUNCTION("GOOGLETRANSLATE(A8617,""en"",""hy"")"),"Ո՞վ է Միացյալ Նահանգների ներկայիս նախագահը:")</f>
        <v>Ո՞վ է Միացյալ Նահանգների ներկայիս նախագահը:</v>
      </c>
      <c r="D8617" s="6" t="str">
        <f>IFERROR(__xludf.DUMMYFUNCTION("GOOGLETRANSLATE(B8617,""en"",""hy"")"),"Ջո Բայդեն.")</f>
        <v>Ջո Բայդեն.</v>
      </c>
    </row>
    <row r="8618">
      <c r="A8618" s="5" t="s">
        <v>8177</v>
      </c>
      <c r="B8618" s="5" t="s">
        <v>8178</v>
      </c>
      <c r="C8618" s="5" t="str">
        <f>IFERROR(__xludf.DUMMYFUNCTION("GOOGLETRANSLATE(A8618,""en"",""hy"")"),"Ո՞րն է Հնդկաստանի ազգային ծաղիկը:")</f>
        <v>Ո՞րն է Հնդկաստանի ազգային ծաղիկը:</v>
      </c>
      <c r="D8618" s="6" t="str">
        <f>IFERROR(__xludf.DUMMYFUNCTION("GOOGLETRANSLATE(B8618,""en"",""hy"")"),"Հնդկաստանի ազգային ծաղիկը լոտոսն է:")</f>
        <v>Հնդկաստանի ազգային ծաղիկը լոտոսն է:</v>
      </c>
    </row>
    <row r="8619">
      <c r="A8619" s="5" t="s">
        <v>8250</v>
      </c>
      <c r="B8619" s="5" t="s">
        <v>7712</v>
      </c>
      <c r="C8619" s="5" t="str">
        <f>IFERROR(__xludf.DUMMYFUNCTION("GOOGLETRANSLATE(A8619,""en"",""hy"")"),"Ո՞ր քաղաքում է գտնվում Ազատության արձանը:")</f>
        <v>Ո՞ր քաղաքում է գտնվում Ազատության արձանը:</v>
      </c>
      <c r="D8619" s="6" t="str">
        <f>IFERROR(__xludf.DUMMYFUNCTION("GOOGLETRANSLATE(B8619,""en"",""hy"")"),"Նյու Յորք քաղաք.")</f>
        <v>Նյու Յորք քաղաք.</v>
      </c>
    </row>
    <row r="8620">
      <c r="A8620" s="5" t="s">
        <v>7522</v>
      </c>
      <c r="B8620" s="5" t="s">
        <v>8785</v>
      </c>
      <c r="C8620" s="5" t="str">
        <f>IFERROR(__xludf.DUMMYFUNCTION("GOOGLETRANSLATE(A8620,""en"",""hy"")"),"Ո՞րն է Չինաստանի արժույթը:")</f>
        <v>Ո՞րն է Չինաստանի արժույթը:</v>
      </c>
      <c r="D8620" s="6" t="str">
        <f>IFERROR(__xludf.DUMMYFUNCTION("GOOGLETRANSLATE(B8620,""en"",""hy"")"),"Չինաստանի արժույթը չինական յուանն է (CNY):")</f>
        <v>Չինաստանի արժույթը չինական յուանն է (CNY):</v>
      </c>
    </row>
    <row r="8621">
      <c r="A8621" s="5" t="s">
        <v>7443</v>
      </c>
      <c r="B8621" s="5" t="s">
        <v>8355</v>
      </c>
      <c r="C8621" s="5" t="str">
        <f>IFERROR(__xludf.DUMMYFUNCTION("GOOGLETRANSLATE(A8621,""en"",""hy"")"),"Ո՞վ է գրել «1984» վեպը։")</f>
        <v>Ո՞վ է գրել «1984» վեպը։</v>
      </c>
      <c r="D8621" s="6" t="str">
        <f>IFERROR(__xludf.DUMMYFUNCTION("GOOGLETRANSLATE(B8621,""en"",""hy"")"),"Ջորջ Օրուել")</f>
        <v>Ջորջ Օրուել</v>
      </c>
    </row>
    <row r="8622">
      <c r="A8622" s="5" t="s">
        <v>8172</v>
      </c>
      <c r="B8622" s="5" t="s">
        <v>7733</v>
      </c>
      <c r="C8622" s="5" t="str">
        <f>IFERROR(__xludf.DUMMYFUNCTION("GOOGLETRANSLATE(A8622,""en"",""hy"")"),"Ո՞րն է աշխարհի ամենաբարձր ջրվեժը:")</f>
        <v>Ո՞րն է աշխարհի ամենաբարձր ջրվեժը:</v>
      </c>
      <c r="D8622" s="6" t="str">
        <f>IFERROR(__xludf.DUMMYFUNCTION("GOOGLETRANSLATE(B8622,""en"",""hy"")"),"Angel Falls.")</f>
        <v>Angel Falls.</v>
      </c>
    </row>
    <row r="8623">
      <c r="A8623" s="5" t="s">
        <v>7575</v>
      </c>
      <c r="B8623" s="5" t="s">
        <v>7576</v>
      </c>
      <c r="C8623" s="5" t="str">
        <f>IFERROR(__xludf.DUMMYFUNCTION("GOOGLETRANSLATE(A8623,""en"",""hy"")"),"Քանի՞ գույն կա ծիածանի մեջ:")</f>
        <v>Քանի՞ գույն կա ծիածանի մեջ:</v>
      </c>
      <c r="D8623" s="6" t="str">
        <f>IFERROR(__xludf.DUMMYFUNCTION("GOOGLETRANSLATE(B8623,""en"",""hy"")"),"Ծիածանի մեջ յոթ գույն կա:")</f>
        <v>Ծիածանի մեջ յոթ գույն կա:</v>
      </c>
    </row>
    <row r="8624">
      <c r="A8624" s="5" t="s">
        <v>8123</v>
      </c>
      <c r="B8624" s="5" t="s">
        <v>7448</v>
      </c>
      <c r="C8624" s="5" t="str">
        <f>IFERROR(__xludf.DUMMYFUNCTION("GOOGLETRANSLATE(A8624,""en"",""hy"")"),"Ո՞վ է նկարել հայտնի «Վերջին ընթրիքը» ստեղծագործությունը:")</f>
        <v>Ո՞վ է նկարել հայտնի «Վերջին ընթրիքը» ստեղծագործությունը:</v>
      </c>
      <c r="D8624" s="6" t="str">
        <f>IFERROR(__xludf.DUMMYFUNCTION("GOOGLETRANSLATE(B8624,""en"",""hy"")"),"Լեոնարդո դա Վինչի.")</f>
        <v>Լեոնարդո դա Վինչի.</v>
      </c>
    </row>
    <row r="8625">
      <c r="A8625" s="5" t="s">
        <v>7957</v>
      </c>
      <c r="B8625" s="5" t="s">
        <v>2790</v>
      </c>
      <c r="C8625" s="5" t="str">
        <f>IFERROR(__xludf.DUMMYFUNCTION("GOOGLETRANSLATE(A8625,""en"",""hy"")"),"Ո՞ր երկրում է գտնվում Մեծ պարիսպը:")</f>
        <v>Ո՞ր երկրում է գտնվում Մեծ պարիսպը:</v>
      </c>
      <c r="D8625" s="6" t="str">
        <f>IFERROR(__xludf.DUMMYFUNCTION("GOOGLETRANSLATE(B8625,""en"",""hy"")"),"Չինաստան.")</f>
        <v>Չինաստան.</v>
      </c>
    </row>
    <row r="8626">
      <c r="A8626" s="5" t="s">
        <v>7672</v>
      </c>
      <c r="B8626" s="5" t="s">
        <v>9635</v>
      </c>
      <c r="C8626" s="5" t="str">
        <f>IFERROR(__xludf.DUMMYFUNCTION("GOOGLETRANSLATE(A8626,""en"",""hy"")"),"Ո՞րն է Հարավային Ամերիկայի ամենամեծ երկիրը:")</f>
        <v>Ո՞րն է Հարավային Ամերիկայի ամենամեծ երկիրը:</v>
      </c>
      <c r="D8626" s="6" t="str">
        <f>IFERROR(__xludf.DUMMYFUNCTION("GOOGLETRANSLATE(B8626,""en"",""hy"")"),"Բրազիլիա")</f>
        <v>Բրազիլիա</v>
      </c>
    </row>
    <row r="8627">
      <c r="A8627" s="5" t="s">
        <v>7679</v>
      </c>
      <c r="B8627" s="5" t="s">
        <v>7560</v>
      </c>
      <c r="C8627" s="5" t="str">
        <f>IFERROR(__xludf.DUMMYFUNCTION("GOOGLETRANSLATE(A8627,""en"",""hy"")"),"Ո՞վ է «The Catcher in the Rye»-ի հեղինակը.")</f>
        <v>Ո՞վ է «The Catcher in the Rye»-ի հեղինակը.</v>
      </c>
      <c r="D8627" s="6" t="str">
        <f>IFERROR(__xludf.DUMMYFUNCTION("GOOGLETRANSLATE(B8627,""en"",""hy"")"),"Ջ.Դ.Սելինջեր.")</f>
        <v>Ջ.Դ.Սելինջեր.</v>
      </c>
    </row>
    <row r="8628">
      <c r="A8628" s="5" t="s">
        <v>7703</v>
      </c>
      <c r="B8628" s="5" t="s">
        <v>9875</v>
      </c>
      <c r="C8628" s="5" t="str">
        <f>IFERROR(__xludf.DUMMYFUNCTION("GOOGLETRANSLATE(A8628,""en"",""hy"")"),"Ո՞րն է Իտալիայի մայրաքաղաքը:")</f>
        <v>Ո՞րն է Իտալիայի մայրաքաղաքը:</v>
      </c>
      <c r="D8628" s="6" t="str">
        <f>IFERROR(__xludf.DUMMYFUNCTION("GOOGLETRANSLATE(B8628,""en"",""hy"")"),"Իտալիայի մայրաքաղաքը Հռոմն է։")</f>
        <v>Իտալիայի մայրաքաղաքը Հռոմն է։</v>
      </c>
    </row>
    <row r="8629">
      <c r="A8629" s="5" t="s">
        <v>8843</v>
      </c>
      <c r="B8629" s="5" t="s">
        <v>8844</v>
      </c>
      <c r="C8629" s="5" t="str">
        <f>IFERROR(__xludf.DUMMYFUNCTION("GOOGLETRANSLATE(A8629,""en"",""hy"")"),"Ո՞վ է Հնդկաստանի ներկայիս վարչապետը:")</f>
        <v>Ո՞վ է Հնդկաստանի ներկայիս վարչապետը:</v>
      </c>
      <c r="D8629" s="6" t="str">
        <f>IFERROR(__xludf.DUMMYFUNCTION("GOOGLETRANSLATE(B8629,""en"",""hy"")"),"Հնդկաստանի ներկայիս վարչապետը Նարենդրա Մոդին է։")</f>
        <v>Հնդկաստանի ներկայիս վարչապետը Նարենդրա Մոդին է։</v>
      </c>
    </row>
    <row r="8630">
      <c r="A8630" s="5" t="s">
        <v>7592</v>
      </c>
      <c r="B8630" s="5" t="s">
        <v>7593</v>
      </c>
      <c r="C8630" s="5" t="str">
        <f>IFERROR(__xludf.DUMMYFUNCTION("GOOGLETRANSLATE(A8630,""en"",""hy"")"),"Ո՞րն է թթվածնի քիմիական նշանը:")</f>
        <v>Ո՞րն է թթվածնի քիմիական նշանը:</v>
      </c>
      <c r="D8630" s="6" t="str">
        <f>IFERROR(__xludf.DUMMYFUNCTION("GOOGLETRANSLATE(B8630,""en"",""hy"")"),"Թթվածնի քիմիական նշանը O է:")</f>
        <v>Թթվածնի քիմիական նշանը O է:</v>
      </c>
    </row>
    <row r="8631">
      <c r="A8631" s="5" t="s">
        <v>8198</v>
      </c>
      <c r="B8631" s="5" t="s">
        <v>8199</v>
      </c>
      <c r="C8631" s="5" t="str">
        <f>IFERROR(__xludf.DUMMYFUNCTION("GOOGLETRANSLATE(A8631,""en"",""hy"")"),"Ո՞րն է Չինաստանի ազգային կենդանին:")</f>
        <v>Ո՞րն է Չինաստանի ազգային կենդանին:</v>
      </c>
      <c r="D8631" s="6" t="str">
        <f>IFERROR(__xludf.DUMMYFUNCTION("GOOGLETRANSLATE(B8631,""en"",""hy"")"),"Չինաստանի ազգային կենդանին հսկա պանդան է։")</f>
        <v>Չինաստանի ազգային կենդանին հսկա պանդան է։</v>
      </c>
    </row>
    <row r="8632">
      <c r="A8632" s="5" t="s">
        <v>9876</v>
      </c>
      <c r="B8632" s="5" t="s">
        <v>1016</v>
      </c>
      <c r="C8632" s="5" t="str">
        <f>IFERROR(__xludf.DUMMYFUNCTION("GOOGLETRANSLATE(A8632,""en"",""hy"")"),"Ո՞վ է գրել «Մակբեթ» և «Համլետ» պիեսները։")</f>
        <v>Ո՞վ է գրել «Մակբեթ» և «Համլետ» պիեսները։</v>
      </c>
      <c r="D8632" s="6" t="str">
        <f>IFERROR(__xludf.DUMMYFUNCTION("GOOGLETRANSLATE(B8632,""en"",""hy"")"),"Ուիլյամ Շեքսպիր.")</f>
        <v>Ուիլյամ Շեքսպիր.</v>
      </c>
    </row>
    <row r="8633">
      <c r="A8633" s="5" t="s">
        <v>7960</v>
      </c>
      <c r="B8633" s="5" t="s">
        <v>7961</v>
      </c>
      <c r="C8633" s="5" t="str">
        <f>IFERROR(__xludf.DUMMYFUNCTION("GOOGLETRANSLATE(A8633,""en"",""hy"")"),"Ո՞ր տարում է խորտակվել Տիտանիկը:")</f>
        <v>Ո՞ր տարում է խորտակվել Տիտանիկը:</v>
      </c>
      <c r="D8633" s="6" t="str">
        <f>IFERROR(__xludf.DUMMYFUNCTION("GOOGLETRANSLATE(B8633,""en"",""hy"")"),"Տիտանիկը խորտակվել է 1912 թվականին։")</f>
        <v>Տիտանիկը խորտակվել է 1912 թվականին։</v>
      </c>
    </row>
    <row r="8634">
      <c r="A8634" s="5" t="s">
        <v>7561</v>
      </c>
      <c r="B8634" s="5" t="s">
        <v>7669</v>
      </c>
      <c r="C8634" s="5" t="str">
        <f>IFERROR(__xludf.DUMMYFUNCTION("GOOGLETRANSLATE(A8634,""en"",""hy"")"),"Ո՞րն է Մեքսիկայի արժույթը:")</f>
        <v>Ո՞րն է Մեքսիկայի արժույթը:</v>
      </c>
      <c r="D8634" s="6" t="str">
        <f>IFERROR(__xludf.DUMMYFUNCTION("GOOGLETRANSLATE(B8634,""en"",""hy"")"),"Մեքսիկայի արժույթը մեքսիկական պեսոն է։")</f>
        <v>Մեքսիկայի արժույթը մեքսիկական պեսոն է։</v>
      </c>
    </row>
    <row r="8635">
      <c r="A8635" s="5" t="s">
        <v>7572</v>
      </c>
      <c r="B8635" s="5" t="s">
        <v>7573</v>
      </c>
      <c r="C8635" s="5" t="str">
        <f>IFERROR(__xludf.DUMMYFUNCTION("GOOGLETRANSLATE(A8635,""en"",""hy"")"),"Ո՞վ է հորինել լամպը:")</f>
        <v>Ո՞վ է հորինել լամպը:</v>
      </c>
      <c r="D8635" s="6" t="str">
        <f>IFERROR(__xludf.DUMMYFUNCTION("GOOGLETRANSLATE(B8635,""en"",""hy"")"),"Թոմաս Էդիսոն.")</f>
        <v>Թոմաս Էդիսոն.</v>
      </c>
    </row>
    <row r="8636">
      <c r="A8636" s="5" t="s">
        <v>8161</v>
      </c>
      <c r="B8636" s="5" t="s">
        <v>8162</v>
      </c>
      <c r="C8636" s="5" t="str">
        <f>IFERROR(__xludf.DUMMYFUNCTION("GOOGLETRANSLATE(A8636,""en"",""hy"")"),"Ո՞րն է Ճապոնիայի ազգային ծաղիկը:")</f>
        <v>Ո՞րն է Ճապոնիայի ազգային ծաղիկը:</v>
      </c>
      <c r="D8636" s="6" t="str">
        <f>IFERROR(__xludf.DUMMYFUNCTION("GOOGLETRANSLATE(B8636,""en"",""hy"")"),"Ճապոնիայի ազգային ծաղիկը բալի ծաղիկն է:")</f>
        <v>Ճապոնիայի ազգային ծաղիկը բալի ծաղիկն է:</v>
      </c>
    </row>
    <row r="8637">
      <c r="A8637" s="5" t="s">
        <v>7686</v>
      </c>
      <c r="B8637" s="5" t="s">
        <v>7814</v>
      </c>
      <c r="C8637" s="5" t="str">
        <f>IFERROR(__xludf.DUMMYFUNCTION("GOOGLETRANSLATE(A8637,""en"",""hy"")"),"Ո՞րն է Գերմանիայի մայրաքաղաքը:")</f>
        <v>Ո՞րն է Գերմանիայի մայրաքաղաքը:</v>
      </c>
      <c r="D8637" s="6" t="str">
        <f>IFERROR(__xludf.DUMMYFUNCTION("GOOGLETRANSLATE(B8637,""en"",""hy"")"),"Գերմանիայի մայրաքաղաքը Բեռլինն է։")</f>
        <v>Գերմանիայի մայրաքաղաքը Բեռլինն է։</v>
      </c>
    </row>
    <row r="8638">
      <c r="A8638" s="5" t="s">
        <v>7601</v>
      </c>
      <c r="B8638" s="5" t="s">
        <v>3966</v>
      </c>
      <c r="C8638" s="5" t="str">
        <f>IFERROR(__xludf.DUMMYFUNCTION("GOOGLETRANSLATE(A8638,""en"",""hy"")"),"Ո՞վ է Ֆրանսիայի ներկայիս նախագահը.")</f>
        <v>Ո՞վ է Ֆրանսիայի ներկայիս նախագահը.</v>
      </c>
      <c r="D8638" s="6" t="str">
        <f>IFERROR(__xludf.DUMMYFUNCTION("GOOGLETRANSLATE(B8638,""en"",""hy"")"),"Էմանուել Մակրոն.")</f>
        <v>Էմանուել Մակրոն.</v>
      </c>
    </row>
    <row r="8639">
      <c r="A8639" s="5" t="s">
        <v>8361</v>
      </c>
      <c r="B8639" s="5" t="s">
        <v>8362</v>
      </c>
      <c r="C8639" s="5" t="str">
        <f>IFERROR(__xludf.DUMMYFUNCTION("GOOGLETRANSLATE(A8639,""en"",""hy"")"),"Ո՞րն է Հյուսիսային Ամերիկայի ամենամեծ ջրվեժը:")</f>
        <v>Ո՞րն է Հյուսիսային Ամերիկայի ամենամեծ ջրվեժը:</v>
      </c>
      <c r="D8639" s="6" t="str">
        <f>IFERROR(__xludf.DUMMYFUNCTION("GOOGLETRANSLATE(B8639,""en"",""hy"")"),"Հյուսիսային Ամերիկայի ամենամեծ ջրվեժը Նիագարայի ջրվեժն է:")</f>
        <v>Հյուսիսային Ամերիկայի ամենամեծ ջրվեժը Նիագարայի ջրվեժն է:</v>
      </c>
    </row>
    <row r="8640">
      <c r="A8640" s="5" t="s">
        <v>7823</v>
      </c>
      <c r="B8640" s="5" t="s">
        <v>7824</v>
      </c>
      <c r="C8640" s="5" t="str">
        <f>IFERROR(__xludf.DUMMYFUNCTION("GOOGLETRANSLATE(A8640,""en"",""hy"")"),"Ո՞ր երկիրն է հայտնի որպես «կրակի և սառույցի երկիր»:")</f>
        <v>Ո՞ր երկիրն է հայտնի որպես «կրակի և սառույցի երկիր»:</v>
      </c>
      <c r="D8640" s="6" t="str">
        <f>IFERROR(__xludf.DUMMYFUNCTION("GOOGLETRANSLATE(B8640,""en"",""hy"")"),"Իսլանդիա.")</f>
        <v>Իսլանդիա.</v>
      </c>
    </row>
    <row r="8641">
      <c r="A8641" s="5" t="s">
        <v>7509</v>
      </c>
      <c r="B8641" s="5" t="s">
        <v>7510</v>
      </c>
      <c r="C8641" s="5" t="str">
        <f>IFERROR(__xludf.DUMMYFUNCTION("GOOGLETRANSLATE(A8641,""en"",""hy"")"),"Ո՞րն է արծաթի քիմիական նշանը:")</f>
        <v>Ո՞րն է արծաթի քիմիական նշանը:</v>
      </c>
      <c r="D8641" s="6" t="str">
        <f>IFERROR(__xludf.DUMMYFUNCTION("GOOGLETRANSLATE(B8641,""en"",""hy"")"),"Ագ")</f>
        <v>Ագ</v>
      </c>
    </row>
    <row r="8642">
      <c r="A8642" s="5" t="s">
        <v>7660</v>
      </c>
      <c r="B8642" s="5" t="s">
        <v>7613</v>
      </c>
      <c r="C8642" s="5" t="str">
        <f>IFERROR(__xludf.DUMMYFUNCTION("GOOGLETRANSLATE(A8642,""en"",""hy"")"),"Ո՞վ է «Մեծն Գեթսբիի» հեղինակը.")</f>
        <v>Ո՞վ է «Մեծն Գեթսբիի» հեղինակը.</v>
      </c>
      <c r="D8642" s="6" t="str">
        <f>IFERROR(__xludf.DUMMYFUNCTION("GOOGLETRANSLATE(B8642,""en"",""hy"")"),"F. Scott Fitzgerald")</f>
        <v>F. Scott Fitzgerald</v>
      </c>
    </row>
    <row r="8643">
      <c r="A8643" s="5" t="s">
        <v>7602</v>
      </c>
      <c r="B8643" s="5" t="s">
        <v>7603</v>
      </c>
      <c r="C8643" s="5" t="str">
        <f>IFERROR(__xludf.DUMMYFUNCTION("GOOGLETRANSLATE(A8643,""en"",""hy"")"),"Ո՞րն է Կանադայի ազգային թռչունը:")</f>
        <v>Ո՞րն է Կանադայի ազգային թռչունը:</v>
      </c>
      <c r="D8643" s="6" t="str">
        <f>IFERROR(__xludf.DUMMYFUNCTION("GOOGLETRANSLATE(B8643,""en"",""hy"")"),"Կանադայի ազգային թռչունը սովորական ձագն է:")</f>
        <v>Կանադայի ազգային թռչունը սովորական ձագն է:</v>
      </c>
    </row>
    <row r="8644">
      <c r="A8644" s="5" t="s">
        <v>8265</v>
      </c>
      <c r="B8644" s="5" t="s">
        <v>7545</v>
      </c>
      <c r="C8644" s="5" t="str">
        <f>IFERROR(__xludf.DUMMYFUNCTION("GOOGLETRANSLATE(A8644,""en"",""hy"")"),"Ո՞ր քաղաքում է գտնվում Կոլիզեյը:")</f>
        <v>Ո՞ր քաղաքում է գտնվում Կոլիզեյը:</v>
      </c>
      <c r="D8644" s="6" t="str">
        <f>IFERROR(__xludf.DUMMYFUNCTION("GOOGLETRANSLATE(B8644,""en"",""hy"")"),"Հռոմ.")</f>
        <v>Հռոմ.</v>
      </c>
    </row>
    <row r="8645">
      <c r="A8645" s="5" t="s">
        <v>7689</v>
      </c>
      <c r="B8645" s="5" t="s">
        <v>7690</v>
      </c>
      <c r="C8645" s="5" t="str">
        <f>IFERROR(__xludf.DUMMYFUNCTION("GOOGLETRANSLATE(A8645,""en"",""hy"")"),"Ո՞րն է Ռուսաստանի արժույթը:")</f>
        <v>Ո՞րն է Ռուսաստանի արժույթը:</v>
      </c>
      <c r="D8645" s="6" t="str">
        <f>IFERROR(__xludf.DUMMYFUNCTION("GOOGLETRANSLATE(B8645,""en"",""hy"")"),"Ռուսաստանի արժույթը ռուսական ռուբլին է։")</f>
        <v>Ռուսաստանի արժույթը ռուսական ռուբլին է։</v>
      </c>
    </row>
    <row r="8646">
      <c r="A8646" s="5" t="s">
        <v>8641</v>
      </c>
      <c r="B8646" s="5" t="s">
        <v>8043</v>
      </c>
      <c r="C8646" s="5" t="str">
        <f>IFERROR(__xludf.DUMMYFUNCTION("GOOGLETRANSLATE(A8646,""en"",""hy"")"),"Ո՞վ է նկարել «Հիշողության համառությունը» ստեղծագործությունը:")</f>
        <v>Ո՞վ է նկարել «Հիշողության համառությունը» ստեղծագործությունը:</v>
      </c>
      <c r="D8646" s="6" t="str">
        <f>IFERROR(__xludf.DUMMYFUNCTION("GOOGLETRANSLATE(B8646,""en"",""hy"")"),"Սալվադոր Դալի.")</f>
        <v>Սալվադոր Դալի.</v>
      </c>
    </row>
    <row r="8647">
      <c r="A8647" s="5" t="s">
        <v>7526</v>
      </c>
      <c r="B8647" s="5" t="s">
        <v>7527</v>
      </c>
      <c r="C8647" s="5" t="str">
        <f>IFERROR(__xludf.DUMMYFUNCTION("GOOGLETRANSLATE(A8647,""en"",""hy"")"),"Ո՞րն է աշխարհի ամենամեծ կղզին:")</f>
        <v>Ո՞րն է աշխարհի ամենամեծ կղզին:</v>
      </c>
      <c r="D8647" s="6" t="str">
        <f>IFERROR(__xludf.DUMMYFUNCTION("GOOGLETRANSLATE(B8647,""en"",""hy"")"),"Գրենլանդիա.")</f>
        <v>Գրենլանդիա.</v>
      </c>
    </row>
    <row r="8648">
      <c r="A8648" s="5" t="s">
        <v>9877</v>
      </c>
      <c r="B8648" s="5" t="s">
        <v>7633</v>
      </c>
      <c r="C8648" s="5" t="str">
        <f>IFERROR(__xludf.DUMMYFUNCTION("GOOGLETRANSLATE(A8648,""en"",""hy"")"),"Ո՞ր մոլորակն է հայտնի որպես «հսկա կարմիր կետ»:")</f>
        <v>Ո՞ր մոլորակն է հայտնի որպես «հսկա կարմիր կետ»:</v>
      </c>
      <c r="D8648" s="6" t="str">
        <f>IFERROR(__xludf.DUMMYFUNCTION("GOOGLETRANSLATE(B8648,""en"",""hy"")"),"Յուպիտեր.")</f>
        <v>Յուպիտեր.</v>
      </c>
    </row>
    <row r="8649">
      <c r="A8649" s="5" t="s">
        <v>7566</v>
      </c>
      <c r="B8649" s="5" t="s">
        <v>7934</v>
      </c>
      <c r="C8649" s="5" t="str">
        <f>IFERROR(__xludf.DUMMYFUNCTION("GOOGLETRANSLATE(A8649,""en"",""hy"")"),"Ո՞վ է Կանադայի ներկայիս վարչապետը:")</f>
        <v>Ո՞վ է Կանադայի ներկայիս վարչապետը:</v>
      </c>
      <c r="D8649" s="6" t="str">
        <f>IFERROR(__xludf.DUMMYFUNCTION("GOOGLETRANSLATE(B8649,""en"",""hy"")"),"Ջասթին Թրյուդո.")</f>
        <v>Ջասթին Թրյուդո.</v>
      </c>
    </row>
    <row r="8650">
      <c r="A8650" s="5" t="s">
        <v>8233</v>
      </c>
      <c r="B8650" s="5" t="s">
        <v>9033</v>
      </c>
      <c r="C8650" s="5" t="str">
        <f>IFERROR(__xludf.DUMMYFUNCTION("GOOGLETRANSLATE(A8650,""en"",""hy"")"),"Ո՞րն է Գերմանիայի ազգային կենդանին:")</f>
        <v>Ո՞րն է Գերմանիայի ազգային կենդանին:</v>
      </c>
      <c r="D8650" s="6" t="str">
        <f>IFERROR(__xludf.DUMMYFUNCTION("GOOGLETRANSLATE(B8650,""en"",""hy"")"),"Գերմանիայի ազգային կենդանին արծիվն է։")</f>
        <v>Գերմանիայի ազգային կենդանին արծիվն է։</v>
      </c>
    </row>
    <row r="8651">
      <c r="A8651" s="5" t="s">
        <v>7773</v>
      </c>
      <c r="B8651" s="5" t="s">
        <v>8253</v>
      </c>
      <c r="C8651" s="5" t="str">
        <f>IFERROR(__xludf.DUMMYFUNCTION("GOOGLETRANSLATE(A8651,""en"",""hy"")"),"Ո՞վ է հայտնաբերել պենիցիլինը:")</f>
        <v>Ո՞վ է հայտնաբերել պենիցիլինը:</v>
      </c>
      <c r="D8651" s="6" t="str">
        <f>IFERROR(__xludf.DUMMYFUNCTION("GOOGLETRANSLATE(B8651,""en"",""hy"")"),"Ալեքսանդր Ֆլեմինգ.")</f>
        <v>Ալեքսանդր Ֆլեմինգ.</v>
      </c>
    </row>
    <row r="8652">
      <c r="A8652" s="5" t="s">
        <v>7653</v>
      </c>
      <c r="B8652" s="5" t="s">
        <v>9878</v>
      </c>
      <c r="C8652" s="5" t="str">
        <f>IFERROR(__xludf.DUMMYFUNCTION("GOOGLETRANSLATE(A8652,""en"",""hy"")"),"Ո՞րն է Իսպանիայի մայրաքաղաքը:")</f>
        <v>Ո՞րն է Իսպանիայի մայրաքաղաքը:</v>
      </c>
      <c r="D8652" s="6" t="str">
        <f>IFERROR(__xludf.DUMMYFUNCTION("GOOGLETRANSLATE(B8652,""en"",""hy"")"),"Իսպանիայի մայրաքաղաքը Մադրիդն է։")</f>
        <v>Իսպանիայի մայրաքաղաքը Մադրիդն է։</v>
      </c>
    </row>
    <row r="8653">
      <c r="A8653" s="5" t="s">
        <v>7946</v>
      </c>
      <c r="B8653" s="5" t="s">
        <v>8111</v>
      </c>
      <c r="C8653" s="5" t="str">
        <f>IFERROR(__xludf.DUMMYFUNCTION("GOOGLETRANSLATE(A8653,""en"",""hy"")"),"Քանի՞ խաղացող կա ֆուտբոլային թիմում:")</f>
        <v>Քանի՞ խաղացող կա ֆուտբոլային թիմում:</v>
      </c>
      <c r="D8653" s="6" t="str">
        <f>IFERROR(__xludf.DUMMYFUNCTION("GOOGLETRANSLATE(B8653,""en"",""hy"")"),"Ֆուտբոլային թիմում կա 11 խաղացող։")</f>
        <v>Ֆուտբոլային թիմում կա 11 խաղացող։</v>
      </c>
    </row>
    <row r="8654">
      <c r="A8654" s="5" t="s">
        <v>8318</v>
      </c>
      <c r="B8654" s="5" t="s">
        <v>7549</v>
      </c>
      <c r="C8654" s="5" t="str">
        <f>IFERROR(__xludf.DUMMYFUNCTION("GOOGLETRANSLATE(A8654,""en"",""hy"")"),"Ո՞վ է նկարել հայտնի «Մարգարտյա ականջօղով աղջիկը» ստեղծագործությունը:")</f>
        <v>Ո՞վ է նկարել հայտնի «Մարգարտյա ականջօղով աղջիկը» ստեղծագործությունը:</v>
      </c>
      <c r="D8654" s="6" t="str">
        <f>IFERROR(__xludf.DUMMYFUNCTION("GOOGLETRANSLATE(B8654,""en"",""hy"")"),"Յոհաննես Վերմեեր.")</f>
        <v>Յոհաննես Վերմեեր.</v>
      </c>
    </row>
    <row r="8655">
      <c r="A8655" s="5" t="s">
        <v>8808</v>
      </c>
      <c r="B8655" s="5" t="s">
        <v>8201</v>
      </c>
      <c r="C8655" s="5" t="str">
        <f>IFERROR(__xludf.DUMMYFUNCTION("GOOGLETRANSLATE(A8655,""en"",""hy"")"),"Ո՞ր երկրում է գտնվում Ակրոպոլիսը:")</f>
        <v>Ո՞ր երկրում է գտնվում Ակրոպոլիսը:</v>
      </c>
      <c r="D8655" s="6" t="str">
        <f>IFERROR(__xludf.DUMMYFUNCTION("GOOGLETRANSLATE(B8655,""en"",""hy"")"),"Հունաստան.")</f>
        <v>Հունաստան.</v>
      </c>
    </row>
    <row r="8656">
      <c r="A8656" s="5" t="s">
        <v>7699</v>
      </c>
      <c r="B8656" s="5" t="s">
        <v>8615</v>
      </c>
      <c r="C8656" s="5" t="str">
        <f>IFERROR(__xludf.DUMMYFUNCTION("GOOGLETRANSLATE(A8656,""en"",""hy"")"),"Ո՞րն է ածխածնի քիմիական նշանը:")</f>
        <v>Ո՞րն է ածխածնի քիմիական նշանը:</v>
      </c>
      <c r="D8656" s="6" t="str">
        <f>IFERROR(__xludf.DUMMYFUNCTION("GOOGLETRANSLATE(B8656,""en"",""hy"")"),"Գ")</f>
        <v>Գ</v>
      </c>
    </row>
    <row r="8657">
      <c r="A8657" s="5" t="s">
        <v>8134</v>
      </c>
      <c r="B8657" s="5" t="s">
        <v>8711</v>
      </c>
      <c r="C8657" s="5" t="str">
        <f>IFERROR(__xludf.DUMMYFUNCTION("GOOGLETRANSLATE(A8657,""en"",""hy"")"),"Ո՞վ է Չինաստանի ներկայիս նախագահը.")</f>
        <v>Ո՞վ է Չինաստանի ներկայիս նախագահը.</v>
      </c>
      <c r="D8657" s="6" t="str">
        <f>IFERROR(__xludf.DUMMYFUNCTION("GOOGLETRANSLATE(B8657,""en"",""hy"")"),"Սի Ցզինպին.")</f>
        <v>Սի Ցզինպին.</v>
      </c>
    </row>
    <row r="8658">
      <c r="A8658" s="5" t="s">
        <v>8136</v>
      </c>
      <c r="B8658" s="5" t="s">
        <v>8892</v>
      </c>
      <c r="C8658" s="5" t="str">
        <f>IFERROR(__xludf.DUMMYFUNCTION("GOOGLETRANSLATE(A8658,""en"",""hy"")"),"Ո՞րն է Ֆրանսիայի ազգային ծաղիկը:")</f>
        <v>Ո՞րն է Ֆրանսիայի ազգային ծաղիկը:</v>
      </c>
      <c r="D8658" s="6" t="str">
        <f>IFERROR(__xludf.DUMMYFUNCTION("GOOGLETRANSLATE(B8658,""en"",""hy"")"),"Ֆրանսիայի ազգային ծաղիկը Շուշանն է (Fleur-de-lis):")</f>
        <v>Ֆրանսիայի ազգային ծաղիկը Շուշանն է (Fleur-de-lis):</v>
      </c>
    </row>
    <row r="8659">
      <c r="A8659" s="5" t="s">
        <v>9300</v>
      </c>
      <c r="B8659" s="5" t="s">
        <v>7598</v>
      </c>
      <c r="C8659" s="5" t="str">
        <f>IFERROR(__xludf.DUMMYFUNCTION("GOOGLETRANSLATE(A8659,""en"",""hy"")"),"Ո՞ր քաղաքում է գտնվում Սիդնեյի օպերային թատրոնը:")</f>
        <v>Ո՞ր քաղաքում է գտնվում Սիդնեյի օպերային թատրոնը:</v>
      </c>
      <c r="D8659" s="6" t="str">
        <f>IFERROR(__xludf.DUMMYFUNCTION("GOOGLETRANSLATE(B8659,""en"",""hy"")"),"Սիդնեյ.")</f>
        <v>Սիդնեյ.</v>
      </c>
    </row>
    <row r="8660">
      <c r="A8660" s="5" t="s">
        <v>7649</v>
      </c>
      <c r="B8660" s="5" t="s">
        <v>9879</v>
      </c>
      <c r="C8660" s="5" t="str">
        <f>IFERROR(__xludf.DUMMYFUNCTION("GOOGLETRANSLATE(A8660,""en"",""hy"")"),"Ո՞րն է Ավստրալիայի արժույթը:")</f>
        <v>Ո՞րն է Ավստրալիայի արժույթը:</v>
      </c>
      <c r="D8660" s="6" t="str">
        <f>IFERROR(__xludf.DUMMYFUNCTION("GOOGLETRANSLATE(B8660,""en"",""hy"")"),"Ավստրալիայի արժույթը Ավստրալիական դոլարն է։")</f>
        <v>Ավստրալիայի արժույթը Ավստրալիական դոլարն է։</v>
      </c>
    </row>
    <row r="8661">
      <c r="A8661" s="5" t="s">
        <v>8010</v>
      </c>
      <c r="B8661" s="5" t="s">
        <v>7578</v>
      </c>
      <c r="C8661" s="5" t="str">
        <f>IFERROR(__xludf.DUMMYFUNCTION("GOOGLETRANSLATE(A8661,""en"",""hy"")"),"Ո՞վ է գրել «Մոբի-Դիկ» վեպը:")</f>
        <v>Ո՞վ է գրել «Մոբի-Դիկ» վեպը:</v>
      </c>
      <c r="D8661" s="6" t="str">
        <f>IFERROR(__xludf.DUMMYFUNCTION("GOOGLETRANSLATE(B8661,""en"",""hy"")"),"Հերման Մելվիլ.")</f>
        <v>Հերման Մելվիլ.</v>
      </c>
    </row>
    <row r="8662">
      <c r="A8662" s="5" t="s">
        <v>7463</v>
      </c>
      <c r="B8662" s="5" t="s">
        <v>7464</v>
      </c>
      <c r="C8662" s="5" t="str">
        <f>IFERROR(__xludf.DUMMYFUNCTION("GOOGLETRANSLATE(A8662,""en"",""hy"")"),"Ո՞րն է աշխարհի ամենաբարձր լեռը:")</f>
        <v>Ո՞րն է աշխարհի ամենաբարձր լեռը:</v>
      </c>
      <c r="D8662" s="6" t="str">
        <f>IFERROR(__xludf.DUMMYFUNCTION("GOOGLETRANSLATE(B8662,""en"",""hy"")"),"Էվերեստ լեռ.")</f>
        <v>Էվերեստ լեռ.</v>
      </c>
    </row>
    <row r="8663">
      <c r="A8663" s="5" t="s">
        <v>8248</v>
      </c>
      <c r="B8663" s="5" t="s">
        <v>7512</v>
      </c>
      <c r="C8663" s="5" t="str">
        <f>IFERROR(__xludf.DUMMYFUNCTION("GOOGLETRANSLATE(A8663,""en"",""hy"")"),"Ո՞ր երկիրն է հայտնի որպես «Փարավոնների երկիր»:")</f>
        <v>Ո՞ր երկիրն է հայտնի որպես «Փարավոնների երկիր»:</v>
      </c>
      <c r="D8663" s="6" t="str">
        <f>IFERROR(__xludf.DUMMYFUNCTION("GOOGLETRANSLATE(B8663,""en"",""hy"")"),"Եգիպտոս.")</f>
        <v>Եգիպտոս.</v>
      </c>
    </row>
    <row r="8664">
      <c r="A8664" s="5" t="s">
        <v>7809</v>
      </c>
      <c r="B8664" s="5" t="s">
        <v>8061</v>
      </c>
      <c r="C8664" s="5" t="str">
        <f>IFERROR(__xludf.DUMMYFUNCTION("GOOGLETRANSLATE(A8664,""en"",""hy"")"),"Ո՞րն է հելիումի քիմիական նշանը:")</f>
        <v>Ո՞րն է հելիումի քիմիական նշանը:</v>
      </c>
      <c r="D8664" s="6" t="str">
        <f>IFERROR(__xludf.DUMMYFUNCTION("GOOGLETRANSLATE(B8664,""en"",""hy"")"),"Հելիումի քիմիական նշանը Նա է:")</f>
        <v>Հելիումի քիմիական նշանը Նա է:</v>
      </c>
    </row>
    <row r="8665">
      <c r="A8665" s="5" t="s">
        <v>7687</v>
      </c>
      <c r="B8665" s="5" t="s">
        <v>7688</v>
      </c>
      <c r="C8665" s="5" t="str">
        <f>IFERROR(__xludf.DUMMYFUNCTION("GOOGLETRANSLATE(A8665,""en"",""hy"")"),"Ո՞վ է «Մատանիների տիրակալը» ֆիլմի հեղինակը.")</f>
        <v>Ո՞վ է «Մատանիների տիրակալը» ֆիլմի հեղինակը.</v>
      </c>
      <c r="D8665" s="6" t="str">
        <f>IFERROR(__xludf.DUMMYFUNCTION("GOOGLETRANSLATE(B8665,""en"",""hy"")"),"Ջ.Ռ.Ռ. Թոլքինը")</f>
        <v>Ջ.Ռ.Ռ. Թոլքինը</v>
      </c>
    </row>
    <row r="8666">
      <c r="A8666" s="5" t="s">
        <v>9880</v>
      </c>
      <c r="B8666" s="5" t="s">
        <v>9881</v>
      </c>
      <c r="C8666" s="5" t="str">
        <f>IFERROR(__xludf.DUMMYFUNCTION("GOOGLETRANSLATE(A8666,""en"",""hy"")"),"Ո՞րն է Բրազիլիայի ազգային թռչունը:")</f>
        <v>Ո՞րն է Բրազիլիայի ազգային թռչունը:</v>
      </c>
      <c r="D8666" s="6" t="str">
        <f>IFERROR(__xludf.DUMMYFUNCTION("GOOGLETRANSLATE(B8666,""en"",""hy"")"),"Բրազիլիայի ազգային թռչունը կեռնեխն է:")</f>
        <v>Բրազիլիայի ազգային թռչունը կեռնեխն է:</v>
      </c>
    </row>
    <row r="8667">
      <c r="A8667" s="5" t="s">
        <v>7667</v>
      </c>
      <c r="B8667" s="5" t="s">
        <v>8305</v>
      </c>
      <c r="C8667" s="5" t="str">
        <f>IFERROR(__xludf.DUMMYFUNCTION("GOOGLETRANSLATE(A8667,""en"",""hy"")"),"Ո՞րն է Հարավային Աֆրիկայի մայրաքաղաքը:")</f>
        <v>Ո՞րն է Հարավային Աֆրիկայի մայրաքաղաքը:</v>
      </c>
      <c r="D8667" s="6" t="str">
        <f>IFERROR(__xludf.DUMMYFUNCTION("GOOGLETRANSLATE(B8667,""en"",""hy"")"),"Պրետորիա")</f>
        <v>Պրետորիա</v>
      </c>
    </row>
    <row r="8668">
      <c r="A8668" s="5" t="s">
        <v>8142</v>
      </c>
      <c r="B8668" s="5" t="s">
        <v>8143</v>
      </c>
      <c r="C8668" s="5" t="str">
        <f>IFERROR(__xludf.DUMMYFUNCTION("GOOGLETRANSLATE(A8668,""en"",""hy"")"),"Ո՞վ է Ավստրալիայի ներկայիս վարչապետը:")</f>
        <v>Ո՞վ է Ավստրալիայի ներկայիս վարչապետը:</v>
      </c>
      <c r="D8668" s="6" t="str">
        <f>IFERROR(__xludf.DUMMYFUNCTION("GOOGLETRANSLATE(B8668,""en"",""hy"")"),"Սքոթ Մորիսոն.")</f>
        <v>Սքոթ Մորիսոն.</v>
      </c>
    </row>
    <row r="8669">
      <c r="A8669" s="5" t="s">
        <v>7564</v>
      </c>
      <c r="B8669" s="5" t="s">
        <v>9492</v>
      </c>
      <c r="C8669" s="5" t="str">
        <f>IFERROR(__xludf.DUMMYFUNCTION("GOOGLETRANSLATE(A8669,""en"",""hy"")"),"Ո՞րն է աշխարհի ամենամեծ գետը:")</f>
        <v>Ո՞րն է աշխարհի ամենամեծ գետը:</v>
      </c>
      <c r="D8669" s="6" t="str">
        <f>IFERROR(__xludf.DUMMYFUNCTION("GOOGLETRANSLATE(B8669,""en"",""hy"")"),"Ամազոն գետը.")</f>
        <v>Ամազոն գետը.</v>
      </c>
    </row>
    <row r="8670">
      <c r="A8670" s="5" t="s">
        <v>9676</v>
      </c>
      <c r="B8670" s="5" t="s">
        <v>7496</v>
      </c>
      <c r="C8670" s="5" t="str">
        <f>IFERROR(__xludf.DUMMYFUNCTION("GOOGLETRANSLATE(A8670,""en"",""hy"")"),"Ո՞ր մոլորակն է հայտնի որպես «Օղակավոր մոլորակ»:")</f>
        <v>Ո՞ր մոլորակն է հայտնի որպես «Օղակավոր մոլորակ»:</v>
      </c>
      <c r="D8670" s="6" t="str">
        <f>IFERROR(__xludf.DUMMYFUNCTION("GOOGLETRANSLATE(B8670,""en"",""hy"")"),"Սատուրն.")</f>
        <v>Սատուրն.</v>
      </c>
    </row>
    <row r="8671">
      <c r="A8671" s="5" t="s">
        <v>8420</v>
      </c>
      <c r="B8671" s="5" t="s">
        <v>7585</v>
      </c>
      <c r="C8671" s="5" t="str">
        <f>IFERROR(__xludf.DUMMYFUNCTION("GOOGLETRANSLATE(A8671,""en"",""hy"")"),"Ո՞վ է նկարել «Ճիչ» ստեղծագործությունը:")</f>
        <v>Ո՞վ է նկարել «Ճիչ» ստեղծագործությունը:</v>
      </c>
      <c r="D8671" s="6" t="str">
        <f>IFERROR(__xludf.DUMMYFUNCTION("GOOGLETRANSLATE(B8671,""en"",""hy"")"),"Էդվարդ Մունկ.")</f>
        <v>Էդվարդ Մունկ.</v>
      </c>
    </row>
    <row r="8672">
      <c r="A8672" s="5" t="s">
        <v>9430</v>
      </c>
      <c r="B8672" s="5" t="s">
        <v>9722</v>
      </c>
      <c r="C8672" s="5" t="str">
        <f>IFERROR(__xludf.DUMMYFUNCTION("GOOGLETRANSLATE(A8672,""en"",""hy"")"),"Ո՞րն է Ֆրանսիայի ազգային կենդանին:")</f>
        <v>Ո՞րն է Ֆրանսիայի ազգային կենդանին:</v>
      </c>
      <c r="D8672" s="6" t="str">
        <f>IFERROR(__xludf.DUMMYFUNCTION("GOOGLETRANSLATE(B8672,""en"",""hy"")"),"Ֆրանսիայի ազգային կենդանին գալլական աքլորն է։")</f>
        <v>Ֆրանսիայի ազգային կենդանին գալլական աքլորն է։</v>
      </c>
    </row>
    <row r="8673">
      <c r="A8673" s="5" t="s">
        <v>9827</v>
      </c>
      <c r="B8673" s="5" t="s">
        <v>9016</v>
      </c>
      <c r="C8673" s="5" t="str">
        <f>IFERROR(__xludf.DUMMYFUNCTION("GOOGLETRANSLATE(A8673,""en"",""hy"")"),"Ո՞ր քաղաքում է գտնվում Քրիստոսի Քավիչի արձանը:")</f>
        <v>Ո՞ր քաղաքում է գտնվում Քրիստոսի Քավիչի արձանը:</v>
      </c>
      <c r="D8673" s="6" t="str">
        <f>IFERROR(__xludf.DUMMYFUNCTION("GOOGLETRANSLATE(B8673,""en"",""hy"")"),"Ռիո դե Ժանեյրո.")</f>
        <v>Ռիո դե Ժանեյրո.</v>
      </c>
    </row>
    <row r="8674">
      <c r="A8674" s="5" t="s">
        <v>7908</v>
      </c>
      <c r="B8674" s="5" t="s">
        <v>8035</v>
      </c>
      <c r="C8674" s="5" t="str">
        <f>IFERROR(__xludf.DUMMYFUNCTION("GOOGLETRANSLATE(A8674,""en"",""hy"")"),"Ո՞րն է Իտալիայի արժույթը:")</f>
        <v>Ո՞րն է Իտալիայի արժույթը:</v>
      </c>
      <c r="D8674" s="6" t="str">
        <f>IFERROR(__xludf.DUMMYFUNCTION("GOOGLETRANSLATE(B8674,""en"",""hy"")"),"եվրո.")</f>
        <v>եվրո.</v>
      </c>
    </row>
    <row r="8675">
      <c r="A8675" s="5" t="s">
        <v>9882</v>
      </c>
      <c r="B8675" s="5" t="s">
        <v>1016</v>
      </c>
      <c r="C8675" s="5" t="str">
        <f>IFERROR(__xludf.DUMMYFUNCTION("GOOGLETRANSLATE(A8675,""en"",""hy"")"),"Ո՞վ է գրել «Մակբեթ» և «Ռոմեո և Ջուլիետ» պիեսները:")</f>
        <v>Ո՞վ է գրել «Մակբեթ» և «Ռոմեո և Ջուլիետ» պիեսները:</v>
      </c>
      <c r="D8675" s="6" t="str">
        <f>IFERROR(__xludf.DUMMYFUNCTION("GOOGLETRANSLATE(B8675,""en"",""hy"")"),"Ուիլյամ Շեքսպիր.")</f>
        <v>Ուիլյամ Շեքսպիր.</v>
      </c>
    </row>
    <row r="8676">
      <c r="A8676" s="5" t="s">
        <v>9883</v>
      </c>
      <c r="B8676" s="5" t="s">
        <v>9884</v>
      </c>
      <c r="C8676" s="5" t="str">
        <f>IFERROR(__xludf.DUMMYFUNCTION("GOOGLETRANSLATE(A8676,""en"",""hy"")"),"Ո՞րն է Կարիբյան ավազանի ամենամեծ կղզին:")</f>
        <v>Ո՞րն է Կարիբյան ավազանի ամենամեծ կղզին:</v>
      </c>
      <c r="D8676" s="6" t="str">
        <f>IFERROR(__xludf.DUMMYFUNCTION("GOOGLETRANSLATE(B8676,""en"",""hy"")"),"Կուբա")</f>
        <v>Կուբա</v>
      </c>
    </row>
    <row r="8677">
      <c r="A8677" s="5" t="s">
        <v>7477</v>
      </c>
      <c r="B8677" s="5" t="s">
        <v>7784</v>
      </c>
      <c r="C8677" s="5" t="str">
        <f>IFERROR(__xludf.DUMMYFUNCTION("GOOGLETRANSLATE(A8677,""en"",""hy"")"),"Ո՞ր երկիրն է հայտնի որպես «Ծագող արևի երկիր»:")</f>
        <v>Ո՞ր երկիրն է հայտնի որպես «Ծագող արևի երկիր»:</v>
      </c>
      <c r="D8677" s="6" t="str">
        <f>IFERROR(__xludf.DUMMYFUNCTION("GOOGLETRANSLATE(B8677,""en"",""hy"")"),"Ճապոնիա")</f>
        <v>Ճապոնիա</v>
      </c>
    </row>
    <row r="8678">
      <c r="A8678" s="5" t="s">
        <v>7875</v>
      </c>
      <c r="B8678" s="5" t="s">
        <v>7876</v>
      </c>
      <c r="C8678" s="5" t="str">
        <f>IFERROR(__xludf.DUMMYFUNCTION("GOOGLETRANSLATE(A8678,""en"",""hy"")"),"Ո՞րն է ազոտի քիմիական նշանը:")</f>
        <v>Ո՞րն է ազոտի քիմիական նշանը:</v>
      </c>
      <c r="D8678" s="6" t="str">
        <f>IFERROR(__xludf.DUMMYFUNCTION("GOOGLETRANSLATE(B8678,""en"",""hy"")"),"Ազոտի քիմիական նշանն է N.")</f>
        <v>Ազոտի քիմիական նշանն է N.</v>
      </c>
    </row>
    <row r="8679">
      <c r="A8679" s="5" t="s">
        <v>8159</v>
      </c>
      <c r="B8679" s="5" t="s">
        <v>8160</v>
      </c>
      <c r="C8679" s="5" t="str">
        <f>IFERROR(__xludf.DUMMYFUNCTION("GOOGLETRANSLATE(A8679,""en"",""hy"")"),"Ո՞վ է Ռուսաստանի ներկայիս նախագահը.")</f>
        <v>Ո՞վ է Ռուսաստանի ներկայիս նախագահը.</v>
      </c>
      <c r="D8679" s="6" t="str">
        <f>IFERROR(__xludf.DUMMYFUNCTION("GOOGLETRANSLATE(B8679,""en"",""hy"")"),"Վլադիմիր Պուտին.")</f>
        <v>Վլադիմիր Պուտին.</v>
      </c>
    </row>
    <row r="8680">
      <c r="A8680" s="5" t="s">
        <v>9885</v>
      </c>
      <c r="B8680" s="5" t="s">
        <v>9886</v>
      </c>
      <c r="C8680" s="5" t="str">
        <f>IFERROR(__xludf.DUMMYFUNCTION("GOOGLETRANSLATE(A8680,""en"",""hy"")"),"Ո՞րն է Չինաստանի ազգային ծաղիկը:")</f>
        <v>Ո՞րն է Չինաստանի ազգային ծաղիկը:</v>
      </c>
      <c r="D8680" s="6" t="str">
        <f>IFERROR(__xludf.DUMMYFUNCTION("GOOGLETRANSLATE(B8680,""en"",""hy"")"),"Չինաստանի ազգային ծաղիկը քաջվարդն է։")</f>
        <v>Չինաստանի ազգային ծաղիկը քաջվարդն է։</v>
      </c>
    </row>
    <row r="8681">
      <c r="A8681" s="5" t="s">
        <v>7515</v>
      </c>
      <c r="B8681" s="5" t="s">
        <v>7516</v>
      </c>
      <c r="C8681" s="5" t="str">
        <f>IFERROR(__xludf.DUMMYFUNCTION("GOOGLETRANSLATE(A8681,""en"",""hy"")"),"Ո՞րն է Բրազիլիայի մայրաքաղաքը:")</f>
        <v>Ո՞րն է Բրազիլիայի մայրաքաղաքը:</v>
      </c>
      <c r="D8681" s="6" t="str">
        <f>IFERROR(__xludf.DUMMYFUNCTION("GOOGLETRANSLATE(B8681,""en"",""hy"")"),"Բրազիլիա.")</f>
        <v>Բրազիլիա.</v>
      </c>
    </row>
    <row r="8682">
      <c r="A8682" s="5" t="s">
        <v>7447</v>
      </c>
      <c r="B8682" s="5" t="s">
        <v>7448</v>
      </c>
      <c r="C8682" s="5" t="str">
        <f>IFERROR(__xludf.DUMMYFUNCTION("GOOGLETRANSLATE(A8682,""en"",""hy"")"),"Ո՞վ է նկարել Մոնա Լիզան:")</f>
        <v>Ո՞վ է նկարել Մոնա Լիզան:</v>
      </c>
      <c r="D8682" s="6" t="str">
        <f>IFERROR(__xludf.DUMMYFUNCTION("GOOGLETRANSLATE(B8682,""en"",""hy"")"),"Լեոնարդո դա Վինչի.")</f>
        <v>Լեոնարդո դա Վինչի.</v>
      </c>
    </row>
    <row r="8683">
      <c r="A8683" s="5" t="s">
        <v>7455</v>
      </c>
      <c r="B8683" s="5" t="s">
        <v>8453</v>
      </c>
      <c r="C8683" s="5" t="str">
        <f>IFERROR(__xludf.DUMMYFUNCTION("GOOGLETRANSLATE(A8683,""en"",""hy"")"),"Ո՞րն է աշխարհի ամենամեծ օվկիանոսը:")</f>
        <v>Ո՞րն է աշխարհի ամենամեծ օվկիանոսը:</v>
      </c>
      <c r="D8683" s="6" t="str">
        <f>IFERROR(__xludf.DUMMYFUNCTION("GOOGLETRANSLATE(B8683,""en"",""hy"")"),"Աշխարհի ամենամեծ օվկիանոսը Խաղաղ օվկիանոսն է։")</f>
        <v>Աշխարհի ամենամեծ օվկիանոսը Խաղաղ օվկիանոսն է։</v>
      </c>
    </row>
    <row r="8684">
      <c r="A8684" s="5" t="s">
        <v>9625</v>
      </c>
      <c r="B8684" s="5" t="s">
        <v>7512</v>
      </c>
      <c r="C8684" s="5" t="str">
        <f>IFERROR(__xludf.DUMMYFUNCTION("GOOGLETRANSLATE(A8684,""en"",""hy"")"),"Ո՞ր երկրում կգտնեք Գիզայի մեծ բուրգը:")</f>
        <v>Ո՞ր երկրում կգտնեք Գիզայի մեծ բուրգը:</v>
      </c>
      <c r="D8684" s="6" t="str">
        <f>IFERROR(__xludf.DUMMYFUNCTION("GOOGLETRANSLATE(B8684,""en"",""hy"")"),"Եգիպտոս.")</f>
        <v>Եգիպտոս.</v>
      </c>
    </row>
    <row r="8685">
      <c r="A8685" s="5" t="s">
        <v>7454</v>
      </c>
      <c r="B8685" s="5" t="s">
        <v>1016</v>
      </c>
      <c r="C8685" s="5" t="str">
        <f>IFERROR(__xludf.DUMMYFUNCTION("GOOGLETRANSLATE(A8685,""en"",""hy"")"),"Ո՞վ է գրել Ռոմեո և Ջուլիետ պիեսը:")</f>
        <v>Ո՞վ է գրել Ռոմեո և Ջուլիետ պիեսը:</v>
      </c>
      <c r="D8685" s="6" t="str">
        <f>IFERROR(__xludf.DUMMYFUNCTION("GOOGLETRANSLATE(B8685,""en"",""hy"")"),"Ուիլյամ Շեքսպիր.")</f>
        <v>Ուիլյամ Շեքսպիր.</v>
      </c>
    </row>
    <row r="8686">
      <c r="A8686" s="5" t="s">
        <v>7632</v>
      </c>
      <c r="B8686" s="5" t="s">
        <v>7633</v>
      </c>
      <c r="C8686" s="5" t="str">
        <f>IFERROR(__xludf.DUMMYFUNCTION("GOOGLETRANSLATE(A8686,""en"",""hy"")"),"Ո՞րն է մեր արեգակնային համակարգի ամենամեծ մոլորակը:")</f>
        <v>Ո՞րն է մեր արեգակնային համակարգի ամենամեծ մոլորակը:</v>
      </c>
      <c r="D8686" s="6" t="str">
        <f>IFERROR(__xludf.DUMMYFUNCTION("GOOGLETRANSLATE(B8686,""en"",""hy"")"),"Յուպիտեր.")</f>
        <v>Յուպիտեր.</v>
      </c>
    </row>
    <row r="8687">
      <c r="A8687" s="5" t="s">
        <v>9887</v>
      </c>
      <c r="B8687" s="7">
        <v>1939.0</v>
      </c>
      <c r="C8687" s="5" t="str">
        <f>IFERROR(__xludf.DUMMYFUNCTION("GOOGLETRANSLATE(A8687,""en"",""hy"")"),"Ո՞ր տարում սկսվեց Երկրորդ համաշխարհային պատերազմը:")</f>
        <v>Ո՞ր տարում սկսվեց Երկրորդ համաշխարհային պատերազմը:</v>
      </c>
      <c r="D8687" s="6" t="str">
        <f>IFERROR(__xludf.DUMMYFUNCTION("GOOGLETRANSLATE(B8687,""en"",""hy"")"),"1939 թ")</f>
        <v>1939 թ</v>
      </c>
    </row>
    <row r="8688">
      <c r="A8688" s="5" t="s">
        <v>9888</v>
      </c>
      <c r="B8688" s="5" t="s">
        <v>9889</v>
      </c>
      <c r="C8688" s="5" t="str">
        <f>IFERROR(__xludf.DUMMYFUNCTION("GOOGLETRANSLATE(A8688,""en"",""hy"")"),"Ո՞ր երկրում է հորինվել հոկեյ սպորտաձևը:")</f>
        <v>Ո՞ր երկրում է հորինվել հոկեյ սպորտաձևը:</v>
      </c>
      <c r="D8688" s="6" t="str">
        <f>IFERROR(__xludf.DUMMYFUNCTION("GOOGLETRANSLATE(B8688,""en"",""hy"")"),"Հոկեյը հայտնագործվել է Կանադայում:")</f>
        <v>Հոկեյը հայտնագործվել է Կանադայում:</v>
      </c>
    </row>
    <row r="8689">
      <c r="A8689" s="5" t="s">
        <v>7769</v>
      </c>
      <c r="B8689" s="5" t="s">
        <v>7486</v>
      </c>
      <c r="C8689" s="5" t="str">
        <f>IFERROR(__xludf.DUMMYFUNCTION("GOOGLETRANSLATE(A8689,""en"",""hy"")"),"Ո՞վ է Հարրի Փոթերի գրքերի շարքի հեղինակը:")</f>
        <v>Ո՞վ է Հարրի Փոթերի գրքերի շարքի հեղինակը:</v>
      </c>
      <c r="D8689" s="6" t="str">
        <f>IFERROR(__xludf.DUMMYFUNCTION("GOOGLETRANSLATE(B8689,""en"",""hy"")"),"Ջ.Կ. Ռոուլինգ.")</f>
        <v>Ջ.Կ. Ռոուլինգ.</v>
      </c>
    </row>
    <row r="8690">
      <c r="A8690" s="5" t="s">
        <v>9890</v>
      </c>
      <c r="B8690" s="5" t="s">
        <v>9891</v>
      </c>
      <c r="C8690" s="5" t="str">
        <f>IFERROR(__xludf.DUMMYFUNCTION("GOOGLETRANSLATE(A8690,""en"",""hy"")"),"Ո՞ր քաղաքում կգտնեք Թաջ Մահալը:")</f>
        <v>Ո՞ր քաղաքում կգտնեք Թաջ Մահալը:</v>
      </c>
      <c r="D8690" s="6" t="str">
        <f>IFERROR(__xludf.DUMMYFUNCTION("GOOGLETRANSLATE(B8690,""en"",""hy"")"),"Ագրա, Հնդկաստան.")</f>
        <v>Ագրա, Հնդկաստան.</v>
      </c>
    </row>
    <row r="8691">
      <c r="A8691" s="5" t="s">
        <v>7670</v>
      </c>
      <c r="B8691" s="5" t="s">
        <v>7671</v>
      </c>
      <c r="C8691" s="5" t="str">
        <f>IFERROR(__xludf.DUMMYFUNCTION("GOOGLETRANSLATE(A8691,""en"",""hy"")"),"Ո՞րն է աշխարհի ամենաերկար գետը:")</f>
        <v>Ո՞րն է աշխարհի ամենաերկար գետը:</v>
      </c>
      <c r="D8691" s="6" t="str">
        <f>IFERROR(__xludf.DUMMYFUNCTION("GOOGLETRANSLATE(B8691,""en"",""hy"")"),"Նեղոս գետ.")</f>
        <v>Նեղոս գետ.</v>
      </c>
    </row>
    <row r="8692">
      <c r="A8692" s="5" t="s">
        <v>7534</v>
      </c>
      <c r="B8692" s="5" t="s">
        <v>7535</v>
      </c>
      <c r="C8692" s="5" t="str">
        <f>IFERROR(__xludf.DUMMYFUNCTION("GOOGLETRANSLATE(A8692,""en"",""hy"")"),"Ո՞վ է հորինել հեռախոսը:")</f>
        <v>Ո՞վ է հորինել հեռախոսը:</v>
      </c>
      <c r="D8692" s="6" t="str">
        <f>IFERROR(__xludf.DUMMYFUNCTION("GOOGLETRANSLATE(B8692,""en"",""hy"")"),"Ալեքսանդր Գրեհեմ Բել.")</f>
        <v>Ալեքսանդր Գրեհեմ Բել.</v>
      </c>
    </row>
    <row r="8693">
      <c r="A8693" s="5" t="s">
        <v>7872</v>
      </c>
      <c r="B8693" s="5" t="s">
        <v>1307</v>
      </c>
      <c r="C8693" s="5" t="str">
        <f>IFERROR(__xludf.DUMMYFUNCTION("GOOGLETRANSLATE(A8693,""en"",""hy"")"),"Ո՞րն է Իսպանիայի մայրաքաղաքը:")</f>
        <v>Ո՞րն է Իսպանիայի մայրաքաղաքը:</v>
      </c>
      <c r="D8693" s="6" t="str">
        <f>IFERROR(__xludf.DUMMYFUNCTION("GOOGLETRANSLATE(B8693,""en"",""hy"")"),"Մադրիդ.")</f>
        <v>Մադրիդ.</v>
      </c>
    </row>
    <row r="8694">
      <c r="A8694" s="5" t="s">
        <v>7504</v>
      </c>
      <c r="B8694" s="5" t="s">
        <v>7505</v>
      </c>
      <c r="C8694" s="5" t="str">
        <f>IFERROR(__xludf.DUMMYFUNCTION("GOOGLETRANSLATE(A8694,""en"",""hy"")"),"Ո՞վ է Միացյալ Նահանգների ներկայիս նախագահը:")</f>
        <v>Ո՞վ է Միացյալ Նահանգների ներկայիս նախագահը:</v>
      </c>
      <c r="D8694" s="6" t="str">
        <f>IFERROR(__xludf.DUMMYFUNCTION("GOOGLETRANSLATE(B8694,""en"",""hy"")"),"Ջո Բայդեն.")</f>
        <v>Ջո Բայդեն.</v>
      </c>
    </row>
    <row r="8695">
      <c r="A8695" s="5" t="s">
        <v>8247</v>
      </c>
      <c r="B8695" s="5" t="s">
        <v>3535</v>
      </c>
      <c r="C8695" s="5" t="str">
        <f>IFERROR(__xludf.DUMMYFUNCTION("GOOGLETRANSLATE(A8695,""en"",""hy"")"),"Ո՞ր երկրում է գտնվում Մեծ արգելախութը:")</f>
        <v>Ո՞ր երկրում է գտնվում Մեծ արգելախութը:</v>
      </c>
      <c r="D8695" s="6" t="str">
        <f>IFERROR(__xludf.DUMMYFUNCTION("GOOGLETRANSLATE(B8695,""en"",""hy"")"),"Ավստրալիա.")</f>
        <v>Ավստրալիա.</v>
      </c>
    </row>
    <row r="8696">
      <c r="A8696" s="5" t="s">
        <v>7467</v>
      </c>
      <c r="B8696" s="5" t="s">
        <v>7468</v>
      </c>
      <c r="C8696" s="5" t="str">
        <f>IFERROR(__xludf.DUMMYFUNCTION("GOOGLETRANSLATE(A8696,""en"",""hy"")"),"Ո՞րն է Ճապոնիայի արժույթը:")</f>
        <v>Ո՞րն է Ճապոնիայի արժույթը:</v>
      </c>
      <c r="D8696" s="6" t="str">
        <f>IFERROR(__xludf.DUMMYFUNCTION("GOOGLETRANSLATE(B8696,""en"",""hy"")"),"Ճապոնիայի արժույթը ճապոնական իենն է։")</f>
        <v>Ճապոնիայի արժույթը ճապոնական իենն է։</v>
      </c>
    </row>
    <row r="8697">
      <c r="A8697" s="5" t="s">
        <v>7757</v>
      </c>
      <c r="B8697" s="5" t="s">
        <v>7648</v>
      </c>
      <c r="C8697" s="5" t="str">
        <f>IFERROR(__xludf.DUMMYFUNCTION("GOOGLETRANSLATE(A8697,""en"",""hy"")"),"Ո՞վ է նկարել հայտնի «Աստղային գիշեր» արվեստի գործը:")</f>
        <v>Ո՞վ է նկարել հայտնի «Աստղային գիշեր» արվեստի գործը:</v>
      </c>
      <c r="D8697" s="6" t="str">
        <f>IFERROR(__xludf.DUMMYFUNCTION("GOOGLETRANSLATE(B8697,""en"",""hy"")"),"Վինսենթ վան Գոգ.")</f>
        <v>Վինսենթ վան Գոգ.</v>
      </c>
    </row>
    <row r="8698">
      <c r="A8698" s="5" t="s">
        <v>7497</v>
      </c>
      <c r="B8698" s="5" t="s">
        <v>1299</v>
      </c>
      <c r="C8698" s="5" t="str">
        <f>IFERROR(__xludf.DUMMYFUNCTION("GOOGLETRANSLATE(A8698,""en"",""hy"")"),"Ո՞րն է աշխարհի ամենամեծ մայրցամաքը:")</f>
        <v>Ո՞րն է աշխարհի ամենամեծ մայրցամաքը:</v>
      </c>
      <c r="D8698" s="6" t="str">
        <f>IFERROR(__xludf.DUMMYFUNCTION("GOOGLETRANSLATE(B8698,""en"",""hy"")"),"Ասիա.")</f>
        <v>Ասիա.</v>
      </c>
    </row>
    <row r="8699">
      <c r="A8699" s="5" t="s">
        <v>9892</v>
      </c>
      <c r="B8699" s="5" t="s">
        <v>7556</v>
      </c>
      <c r="C8699" s="5" t="str">
        <f>IFERROR(__xludf.DUMMYFUNCTION("GOOGLETRANSLATE(A8699,""en"",""hy"")"),"Ո՞ր գիտնականն է առաջարկել հարաբերականության ընդհանուր տեսությունը:")</f>
        <v>Ո՞ր գիտնականն է առաջարկել հարաբերականության ընդհանուր տեսությունը:</v>
      </c>
      <c r="D8699" s="6" t="str">
        <f>IFERROR(__xludf.DUMMYFUNCTION("GOOGLETRANSLATE(B8699,""en"",""hy"")"),"Albert Einstein.")</f>
        <v>Albert Einstein.</v>
      </c>
    </row>
    <row r="8700">
      <c r="A8700" s="5" t="s">
        <v>7791</v>
      </c>
      <c r="B8700" s="5" t="s">
        <v>8128</v>
      </c>
      <c r="C8700" s="5" t="str">
        <f>IFERROR(__xludf.DUMMYFUNCTION("GOOGLETRANSLATE(A8700,""en"",""hy"")"),"Ո՞րն է Ավստրալիայի ազգային կենդանին:")</f>
        <v>Ո՞րն է Ավստրալիայի ազգային կենդանին:</v>
      </c>
      <c r="D8700" s="6" t="str">
        <f>IFERROR(__xludf.DUMMYFUNCTION("GOOGLETRANSLATE(B8700,""en"",""hy"")"),"Կենգուրու.")</f>
        <v>Կենգուրու.</v>
      </c>
    </row>
    <row r="8701">
      <c r="A8701" s="5" t="s">
        <v>9297</v>
      </c>
      <c r="B8701" s="7">
        <v>1776.0</v>
      </c>
      <c r="C8701" s="5" t="str">
        <f>IFERROR(__xludf.DUMMYFUNCTION("GOOGLETRANSLATE(A8701,""en"",""hy"")"),"Ո՞ր թվականին է Միացյալ Նահանգները հռչակել անկախությունը Մեծ Բրիտանիայից.")</f>
        <v>Ո՞ր թվականին է Միացյալ Նահանգները հռչակել անկախությունը Մեծ Բրիտանիայից.</v>
      </c>
      <c r="D8701" s="6" t="str">
        <f>IFERROR(__xludf.DUMMYFUNCTION("GOOGLETRANSLATE(B8701,""en"",""hy"")"),"1776 թ")</f>
        <v>1776 թ</v>
      </c>
    </row>
    <row r="8702">
      <c r="A8702" s="5" t="s">
        <v>8308</v>
      </c>
      <c r="B8702" s="5" t="s">
        <v>8309</v>
      </c>
      <c r="C8702" s="5" t="str">
        <f>IFERROR(__xludf.DUMMYFUNCTION("GOOGLETRANSLATE(A8702,""en"",""hy"")"),"Ո՞վ է հունական իմաստության աստվածուհին:")</f>
        <v>Ո՞վ է հունական իմաստության աստվածուհին:</v>
      </c>
      <c r="D8702" s="6" t="str">
        <f>IFERROR(__xludf.DUMMYFUNCTION("GOOGLETRANSLATE(B8702,""en"",""hy"")"),"Աթենա.")</f>
        <v>Աթենա.</v>
      </c>
    </row>
    <row r="8703">
      <c r="A8703" s="5" t="s">
        <v>7463</v>
      </c>
      <c r="B8703" s="5" t="s">
        <v>7464</v>
      </c>
      <c r="C8703" s="5" t="str">
        <f>IFERROR(__xludf.DUMMYFUNCTION("GOOGLETRANSLATE(A8703,""en"",""hy"")"),"Ո՞րն է աշխարհի ամենաբարձր լեռը:")</f>
        <v>Ո՞րն է աշխարհի ամենաբարձր լեռը:</v>
      </c>
      <c r="D8703" s="6" t="str">
        <f>IFERROR(__xludf.DUMMYFUNCTION("GOOGLETRANSLATE(B8703,""en"",""hy"")"),"Էվերեստ լեռ.")</f>
        <v>Էվերեստ լեռ.</v>
      </c>
    </row>
    <row r="8704">
      <c r="A8704" s="5" t="s">
        <v>9122</v>
      </c>
      <c r="B8704" s="5" t="s">
        <v>7478</v>
      </c>
      <c r="C8704" s="5" t="str">
        <f>IFERROR(__xludf.DUMMYFUNCTION("GOOGLETRANSLATE(A8704,""en"",""hy"")"),"Ո՞ր երկրում է գտնվում Տոկիոն:")</f>
        <v>Ո՞ր երկրում է գտնվում Տոկիոն:</v>
      </c>
      <c r="D8704" s="6" t="str">
        <f>IFERROR(__xludf.DUMMYFUNCTION("GOOGLETRANSLATE(B8704,""en"",""hy"")"),"Ճապոնիա.")</f>
        <v>Ճապոնիա.</v>
      </c>
    </row>
    <row r="8705">
      <c r="A8705" s="5" t="s">
        <v>9893</v>
      </c>
      <c r="B8705" s="5" t="s">
        <v>1996</v>
      </c>
      <c r="C8705" s="5" t="str">
        <f>IFERROR(__xludf.DUMMYFUNCTION("GOOGLETRANSLATE(A8705,""en"",""hy"")"),"Ո՞վ է Մեծ Բրիտանիայի ներկայիս վարչապետը:")</f>
        <v>Ո՞վ է Մեծ Բրիտանիայի ներկայիս վարչապետը:</v>
      </c>
      <c r="D8705" s="6" t="str">
        <f>IFERROR(__xludf.DUMMYFUNCTION("GOOGLETRANSLATE(B8705,""en"",""hy"")"),"Բորիս Ջոնսոն.")</f>
        <v>Բորիս Ջոնսոն.</v>
      </c>
    </row>
    <row r="8706">
      <c r="A8706" s="5" t="s">
        <v>8025</v>
      </c>
      <c r="B8706" s="5" t="s">
        <v>9894</v>
      </c>
      <c r="C8706" s="5" t="str">
        <f>IFERROR(__xludf.DUMMYFUNCTION("GOOGLETRANSLATE(A8706,""en"",""hy"")"),"Ո՞րն է Չինաստանի պաշտոնական լեզուն:")</f>
        <v>Ո՞րն է Չինաստանի պաշտոնական լեզուն:</v>
      </c>
      <c r="D8706" s="6" t="str">
        <f>IFERROR(__xludf.DUMMYFUNCTION("GOOGLETRANSLATE(B8706,""en"",""hy"")"),"Մանդարին չինարեն")</f>
        <v>Մանդարին չինարեն</v>
      </c>
    </row>
    <row r="8707">
      <c r="A8707" s="5" t="s">
        <v>8105</v>
      </c>
      <c r="B8707" s="5" t="s">
        <v>7635</v>
      </c>
      <c r="C8707" s="5" t="str">
        <f>IFERROR(__xludf.DUMMYFUNCTION("GOOGLETRANSLATE(A8707,""en"",""hy"")"),"Ո՞վ էր առաջին մարդը, ով քայլեց լուսնի վրա:")</f>
        <v>Ո՞վ էր առաջին մարդը, ով քայլեց լուսնի վրա:</v>
      </c>
      <c r="D8707" s="6" t="str">
        <f>IFERROR(__xludf.DUMMYFUNCTION("GOOGLETRANSLATE(B8707,""en"",""hy"")"),"Նիլ Արմսթրոնգ.")</f>
        <v>Նիլ Արմսթրոնգ.</v>
      </c>
    </row>
    <row r="8708">
      <c r="A8708" s="5" t="s">
        <v>7513</v>
      </c>
      <c r="B8708" s="5" t="s">
        <v>7783</v>
      </c>
      <c r="C8708" s="5" t="str">
        <f>IFERROR(__xludf.DUMMYFUNCTION("GOOGLETRANSLATE(A8708,""en"",""hy"")"),"Ո՞րն է աշխարհի ամենամեծ անապատը:")</f>
        <v>Ո՞րն է աշխարհի ամենամեծ անապատը:</v>
      </c>
      <c r="D8708" s="6" t="str">
        <f>IFERROR(__xludf.DUMMYFUNCTION("GOOGLETRANSLATE(B8708,""en"",""hy"")"),"Սահարա անապատ.")</f>
        <v>Սահարա անապատ.</v>
      </c>
    </row>
    <row r="8709">
      <c r="A8709" s="5" t="s">
        <v>7477</v>
      </c>
      <c r="B8709" s="5" t="s">
        <v>7784</v>
      </c>
      <c r="C8709" s="5" t="str">
        <f>IFERROR(__xludf.DUMMYFUNCTION("GOOGLETRANSLATE(A8709,""en"",""hy"")"),"Ո՞ր երկիրն է հայտնի որպես «Ծագող արևի երկիր»:")</f>
        <v>Ո՞ր երկիրն է հայտնի որպես «Ծագող արևի երկիր»:</v>
      </c>
      <c r="D8709" s="6" t="str">
        <f>IFERROR(__xludf.DUMMYFUNCTION("GOOGLETRANSLATE(B8709,""en"",""hy"")"),"Ճապոնիա")</f>
        <v>Ճապոնիա</v>
      </c>
    </row>
    <row r="8710">
      <c r="A8710" s="5" t="s">
        <v>9895</v>
      </c>
      <c r="B8710" s="5" t="s">
        <v>9896</v>
      </c>
      <c r="C8710" s="5" t="str">
        <f>IFERROR(__xludf.DUMMYFUNCTION("GOOGLETRANSLATE(A8710,""en"",""hy"")"),"Ո՞վ է «Shape of You» երգի կատարողը։")</f>
        <v>Ո՞վ է «Shape of You» երգի կատարողը։</v>
      </c>
      <c r="D8710" s="6" t="str">
        <f>IFERROR(__xludf.DUMMYFUNCTION("GOOGLETRANSLATE(B8710,""en"",""hy"")"),"Էդ Շիրան.")</f>
        <v>Էդ Շիրան.</v>
      </c>
    </row>
    <row r="8711">
      <c r="A8711" s="5" t="s">
        <v>7452</v>
      </c>
      <c r="B8711" s="5" t="s">
        <v>7631</v>
      </c>
      <c r="C8711" s="5" t="str">
        <f>IFERROR(__xludf.DUMMYFUNCTION("GOOGLETRANSLATE(A8711,""en"",""hy"")"),"Ո՞րն է ոսկու քիմիական նշանը:")</f>
        <v>Ո՞րն է ոսկու քիմիական նշանը:</v>
      </c>
      <c r="D8711" s="6" t="str">
        <f>IFERROR(__xludf.DUMMYFUNCTION("GOOGLETRANSLATE(B8711,""en"",""hy"")"),"Ավ")</f>
        <v>Ավ</v>
      </c>
    </row>
    <row r="8712">
      <c r="A8712" s="5" t="s">
        <v>7922</v>
      </c>
      <c r="B8712" s="5" t="s">
        <v>7923</v>
      </c>
      <c r="C8712" s="5" t="str">
        <f>IFERROR(__xludf.DUMMYFUNCTION("GOOGLETRANSLATE(A8712,""en"",""hy"")"),"Ո՞րն է Բրազիլիայում խոսվող հիմնական լեզուն:")</f>
        <v>Ո՞րն է Բրազիլիայում խոսվող հիմնական լեզուն:</v>
      </c>
      <c r="D8712" s="6" t="str">
        <f>IFERROR(__xludf.DUMMYFUNCTION("GOOGLETRANSLATE(B8712,""en"",""hy"")"),"Բրազիլիայում խոսվող հիմնական լեզուն պորտուգալերենն է։")</f>
        <v>Բրազիլիայում խոսվող հիմնական լեզուն պորտուգալերենն է։</v>
      </c>
    </row>
    <row r="8713">
      <c r="A8713" s="5" t="s">
        <v>8235</v>
      </c>
      <c r="B8713" s="5" t="s">
        <v>6334</v>
      </c>
      <c r="C8713" s="5" t="str">
        <f>IFERROR(__xludf.DUMMYFUNCTION("GOOGLETRANSLATE(A8713,""en"",""hy"")"),"Ո՞ր երկրում է գտնվում Կոլիզեյը:")</f>
        <v>Ո՞ր երկրում է գտնվում Կոլիզեյը:</v>
      </c>
      <c r="D8713" s="6" t="str">
        <f>IFERROR(__xludf.DUMMYFUNCTION("GOOGLETRANSLATE(B8713,""en"",""hy"")"),"Իտալիա.")</f>
        <v>Իտալիա.</v>
      </c>
    </row>
    <row r="8714">
      <c r="A8714" s="5" t="s">
        <v>7698</v>
      </c>
      <c r="B8714" s="5" t="s">
        <v>7630</v>
      </c>
      <c r="C8714" s="5" t="str">
        <f>IFERROR(__xludf.DUMMYFUNCTION("GOOGLETRANSLATE(A8714,""en"",""hy"")"),"Ո՞վ է գրել «Հպարտություն և նախապաշարմունք» վեպը:")</f>
        <v>Ո՞վ է գրել «Հպարտություն և նախապաշարմունք» վեպը:</v>
      </c>
      <c r="D8714" s="6" t="str">
        <f>IFERROR(__xludf.DUMMYFUNCTION("GOOGLETRANSLATE(B8714,""en"",""hy"")"),"Ջեյն Օսթին.")</f>
        <v>Ջեյն Օսթին.</v>
      </c>
    </row>
    <row r="8715">
      <c r="A8715" s="5" t="s">
        <v>9897</v>
      </c>
      <c r="B8715" s="5" t="s">
        <v>9898</v>
      </c>
      <c r="C8715" s="5" t="str">
        <f>IFERROR(__xludf.DUMMYFUNCTION("GOOGLETRANSLATE(A8715,""en"",""hy"")"),"Ո՞րն է Աֆրիկայի ամենամեծ քաղաքը:")</f>
        <v>Ո՞րն է Աֆրիկայի ամենամեծ քաղաքը:</v>
      </c>
      <c r="D8715" s="6" t="str">
        <f>IFERROR(__xludf.DUMMYFUNCTION("GOOGLETRANSLATE(B8715,""en"",""hy"")"),"Կահիրե")</f>
        <v>Կահիրե</v>
      </c>
    </row>
    <row r="8716">
      <c r="A8716" s="5" t="s">
        <v>9739</v>
      </c>
      <c r="B8716" s="5" t="s">
        <v>7585</v>
      </c>
      <c r="C8716" s="5" t="str">
        <f>IFERROR(__xludf.DUMMYFUNCTION("GOOGLETRANSLATE(A8716,""en"",""hy"")"),"Ո՞վ է նկարիչը հայտնի «Ճիչը» կտավի հետևում։")</f>
        <v>Ո՞վ է նկարիչը հայտնի «Ճիչը» կտավի հետևում։</v>
      </c>
      <c r="D8716" s="6" t="str">
        <f>IFERROR(__xludf.DUMMYFUNCTION("GOOGLETRANSLATE(B8716,""en"",""hy"")"),"Էդվարդ Մունկ.")</f>
        <v>Էդվարդ Մունկ.</v>
      </c>
    </row>
    <row r="8717">
      <c r="A8717" s="5" t="s">
        <v>8963</v>
      </c>
      <c r="B8717" s="5" t="s">
        <v>7501</v>
      </c>
      <c r="C8717" s="5" t="str">
        <f>IFERROR(__xludf.DUMMYFUNCTION("GOOGLETRANSLATE(A8717,""en"",""hy"")"),"Ո՞ր քաղաքում կգտնեք Էյֆելյան աշտարակը:")</f>
        <v>Ո՞ր քաղաքում կգտնեք Էյֆելյան աշտարակը:</v>
      </c>
      <c r="D8717" s="6" t="str">
        <f>IFERROR(__xludf.DUMMYFUNCTION("GOOGLETRANSLATE(B8717,""en"",""hy"")"),"Փարիզ.")</f>
        <v>Փարիզ.</v>
      </c>
    </row>
    <row r="8718">
      <c r="A8718" s="5" t="s">
        <v>7480</v>
      </c>
      <c r="B8718" s="5" t="s">
        <v>8688</v>
      </c>
      <c r="C8718" s="5" t="str">
        <f>IFERROR(__xludf.DUMMYFUNCTION("GOOGLETRANSLATE(A8718,""en"",""hy"")"),"Ո՞րն է Միացյալ Նահանգների ազգային թռչունը:")</f>
        <v>Ո՞րն է Միացյալ Նահանգների ազգային թռչունը:</v>
      </c>
      <c r="D8718" s="6" t="str">
        <f>IFERROR(__xludf.DUMMYFUNCTION("GOOGLETRANSLATE(B8718,""en"",""hy"")"),"Միացյալ Նահանգների ազգային թռչունը ճաղատ արծիվն է:")</f>
        <v>Միացյալ Նահանգների ազգային թռչունը ճաղատ արծիվն է:</v>
      </c>
    </row>
    <row r="8719">
      <c r="A8719" s="5" t="s">
        <v>7779</v>
      </c>
      <c r="B8719" s="5" t="s">
        <v>8590</v>
      </c>
      <c r="C8719" s="5" t="str">
        <f>IFERROR(__xludf.DUMMYFUNCTION("GOOGLETRANSLATE(A8719,""en"",""hy"")"),"Ո՞ր մոլորակն է հայտնի որպես «Կարմիր մոլորակ»:")</f>
        <v>Ո՞ր մոլորակն է հայտնի որպես «Կարմիր մոլորակ»:</v>
      </c>
      <c r="D8719" s="6" t="str">
        <f>IFERROR(__xludf.DUMMYFUNCTION("GOOGLETRANSLATE(B8719,""en"",""hy"")"),"Մարս")</f>
        <v>Մարս</v>
      </c>
    </row>
    <row r="8720">
      <c r="A8720" s="5" t="s">
        <v>8679</v>
      </c>
      <c r="B8720" s="5" t="s">
        <v>7541</v>
      </c>
      <c r="C8720" s="5" t="str">
        <f>IFERROR(__xludf.DUMMYFUNCTION("GOOGLETRANSLATE(A8720,""en"",""hy"")"),"Ո՞վ է «Սպանել ծաղրող թռչունին» գրքի հեղինակը.")</f>
        <v>Ո՞վ է «Սպանել ծաղրող թռչունին» գրքի հեղինակը.</v>
      </c>
      <c r="D8720" s="6" t="str">
        <f>IFERROR(__xludf.DUMMYFUNCTION("GOOGLETRANSLATE(B8720,""en"",""hy"")"),"Հարփեր Լի.")</f>
        <v>Հարփեր Լի.</v>
      </c>
    </row>
    <row r="8721">
      <c r="A8721" s="5" t="s">
        <v>8307</v>
      </c>
      <c r="B8721" s="5" t="s">
        <v>8794</v>
      </c>
      <c r="C8721" s="5" t="str">
        <f>IFERROR(__xludf.DUMMYFUNCTION("GOOGLETRANSLATE(A8721,""en"",""hy"")"),"Ո՞ր երկրում է հորինվել շախմատի խաղը.")</f>
        <v>Ո՞ր երկրում է հորինվել շախմատի խաղը.</v>
      </c>
      <c r="D8721" s="6" t="str">
        <f>IFERROR(__xludf.DUMMYFUNCTION("GOOGLETRANSLATE(B8721,""en"",""hy"")"),"Շախմատի խաղը հորինել են Հնդկաստանում։")</f>
        <v>Շախմատի խաղը հորինել են Հնդկաստանում։</v>
      </c>
    </row>
    <row r="8722">
      <c r="A8722" s="5" t="s">
        <v>7579</v>
      </c>
      <c r="B8722" s="5" t="s">
        <v>7580</v>
      </c>
      <c r="C8722" s="5" t="str">
        <f>IFERROR(__xludf.DUMMYFUNCTION("GOOGLETRANSLATE(A8722,""en"",""hy"")"),"Ո՞րն է Գերմանիայի արժույթը:")</f>
        <v>Ո՞րն է Գերմանիայի արժույթը:</v>
      </c>
      <c r="D8722" s="6" t="str">
        <f>IFERROR(__xludf.DUMMYFUNCTION("GOOGLETRANSLATE(B8722,""en"",""hy"")"),"Գերմանիայի արժույթը եվրոն է։")</f>
        <v>Գերմանիայի արժույթը եվրոն է։</v>
      </c>
    </row>
    <row r="8723">
      <c r="A8723" s="5" t="s">
        <v>8123</v>
      </c>
      <c r="B8723" s="5" t="s">
        <v>7828</v>
      </c>
      <c r="C8723" s="5" t="str">
        <f>IFERROR(__xludf.DUMMYFUNCTION("GOOGLETRANSLATE(A8723,""en"",""hy"")"),"Ո՞վ է նկարել հայտնի «Վերջին ընթրիքը» ստեղծագործությունը:")</f>
        <v>Ո՞վ է նկարել հայտնի «Վերջին ընթրիքը» ստեղծագործությունը:</v>
      </c>
      <c r="D8723" s="6" t="str">
        <f>IFERROR(__xludf.DUMMYFUNCTION("GOOGLETRANSLATE(B8723,""en"",""hy"")"),"Լեոնարդո դա Վինչի")</f>
        <v>Լեոնարդո դա Վինչի</v>
      </c>
    </row>
    <row r="8724">
      <c r="A8724" s="5" t="s">
        <v>7672</v>
      </c>
      <c r="B8724" s="5" t="s">
        <v>9635</v>
      </c>
      <c r="C8724" s="5" t="str">
        <f>IFERROR(__xludf.DUMMYFUNCTION("GOOGLETRANSLATE(A8724,""en"",""hy"")"),"Ո՞րն է Հարավային Ամերիկայի ամենամեծ երկիրը:")</f>
        <v>Ո՞րն է Հարավային Ամերիկայի ամենամեծ երկիրը:</v>
      </c>
      <c r="D8724" s="6" t="str">
        <f>IFERROR(__xludf.DUMMYFUNCTION("GOOGLETRANSLATE(B8724,""en"",""hy"")"),"Բրազիլիա")</f>
        <v>Բրազիլիա</v>
      </c>
    </row>
    <row r="8725">
      <c r="A8725" s="5" t="s">
        <v>9899</v>
      </c>
      <c r="B8725" s="5" t="s">
        <v>9900</v>
      </c>
      <c r="C8725" s="5" t="str">
        <f>IFERROR(__xludf.DUMMYFUNCTION("GOOGLETRANSLATE(A8725,""en"",""hy"")"),"Ո՞ր տարրն ունի H քիմիական նշանը:")</f>
        <v>Ո՞ր տարրն ունի H քիմիական նշանը:</v>
      </c>
      <c r="D8725" s="6" t="str">
        <f>IFERROR(__xludf.DUMMYFUNCTION("GOOGLETRANSLATE(B8725,""en"",""hy"")"),"Ջրածին")</f>
        <v>Ջրածին</v>
      </c>
    </row>
    <row r="8726">
      <c r="A8726" s="5" t="s">
        <v>9901</v>
      </c>
      <c r="B8726" s="5" t="s">
        <v>9902</v>
      </c>
      <c r="C8726" s="5" t="str">
        <f>IFERROR(__xludf.DUMMYFUNCTION("GOOGLETRANSLATE(A8726,""en"",""hy"")"),"Ո՞վ էր լեգենդար Քամելոտի արքան արթուրական բանահյուսության մեջ:")</f>
        <v>Ո՞վ էր լեգենդար Քամելոտի արքան արթուրական բանահյուսության մեջ:</v>
      </c>
      <c r="D8726" s="6" t="str">
        <f>IFERROR(__xludf.DUMMYFUNCTION("GOOGLETRANSLATE(B8726,""en"",""hy"")"),"Արթուր թագավոր.")</f>
        <v>Արթուր թագավոր.</v>
      </c>
    </row>
    <row r="8727">
      <c r="A8727" s="5" t="s">
        <v>9903</v>
      </c>
      <c r="B8727" s="5" t="s">
        <v>8858</v>
      </c>
      <c r="C8727" s="5" t="str">
        <f>IFERROR(__xludf.DUMMYFUNCTION("GOOGLETRANSLATE(A8727,""en"",""hy"")"),"Ո՞րն է աշխարհի ամենամեծ երկիրը դեպի ծով ելք չունեցող երկիրը:")</f>
        <v>Ո՞րն է աշխարհի ամենամեծ երկիրը դեպի ծով ելք չունեցող երկիրը:</v>
      </c>
      <c r="D8727" s="6" t="str">
        <f>IFERROR(__xludf.DUMMYFUNCTION("GOOGLETRANSLATE(B8727,""en"",""hy"")"),"Ղազախստան.")</f>
        <v>Ղազախստան.</v>
      </c>
    </row>
    <row r="8728">
      <c r="A8728" s="5" t="s">
        <v>8161</v>
      </c>
      <c r="B8728" s="5" t="s">
        <v>8612</v>
      </c>
      <c r="C8728" s="5" t="str">
        <f>IFERROR(__xludf.DUMMYFUNCTION("GOOGLETRANSLATE(A8728,""en"",""hy"")"),"Ո՞րն է Ճապոնիայի ազգային ծաղիկը:")</f>
        <v>Ո՞րն է Ճապոնիայի ազգային ծաղիկը:</v>
      </c>
      <c r="D8728" s="6" t="str">
        <f>IFERROR(__xludf.DUMMYFUNCTION("GOOGLETRANSLATE(B8728,""en"",""hy"")"),"Բալի ծաղիկ.")</f>
        <v>Բալի ծաղիկ.</v>
      </c>
    </row>
    <row r="8729">
      <c r="A8729" s="5" t="s">
        <v>8306</v>
      </c>
      <c r="B8729" s="5" t="s">
        <v>7444</v>
      </c>
      <c r="C8729" s="5" t="str">
        <f>IFERROR(__xludf.DUMMYFUNCTION("GOOGLETRANSLATE(A8729,""en"",""hy"")"),"Ո՞վ է «1984» գրքի հեղինակը.")</f>
        <v>Ո՞վ է «1984» գրքի հեղինակը.</v>
      </c>
      <c r="D8729" s="6" t="str">
        <f>IFERROR(__xludf.DUMMYFUNCTION("GOOGLETRANSLATE(B8729,""en"",""hy"")"),"Ջորջ Օրուել.")</f>
        <v>Ջորջ Օրուել.</v>
      </c>
    </row>
    <row r="8730">
      <c r="A8730" s="5" t="s">
        <v>8977</v>
      </c>
      <c r="B8730" s="5" t="s">
        <v>7712</v>
      </c>
      <c r="C8730" s="5" t="str">
        <f>IFERROR(__xludf.DUMMYFUNCTION("GOOGLETRANSLATE(A8730,""en"",""hy"")"),"Ո՞ր քաղաքում կգտնեք Ազատության արձանը:")</f>
        <v>Ո՞ր քաղաքում կգտնեք Ազատության արձանը:</v>
      </c>
      <c r="D8730" s="6" t="str">
        <f>IFERROR(__xludf.DUMMYFUNCTION("GOOGLETRANSLATE(B8730,""en"",""hy"")"),"Նյու Յորք քաղաք.")</f>
        <v>Նյու Յորք քաղաք.</v>
      </c>
    </row>
    <row r="8731">
      <c r="A8731" s="5" t="s">
        <v>8750</v>
      </c>
      <c r="B8731" s="5" t="s">
        <v>3894</v>
      </c>
      <c r="C8731" s="5" t="str">
        <f>IFERROR(__xludf.DUMMYFUNCTION("GOOGLETRANSLATE(A8731,""en"",""hy"")"),"Ո՞րն է Իտալիայի պաշտոնական լեզուն:")</f>
        <v>Ո՞րն է Իտալիայի պաշտոնական լեզուն:</v>
      </c>
      <c r="D8731" s="6" t="str">
        <f>IFERROR(__xludf.DUMMYFUNCTION("GOOGLETRANSLATE(B8731,""en"",""hy"")"),"Իտալական.")</f>
        <v>Իտալական.</v>
      </c>
    </row>
    <row r="8732">
      <c r="A8732" s="5" t="s">
        <v>7473</v>
      </c>
      <c r="B8732" s="5" t="s">
        <v>7474</v>
      </c>
      <c r="C8732" s="5" t="str">
        <f>IFERROR(__xludf.DUMMYFUNCTION("GOOGLETRANSLATE(A8732,""en"",""hy"")"),"Ո՞վ է նկարել Սիքստինյան կապելլայի առաստաղը:")</f>
        <v>Ո՞վ է նկարել Սիքստինյան կապելլայի առաստաղը:</v>
      </c>
      <c r="D8732" s="6" t="str">
        <f>IFERROR(__xludf.DUMMYFUNCTION("GOOGLETRANSLATE(B8732,""en"",""hy"")"),"Միքելանջելո.")</f>
        <v>Միքելանջելո.</v>
      </c>
    </row>
    <row r="8733">
      <c r="A8733" s="5" t="s">
        <v>9904</v>
      </c>
      <c r="B8733" s="5" t="s">
        <v>9905</v>
      </c>
      <c r="C8733" s="5" t="str">
        <f>IFERROR(__xludf.DUMMYFUNCTION("GOOGLETRANSLATE(A8733,""en"",""hy"")"),"Ո՞րն է Եվրոպայի ամենաերկար գետը:")</f>
        <v>Ո՞րն է Եվրոպայի ամենաերկար գետը:</v>
      </c>
      <c r="D8733" s="6" t="str">
        <f>IFERROR(__xludf.DUMMYFUNCTION("GOOGLETRANSLATE(B8733,""en"",""hy"")"),"Եվրոպայի ամենաերկար գետը Վոլգա գետն է։")</f>
        <v>Եվրոպայի ամենաերկար գետը Վոլգա գետն է։</v>
      </c>
    </row>
    <row r="8734">
      <c r="A8734" s="5" t="s">
        <v>9906</v>
      </c>
      <c r="B8734" s="5" t="s">
        <v>7343</v>
      </c>
      <c r="C8734" s="5" t="str">
        <f>IFERROR(__xludf.DUMMYFUNCTION("GOOGLETRANSLATE(A8734,""en"",""hy"")"),"Ո՞ր երկրում է գտնվում Մոսկվա քաղաքը:")</f>
        <v>Ո՞ր երկրում է գտնվում Մոսկվա քաղաքը:</v>
      </c>
      <c r="D8734" s="6" t="str">
        <f>IFERROR(__xludf.DUMMYFUNCTION("GOOGLETRANSLATE(B8734,""en"",""hy"")"),"Ռուսաստան.")</f>
        <v>Ռուսաստան.</v>
      </c>
    </row>
    <row r="8735">
      <c r="A8735" s="5" t="s">
        <v>7528</v>
      </c>
      <c r="B8735" s="5" t="s">
        <v>7529</v>
      </c>
      <c r="C8735" s="5" t="str">
        <f>IFERROR(__xludf.DUMMYFUNCTION("GOOGLETRANSLATE(A8735,""en"",""hy"")"),"Ո՞վ է Գերմանիայի ներկայիս կանցլերը:")</f>
        <v>Ո՞վ է Գերմանիայի ներկայիս կանցլերը:</v>
      </c>
      <c r="D8735" s="6" t="str">
        <f>IFERROR(__xludf.DUMMYFUNCTION("GOOGLETRANSLATE(B8735,""en"",""hy"")"),"Անգելա Մերկել.")</f>
        <v>Անգելա Մերկել.</v>
      </c>
    </row>
    <row r="8736">
      <c r="A8736" s="5" t="s">
        <v>7691</v>
      </c>
      <c r="B8736" s="5" t="s">
        <v>7692</v>
      </c>
      <c r="C8736" s="5" t="str">
        <f>IFERROR(__xludf.DUMMYFUNCTION("GOOGLETRANSLATE(A8736,""en"",""hy"")"),"Ո՞րն է Աֆրիկայի ամենամեծ լիճը:")</f>
        <v>Ո՞րն է Աֆրիկայի ամենամեծ լիճը:</v>
      </c>
      <c r="D8736" s="6" t="str">
        <f>IFERROR(__xludf.DUMMYFUNCTION("GOOGLETRANSLATE(B8736,""en"",""hy"")"),"Վիկտորիա լիճ.")</f>
        <v>Վիկտորիա լիճ.</v>
      </c>
    </row>
    <row r="8737">
      <c r="A8737" s="5" t="s">
        <v>7737</v>
      </c>
      <c r="B8737" s="5" t="s">
        <v>7560</v>
      </c>
      <c r="C8737" s="5" t="str">
        <f>IFERROR(__xludf.DUMMYFUNCTION("GOOGLETRANSLATE(A8737,""en"",""hy"")"),"Ո՞վ է գրել «Շորայի մեջ բռնողը» վեպը:")</f>
        <v>Ո՞վ է գրել «Շորայի մեջ բռնողը» վեպը:</v>
      </c>
      <c r="D8737" s="6" t="str">
        <f>IFERROR(__xludf.DUMMYFUNCTION("GOOGLETRANSLATE(B8737,""en"",""hy"")"),"Ջ.Դ.Սելինջեր.")</f>
        <v>Ջ.Դ.Սելինջեր.</v>
      </c>
    </row>
    <row r="8738">
      <c r="A8738" s="5" t="s">
        <v>9859</v>
      </c>
      <c r="B8738" s="5" t="s">
        <v>395</v>
      </c>
      <c r="C8738" s="5" t="str">
        <f>IFERROR(__xludf.DUMMYFUNCTION("GOOGLETRANSLATE(A8738,""en"",""hy"")"),"Ո՞րն է Ավստրալիայի պաշտոնական լեզուն:")</f>
        <v>Ո՞րն է Ավստրալիայի պաշտոնական լեզուն:</v>
      </c>
      <c r="D8738" s="6" t="str">
        <f>IFERROR(__xludf.DUMMYFUNCTION("GOOGLETRANSLATE(B8738,""en"",""hy"")"),"Անգլերեն.")</f>
        <v>Անգլերեն.</v>
      </c>
    </row>
    <row r="8739">
      <c r="A8739" s="5" t="s">
        <v>9907</v>
      </c>
      <c r="B8739" s="5" t="s">
        <v>6334</v>
      </c>
      <c r="C8739" s="5" t="str">
        <f>IFERROR(__xludf.DUMMYFUNCTION("GOOGLETRANSLATE(A8739,""en"",""hy"")"),"Ո՞ր երկրում է գտնվում Հռոմ քաղաքը:")</f>
        <v>Ո՞ր երկրում է գտնվում Հռոմ քաղաքը:</v>
      </c>
      <c r="D8739" s="6" t="str">
        <f>IFERROR(__xludf.DUMMYFUNCTION("GOOGLETRANSLATE(B8739,""en"",""hy"")"),"Իտալիա.")</f>
        <v>Իտալիա.</v>
      </c>
    </row>
    <row r="8740">
      <c r="A8740" s="5" t="s">
        <v>7566</v>
      </c>
      <c r="B8740" s="5" t="s">
        <v>7934</v>
      </c>
      <c r="C8740" s="5" t="str">
        <f>IFERROR(__xludf.DUMMYFUNCTION("GOOGLETRANSLATE(A8740,""en"",""hy"")"),"Ո՞վ է Կանադայի ներկայիս վարչապետը:")</f>
        <v>Ո՞վ է Կանադայի ներկայիս վարչապետը:</v>
      </c>
      <c r="D8740" s="6" t="str">
        <f>IFERROR(__xludf.DUMMYFUNCTION("GOOGLETRANSLATE(B8740,""en"",""hy"")"),"Ջասթին Թրյուդո.")</f>
        <v>Ջասթին Թրյուդո.</v>
      </c>
    </row>
    <row r="8741">
      <c r="A8741" s="5" t="s">
        <v>7662</v>
      </c>
      <c r="B8741" s="5" t="s">
        <v>7663</v>
      </c>
      <c r="C8741" s="5" t="str">
        <f>IFERROR(__xludf.DUMMYFUNCTION("GOOGLETRANSLATE(A8741,""en"",""hy"")"),"Ո՞րն է Հնդկաստանի արժույթը:")</f>
        <v>Ո՞րն է Հնդկաստանի արժույթը:</v>
      </c>
      <c r="D8741" s="6" t="str">
        <f>IFERROR(__xludf.DUMMYFUNCTION("GOOGLETRANSLATE(B8741,""en"",""hy"")"),"Հնդկաստանի արժույթը հնդկական ռուփին է։")</f>
        <v>Հնդկաստանի արժույթը հնդկական ռուփին է։</v>
      </c>
    </row>
    <row r="8742">
      <c r="A8742" s="5" t="s">
        <v>8246</v>
      </c>
      <c r="B8742" s="5" t="s">
        <v>7648</v>
      </c>
      <c r="C8742" s="5" t="str">
        <f>IFERROR(__xludf.DUMMYFUNCTION("GOOGLETRANSLATE(A8742,""en"",""hy"")"),"Ո՞վ է նկարել հայտնի «Աստղային գիշերը» արվեստի գործը:")</f>
        <v>Ո՞վ է նկարել հայտնի «Աստղային գիշերը» արվեստի գործը:</v>
      </c>
      <c r="D8742" s="6" t="str">
        <f>IFERROR(__xludf.DUMMYFUNCTION("GOOGLETRANSLATE(B8742,""en"",""hy"")"),"Վինսենթ վան Գոգ.")</f>
        <v>Վինսենթ վան Գոգ.</v>
      </c>
    </row>
    <row r="8743">
      <c r="A8743" s="5" t="s">
        <v>8708</v>
      </c>
      <c r="B8743" s="5" t="s">
        <v>7507</v>
      </c>
      <c r="C8743" s="5" t="str">
        <f>IFERROR(__xludf.DUMMYFUNCTION("GOOGLETRANSLATE(A8743,""en"",""hy"")"),"Ո՞րն է աշխարհի ամենափոքր երկիրն ըստ ցամաքային տարածքի:")</f>
        <v>Ո՞րն է աշխարհի ամենափոքր երկիրն ըստ ցամաքային տարածքի:</v>
      </c>
      <c r="D8743" s="6" t="str">
        <f>IFERROR(__xludf.DUMMYFUNCTION("GOOGLETRANSLATE(B8743,""en"",""hy"")"),"Քաղաք Վատիկան.")</f>
        <v>Քաղաք Վատիկան.</v>
      </c>
    </row>
    <row r="8744">
      <c r="A8744" s="5" t="s">
        <v>8280</v>
      </c>
      <c r="B8744" s="5" t="s">
        <v>8281</v>
      </c>
      <c r="C8744" s="5" t="str">
        <f>IFERROR(__xludf.DUMMYFUNCTION("GOOGLETRANSLATE(A8744,""en"",""hy"")"),"Ո՞րն է Ֆրանսիայի պաշտոնական լեզուն:")</f>
        <v>Ո՞րն է Ֆրանսիայի պաշտոնական լեզուն:</v>
      </c>
      <c r="D8744" s="6" t="str">
        <f>IFERROR(__xludf.DUMMYFUNCTION("GOOGLETRANSLATE(B8744,""en"",""hy"")"),"Ֆրանսիայի պաշտոնական լեզուն ֆրանսերենն է։")</f>
        <v>Ֆրանսիայի պաշտոնական լեզուն ֆրանսերենն է։</v>
      </c>
    </row>
    <row r="8745">
      <c r="A8745" s="5" t="s">
        <v>7521</v>
      </c>
      <c r="B8745" s="5" t="s">
        <v>1016</v>
      </c>
      <c r="C8745" s="5" t="str">
        <f>IFERROR(__xludf.DUMMYFUNCTION("GOOGLETRANSLATE(A8745,""en"",""hy"")"),"Ո՞վ է գրել Համլետ պիեսը:")</f>
        <v>Ո՞վ է գրել Համլետ պիեսը:</v>
      </c>
      <c r="D8745" s="6" t="str">
        <f>IFERROR(__xludf.DUMMYFUNCTION("GOOGLETRANSLATE(B8745,""en"",""hy"")"),"Ուիլյամ Շեքսպիր.")</f>
        <v>Ուիլյամ Շեքսպիր.</v>
      </c>
    </row>
    <row r="8746">
      <c r="A8746" s="5" t="s">
        <v>8994</v>
      </c>
      <c r="B8746" s="5" t="s">
        <v>7617</v>
      </c>
      <c r="C8746" s="5" t="str">
        <f>IFERROR(__xludf.DUMMYFUNCTION("GOOGLETRANSLATE(A8746,""en"",""hy"")"),"Ո՞ր քաղաքում կգտնեք Ակրոպոլիսը:")</f>
        <v>Ո՞ր քաղաքում կգտնեք Ակրոպոլիսը:</v>
      </c>
      <c r="D8746" s="6" t="str">
        <f>IFERROR(__xludf.DUMMYFUNCTION("GOOGLETRANSLATE(B8746,""en"",""hy"")"),"Աթենք.")</f>
        <v>Աթենք.</v>
      </c>
    </row>
    <row r="8747">
      <c r="A8747" s="5" t="s">
        <v>7817</v>
      </c>
      <c r="B8747" s="5" t="s">
        <v>8680</v>
      </c>
      <c r="C8747" s="5" t="str">
        <f>IFERROR(__xludf.DUMMYFUNCTION("GOOGLETRANSLATE(A8747,""en"",""hy"")"),"Ո՞րն է Կանադայի ազգային կենդանին:")</f>
        <v>Ո՞րն է Կանադայի ազգային կենդանին:</v>
      </c>
      <c r="D8747" s="6" t="str">
        <f>IFERROR(__xludf.DUMMYFUNCTION("GOOGLETRANSLATE(B8747,""en"",""hy"")"),"Բիվերը.")</f>
        <v>Բիվերը.</v>
      </c>
    </row>
    <row r="8748">
      <c r="A8748" s="5" t="s">
        <v>8289</v>
      </c>
      <c r="B8748" s="5" t="s">
        <v>7906</v>
      </c>
      <c r="C8748" s="5" t="str">
        <f>IFERROR(__xludf.DUMMYFUNCTION("GOOGLETRANSLATE(A8748,""en"",""hy"")"),"Ո՞վ է «Նարնիայի քրոնիկները» գրքի հեղինակը։")</f>
        <v>Ո՞վ է «Նարնիայի քրոնիկները» գրքի հեղինակը։</v>
      </c>
      <c r="D8748" s="6" t="str">
        <f>IFERROR(__xludf.DUMMYFUNCTION("GOOGLETRANSLATE(B8748,""en"",""hy"")"),"C.S. Լյուիս.")</f>
        <v>C.S. Լյուիս.</v>
      </c>
    </row>
    <row r="8749">
      <c r="A8749" s="5" t="s">
        <v>7960</v>
      </c>
      <c r="B8749" s="5" t="s">
        <v>7961</v>
      </c>
      <c r="C8749" s="5" t="str">
        <f>IFERROR(__xludf.DUMMYFUNCTION("GOOGLETRANSLATE(A8749,""en"",""hy"")"),"Ո՞ր տարում է խորտակվել Տիտանիկը:")</f>
        <v>Ո՞ր տարում է խորտակվել Տիտանիկը:</v>
      </c>
      <c r="D8749" s="6" t="str">
        <f>IFERROR(__xludf.DUMMYFUNCTION("GOOGLETRANSLATE(B8749,""en"",""hy"")"),"Տիտանիկը խորտակվել է 1912 թվականին։")</f>
        <v>Տիտանիկը խորտակվել է 1912 թվականին։</v>
      </c>
    </row>
    <row r="8750">
      <c r="A8750" s="5" t="s">
        <v>9908</v>
      </c>
      <c r="B8750" s="5" t="s">
        <v>7733</v>
      </c>
      <c r="C8750" s="5" t="str">
        <f>IFERROR(__xludf.DUMMYFUNCTION("GOOGLETRANSLATE(A8750,""en"",""hy"")"),"Ո՞րն է ջրի ծավալով աշխարհի ամենամեծ ջրվեժը:")</f>
        <v>Ո՞րն է ջրի ծավալով աշխարհի ամենամեծ ջրվեժը:</v>
      </c>
      <c r="D8750" s="6" t="str">
        <f>IFERROR(__xludf.DUMMYFUNCTION("GOOGLETRANSLATE(B8750,""en"",""hy"")"),"Angel Falls.")</f>
        <v>Angel Falls.</v>
      </c>
    </row>
    <row r="8751">
      <c r="A8751" s="5" t="s">
        <v>7601</v>
      </c>
      <c r="B8751" s="5" t="s">
        <v>3966</v>
      </c>
      <c r="C8751" s="5" t="str">
        <f>IFERROR(__xludf.DUMMYFUNCTION("GOOGLETRANSLATE(A8751,""en"",""hy"")"),"Ո՞վ է Ֆրանսիայի ներկայիս նախագահը.")</f>
        <v>Ո՞վ է Ֆրանսիայի ներկայիս նախագահը.</v>
      </c>
      <c r="D8751" s="6" t="str">
        <f>IFERROR(__xludf.DUMMYFUNCTION("GOOGLETRANSLATE(B8751,""en"",""hy"")"),"Էմանուել Մակրոն.")</f>
        <v>Էմանուել Մակրոն.</v>
      </c>
    </row>
    <row r="8752">
      <c r="A8752" s="5" t="s">
        <v>7689</v>
      </c>
      <c r="B8752" s="5" t="s">
        <v>9169</v>
      </c>
      <c r="C8752" s="5" t="str">
        <f>IFERROR(__xludf.DUMMYFUNCTION("GOOGLETRANSLATE(A8752,""en"",""hy"")"),"Ո՞րն է Ռուսաստանի արժույթը:")</f>
        <v>Ո՞րն է Ռուսաստանի արժույթը:</v>
      </c>
      <c r="D8752" s="6" t="str">
        <f>IFERROR(__xludf.DUMMYFUNCTION("GOOGLETRANSLATE(B8752,""en"",""hy"")"),"Ռուսաստանի արժույթը ռուսական ռուբլին է։")</f>
        <v>Ռուսաստանի արժույթը ռուսական ռուբլին է։</v>
      </c>
    </row>
    <row r="8753">
      <c r="A8753" s="5" t="s">
        <v>7823</v>
      </c>
      <c r="B8753" s="5" t="s">
        <v>7834</v>
      </c>
      <c r="C8753" s="5" t="str">
        <f>IFERROR(__xludf.DUMMYFUNCTION("GOOGLETRANSLATE(A8753,""en"",""hy"")"),"Ո՞ր երկիրն է հայտնի որպես «կրակի և սառույցի երկիր»:")</f>
        <v>Ո՞ր երկիրն է հայտնի որպես «կրակի և սառույցի երկիր»:</v>
      </c>
      <c r="D8753" s="6" t="str">
        <f>IFERROR(__xludf.DUMMYFUNCTION("GOOGLETRANSLATE(B8753,""en"",""hy"")"),"Իսլանդիա")</f>
        <v>Իսլանդիա</v>
      </c>
    </row>
    <row r="8754">
      <c r="A8754" s="5" t="s">
        <v>9909</v>
      </c>
      <c r="B8754" s="5" t="s">
        <v>7710</v>
      </c>
      <c r="C8754" s="5" t="str">
        <f>IFERROR(__xludf.DUMMYFUNCTION("GOOGLETRANSLATE(A8754,""en"",""hy"")"),"Ո՞վ է նկարիչը հայտնի «Գերնիկա» կտավի հետևում:")</f>
        <v>Ո՞վ է նկարիչը հայտնի «Գերնիկա» կտավի հետևում:</v>
      </c>
      <c r="D8754" s="6" t="str">
        <f>IFERROR(__xludf.DUMMYFUNCTION("GOOGLETRANSLATE(B8754,""en"",""hy"")"),"Պաբլո Պիկասո.")</f>
        <v>Պաբլո Պիկասո.</v>
      </c>
    </row>
    <row r="8755">
      <c r="A8755" s="5" t="s">
        <v>9910</v>
      </c>
      <c r="B8755" s="5" t="s">
        <v>7598</v>
      </c>
      <c r="C8755" s="5" t="str">
        <f>IFERROR(__xludf.DUMMYFUNCTION("GOOGLETRANSLATE(A8755,""en"",""hy"")"),"Ո՞ր քաղաքում կգտնեք Սիդնեյի օպերային թատրոնը:")</f>
        <v>Ո՞ր քաղաքում կգտնեք Սիդնեյի օպերային թատրոնը:</v>
      </c>
      <c r="D8755" s="6" t="str">
        <f>IFERROR(__xludf.DUMMYFUNCTION("GOOGLETRANSLATE(B8755,""en"",""hy"")"),"Սիդնեյ.")</f>
        <v>Սիդնեյ.</v>
      </c>
    </row>
    <row r="8756">
      <c r="A8756" s="5" t="s">
        <v>7530</v>
      </c>
      <c r="B8756" s="5" t="s">
        <v>7531</v>
      </c>
      <c r="C8756" s="5" t="str">
        <f>IFERROR(__xludf.DUMMYFUNCTION("GOOGLETRANSLATE(A8756,""en"",""hy"")"),"Ո՞րն է Հնդկաստանի ազգային թռչունը:")</f>
        <v>Ո՞րն է Հնդկաստանի ազգային թռչունը:</v>
      </c>
      <c r="D8756" s="6" t="str">
        <f>IFERROR(__xludf.DUMMYFUNCTION("GOOGLETRANSLATE(B8756,""en"",""hy"")"),"Հնդկաստանի ազգային թռչունը սիրամարգն է։")</f>
        <v>Հնդկաստանի ազգային թռչունը սիրամարգն է։</v>
      </c>
    </row>
    <row r="8757">
      <c r="A8757" s="5" t="s">
        <v>7773</v>
      </c>
      <c r="B8757" s="5" t="s">
        <v>8253</v>
      </c>
      <c r="C8757" s="5" t="str">
        <f>IFERROR(__xludf.DUMMYFUNCTION("GOOGLETRANSLATE(A8757,""en"",""hy"")"),"Ո՞վ է հայտնաբերել պենիցիլինը:")</f>
        <v>Ո՞վ է հայտնաբերել պենիցիլինը:</v>
      </c>
      <c r="D8757" s="6" t="str">
        <f>IFERROR(__xludf.DUMMYFUNCTION("GOOGLETRANSLATE(B8757,""en"",""hy"")"),"Ալեքսանդր Ֆլեմինգ.")</f>
        <v>Ալեքսանդր Ֆլեմինգ.</v>
      </c>
    </row>
    <row r="8758">
      <c r="A8758" s="5" t="s">
        <v>9647</v>
      </c>
      <c r="B8758" s="5" t="s">
        <v>9911</v>
      </c>
      <c r="C8758" s="5" t="str">
        <f>IFERROR(__xludf.DUMMYFUNCTION("GOOGLETRANSLATE(A8758,""en"",""hy"")"),"Ո՞րն է Հարավային Ամերիկայի ամենամեծ քաղաքը:")</f>
        <v>Ո՞րն է Հարավային Ամերիկայի ամենամեծ քաղաքը:</v>
      </c>
      <c r="D8758" s="6" t="str">
        <f>IFERROR(__xludf.DUMMYFUNCTION("GOOGLETRANSLATE(B8758,""en"",""hy"")"),"Սան Պաուլո, Բրազիլիա.")</f>
        <v>Սան Պաուլո, Բրազիլիա.</v>
      </c>
    </row>
    <row r="8759">
      <c r="A8759" s="5" t="s">
        <v>8136</v>
      </c>
      <c r="B8759" s="5" t="s">
        <v>9061</v>
      </c>
      <c r="C8759" s="5" t="str">
        <f>IFERROR(__xludf.DUMMYFUNCTION("GOOGLETRANSLATE(A8759,""en"",""hy"")"),"Ո՞րն է Ֆրանսիայի ազգային ծաղիկը:")</f>
        <v>Ո՞րն է Ֆրանսիայի ազգային ծաղիկը:</v>
      </c>
      <c r="D8759" s="6" t="str">
        <f>IFERROR(__xludf.DUMMYFUNCTION("GOOGLETRANSLATE(B8759,""en"",""hy"")"),"Ֆրանսիայի ազգային ծաղիկը Շուշանն է։")</f>
        <v>Ֆրանսիայի ազգային ծաղիկը Շուշանն է։</v>
      </c>
    </row>
    <row r="8760">
      <c r="A8760" s="5" t="s">
        <v>9912</v>
      </c>
      <c r="B8760" s="5" t="s">
        <v>9913</v>
      </c>
      <c r="C8760" s="5" t="str">
        <f>IFERROR(__xludf.DUMMYFUNCTION("GOOGLETRANSLATE(A8760,""en"",""hy"")"),"Ո՞վ է Ճապոնիայի ներկայիս կայսրը:")</f>
        <v>Ո՞վ է Ճապոնիայի ներկայիս կայսրը:</v>
      </c>
      <c r="D8760" s="6" t="str">
        <f>IFERROR(__xludf.DUMMYFUNCTION("GOOGLETRANSLATE(B8760,""en"",""hy"")"),"Ճապոնիայի ներկայիս կայսրը կայսր Նարուհիտոն է:")</f>
        <v>Ճապոնիայի ներկայիս կայսրը կայսր Նարուհիտոն է:</v>
      </c>
    </row>
    <row r="8761">
      <c r="A8761" s="5" t="s">
        <v>9914</v>
      </c>
      <c r="B8761" s="5" t="s">
        <v>9774</v>
      </c>
      <c r="C8761" s="5" t="str">
        <f>IFERROR(__xludf.DUMMYFUNCTION("GOOGLETRANSLATE(A8761,""en"",""hy"")"),"Ո՞ր երկրում է հորինվել բասկետբոլի խաղը:")</f>
        <v>Ո՞ր երկրում է հորինվել բասկետբոլի խաղը:</v>
      </c>
      <c r="D8761" s="6" t="str">
        <f>IFERROR(__xludf.DUMMYFUNCTION("GOOGLETRANSLATE(B8761,""en"",""hy"")"),"Բասկետբոլի խաղը հորինվել է ԱՄՆ-ում։")</f>
        <v>Բասկետբոլի խաղը հորինվել է ԱՄՆ-ում։</v>
      </c>
    </row>
    <row r="8762">
      <c r="A8762" s="5" t="s">
        <v>7561</v>
      </c>
      <c r="B8762" s="5" t="s">
        <v>7669</v>
      </c>
      <c r="C8762" s="5" t="str">
        <f>IFERROR(__xludf.DUMMYFUNCTION("GOOGLETRANSLATE(A8762,""en"",""hy"")"),"Ո՞րն է Մեքսիկայի արժույթը:")</f>
        <v>Ո՞րն է Մեքսիկայի արժույթը:</v>
      </c>
      <c r="D8762" s="6" t="str">
        <f>IFERROR(__xludf.DUMMYFUNCTION("GOOGLETRANSLATE(B8762,""en"",""hy"")"),"Մեքսիկայի արժույթը մեքսիկական պեսոն է։")</f>
        <v>Մեքսիկայի արժույթը մեքսիկական պեսոն է։</v>
      </c>
    </row>
    <row r="8763">
      <c r="A8763" s="5" t="s">
        <v>7744</v>
      </c>
      <c r="B8763" s="5" t="s">
        <v>8043</v>
      </c>
      <c r="C8763" s="5" t="str">
        <f>IFERROR(__xludf.DUMMYFUNCTION("GOOGLETRANSLATE(A8763,""en"",""hy"")"),"Ո՞վ է նկարել հայտնի «Հիշողության համառությունը» ստեղծագործությունը:")</f>
        <v>Ո՞վ է նկարել հայտնի «Հիշողության համառությունը» ստեղծագործությունը:</v>
      </c>
      <c r="D8763" s="6" t="str">
        <f>IFERROR(__xludf.DUMMYFUNCTION("GOOGLETRANSLATE(B8763,""en"",""hy"")"),"Սալվադոր Դալի.")</f>
        <v>Սալվադոր Դալի.</v>
      </c>
    </row>
    <row r="8764">
      <c r="A8764" s="5" t="s">
        <v>8938</v>
      </c>
      <c r="B8764" s="5" t="s">
        <v>7747</v>
      </c>
      <c r="C8764" s="5" t="str">
        <f>IFERROR(__xludf.DUMMYFUNCTION("GOOGLETRANSLATE(A8764,""en"",""hy"")"),"Ո՞րն է Աֆրիկայի ամենամեծ երկիրը ցամաքային տարածքով:")</f>
        <v>Ո՞րն է Աֆրիկայի ամենամեծ երկիրը ցամաքային տարածքով:</v>
      </c>
      <c r="D8764" s="6" t="str">
        <f>IFERROR(__xludf.DUMMYFUNCTION("GOOGLETRANSLATE(B8764,""en"",""hy"")"),"Ալժիր.")</f>
        <v>Ալժիր.</v>
      </c>
    </row>
    <row r="8765">
      <c r="A8765" s="5" t="s">
        <v>9915</v>
      </c>
      <c r="B8765" s="5" t="s">
        <v>9858</v>
      </c>
      <c r="C8765" s="5" t="str">
        <f>IFERROR(__xludf.DUMMYFUNCTION("GOOGLETRANSLATE(A8765,""en"",""hy"")"),"Ո՞ր տարրի ատոմային թիվն է 79:")</f>
        <v>Ո՞ր տարրի ատոմային թիվն է 79:</v>
      </c>
      <c r="D8765" s="6" t="str">
        <f>IFERROR(__xludf.DUMMYFUNCTION("GOOGLETRANSLATE(B8765,""en"",""hy"")"),"Ոսկի.")</f>
        <v>Ոսկի.</v>
      </c>
    </row>
    <row r="8766">
      <c r="A8766" s="5" t="s">
        <v>9916</v>
      </c>
      <c r="B8766" s="5" t="s">
        <v>9917</v>
      </c>
      <c r="C8766" s="5" t="str">
        <f>IFERROR(__xludf.DUMMYFUNCTION("GOOGLETRANSLATE(A8766,""en"",""hy"")"),"Ո՞վ էր Հին Եգիպտոսի լեգենդար տիրակալը:")</f>
        <v>Ո՞վ էր Հին Եգիպտոսի լեգենդար տիրակալը:</v>
      </c>
      <c r="D8766" s="6" t="str">
        <f>IFERROR(__xludf.DUMMYFUNCTION("GOOGLETRANSLATE(B8766,""en"",""hy"")"),"Կլեոպատրա.")</f>
        <v>Կլեոպատրա.</v>
      </c>
    </row>
    <row r="8767">
      <c r="A8767" s="5" t="s">
        <v>9918</v>
      </c>
      <c r="B8767" s="5" t="s">
        <v>8173</v>
      </c>
      <c r="C8767" s="5" t="str">
        <f>IFERROR(__xludf.DUMMYFUNCTION("GOOGLETRANSLATE(A8767,""en"",""hy"")"),"Ո՞րն է աշխարհի ամենաբարձր ջրվեժը:")</f>
        <v>Ո՞րն է աշխարհի ամենաբարձր ջրվեժը:</v>
      </c>
      <c r="D8767" s="6" t="str">
        <f>IFERROR(__xludf.DUMMYFUNCTION("GOOGLETRANSLATE(B8767,""en"",""hy"")"),"Angel Falls")</f>
        <v>Angel Falls</v>
      </c>
    </row>
    <row r="8768">
      <c r="A8768" s="5" t="s">
        <v>8198</v>
      </c>
      <c r="B8768" s="5" t="s">
        <v>8199</v>
      </c>
      <c r="C8768" s="5" t="str">
        <f>IFERROR(__xludf.DUMMYFUNCTION("GOOGLETRANSLATE(A8768,""en"",""hy"")"),"Ո՞րն է Չինաստանի ազգային կենդանին:")</f>
        <v>Ո՞րն է Չինաստանի ազգային կենդանին:</v>
      </c>
      <c r="D8768" s="6" t="str">
        <f>IFERROR(__xludf.DUMMYFUNCTION("GOOGLETRANSLATE(B8768,""en"",""hy"")"),"Չինաստանի ազգային կենդանին հսկա պանդան է։")</f>
        <v>Չինաստանի ազգային կենդանին հսկա պանդան է։</v>
      </c>
    </row>
    <row r="8769">
      <c r="A8769" s="5" t="s">
        <v>8370</v>
      </c>
      <c r="B8769" s="5" t="s">
        <v>7867</v>
      </c>
      <c r="C8769" s="5" t="str">
        <f>IFERROR(__xludf.DUMMYFUNCTION("GOOGLETRANSLATE(A8769,""en"",""hy"")"),"Ո՞վ է «Մատանիների տիրակալը» գրքի հեղինակը.")</f>
        <v>Ո՞վ է «Մատանիների տիրակալը» գրքի հեղինակը.</v>
      </c>
      <c r="D8769" s="6" t="str">
        <f>IFERROR(__xludf.DUMMYFUNCTION("GOOGLETRANSLATE(B8769,""en"",""hy"")"),"Ջ.Ռ.Ռ. Թոլքինը։")</f>
        <v>Ջ.Ռ.Ռ. Թոլքինը։</v>
      </c>
    </row>
    <row r="8770">
      <c r="A8770" s="5" t="s">
        <v>9919</v>
      </c>
      <c r="B8770" s="5" t="s">
        <v>7545</v>
      </c>
      <c r="C8770" s="5" t="str">
        <f>IFERROR(__xludf.DUMMYFUNCTION("GOOGLETRANSLATE(A8770,""en"",""hy"")"),"Ո՞ր քաղաքում կգտնեք Վատիկան քաղաքը:")</f>
        <v>Ո՞ր քաղաքում կգտնեք Վատիկան քաղաքը:</v>
      </c>
      <c r="D8770" s="6" t="str">
        <f>IFERROR(__xludf.DUMMYFUNCTION("GOOGLETRANSLATE(B8770,""en"",""hy"")"),"Հռոմ.")</f>
        <v>Հռոմ.</v>
      </c>
    </row>
    <row r="8771">
      <c r="A8771" s="5" t="s">
        <v>8270</v>
      </c>
      <c r="B8771" s="5" t="s">
        <v>4928</v>
      </c>
      <c r="C8771" s="5" t="str">
        <f>IFERROR(__xludf.DUMMYFUNCTION("GOOGLETRANSLATE(A8771,""en"",""hy"")"),"Ո՞րն է Գերմանիայի պաշտոնական լեզուն:")</f>
        <v>Ո՞րն է Գերմանիայի պաշտոնական լեզուն:</v>
      </c>
      <c r="D8771" s="6" t="str">
        <f>IFERROR(__xludf.DUMMYFUNCTION("GOOGLETRANSLATE(B8771,""en"",""hy"")"),"գերմաներեն.")</f>
        <v>գերմաներեն.</v>
      </c>
    </row>
    <row r="8772">
      <c r="A8772" s="5" t="s">
        <v>8318</v>
      </c>
      <c r="B8772" s="5" t="s">
        <v>7549</v>
      </c>
      <c r="C8772" s="5" t="str">
        <f>IFERROR(__xludf.DUMMYFUNCTION("GOOGLETRANSLATE(A8772,""en"",""hy"")"),"Ո՞վ է նկարել հայտնի «Մարգարտյա ականջօղով աղջիկը» ստեղծագործությունը:")</f>
        <v>Ո՞վ է նկարել հայտնի «Մարգարտյա ականջօղով աղջիկը» ստեղծագործությունը:</v>
      </c>
      <c r="D8772" s="6" t="str">
        <f>IFERROR(__xludf.DUMMYFUNCTION("GOOGLETRANSLATE(B8772,""en"",""hy"")"),"Յոհաննես Վերմեեր.")</f>
        <v>Յոհաննես Վերմեեր.</v>
      </c>
    </row>
    <row r="8773">
      <c r="A8773" s="5" t="s">
        <v>7526</v>
      </c>
      <c r="B8773" s="5" t="s">
        <v>7527</v>
      </c>
      <c r="C8773" s="5" t="str">
        <f>IFERROR(__xludf.DUMMYFUNCTION("GOOGLETRANSLATE(A8773,""en"",""hy"")"),"Ո՞րն է աշխարհի ամենամեծ կղզին:")</f>
        <v>Ո՞րն է աշխարհի ամենամեծ կղզին:</v>
      </c>
      <c r="D8773" s="6" t="str">
        <f>IFERROR(__xludf.DUMMYFUNCTION("GOOGLETRANSLATE(B8773,""en"",""hy"")"),"Գրենլանդիա.")</f>
        <v>Գրենլանդիա.</v>
      </c>
    </row>
    <row r="8774">
      <c r="A8774" s="5" t="s">
        <v>9920</v>
      </c>
      <c r="B8774" s="5" t="s">
        <v>7972</v>
      </c>
      <c r="C8774" s="5" t="str">
        <f>IFERROR(__xludf.DUMMYFUNCTION("GOOGLETRANSLATE(A8774,""en"",""hy"")"),"Ո՞ր երկրում է գտնվում Փարիզ քաղաքը:")</f>
        <v>Ո՞ր երկրում է գտնվում Փարիզ քաղաքը:</v>
      </c>
      <c r="D8774" s="6" t="str">
        <f>IFERROR(__xludf.DUMMYFUNCTION("GOOGLETRANSLATE(B8774,""en"",""hy"")"),"Ֆրանսիա.")</f>
        <v>Ֆրանսիա.</v>
      </c>
    </row>
    <row r="8775">
      <c r="A8775" s="5" t="s">
        <v>8134</v>
      </c>
      <c r="B8775" s="5" t="s">
        <v>8711</v>
      </c>
      <c r="C8775" s="5" t="str">
        <f>IFERROR(__xludf.DUMMYFUNCTION("GOOGLETRANSLATE(A8775,""en"",""hy"")"),"Ո՞վ է Չինաստանի ներկայիս նախագահը.")</f>
        <v>Ո՞վ է Չինաստանի ներկայիս նախագահը.</v>
      </c>
      <c r="D8775" s="6" t="str">
        <f>IFERROR(__xludf.DUMMYFUNCTION("GOOGLETRANSLATE(B8775,""en"",""hy"")"),"Սի Ցզինպին.")</f>
        <v>Սի Ցզինպին.</v>
      </c>
    </row>
    <row r="8776">
      <c r="A8776" s="5" t="s">
        <v>7706</v>
      </c>
      <c r="B8776" s="5" t="s">
        <v>7707</v>
      </c>
      <c r="C8776" s="5" t="str">
        <f>IFERROR(__xludf.DUMMYFUNCTION("GOOGLETRANSLATE(A8776,""en"",""hy"")"),"Ո՞րն է Միացյալ Թագավորության արժույթը:")</f>
        <v>Ո՞րն է Միացյալ Թագավորության արժույթը:</v>
      </c>
      <c r="D8776" s="6" t="str">
        <f>IFERROR(__xludf.DUMMYFUNCTION("GOOGLETRANSLATE(B8776,""en"",""hy"")"),"Միացյալ Թագավորության արժույթը բրիտանական ֆունտն է։")</f>
        <v>Միացյալ Թագավորության արժույթը բրիտանական ֆունտն է։</v>
      </c>
    </row>
    <row r="8777">
      <c r="A8777" s="5" t="s">
        <v>7772</v>
      </c>
      <c r="B8777" s="5" t="s">
        <v>7181</v>
      </c>
      <c r="C8777" s="5" t="str">
        <f>IFERROR(__xludf.DUMMYFUNCTION("GOOGLETRANSLATE(A8777,""en"",""hy"")"),"Ո՞ր երկիրն է հայտնի որպես «Land Down Under»:")</f>
        <v>Ո՞ր երկիրն է հայտնի որպես «Land Down Under»:</v>
      </c>
      <c r="D8777" s="6" t="str">
        <f>IFERROR(__xludf.DUMMYFUNCTION("GOOGLETRANSLATE(B8777,""en"",""hy"")"),"Ավստրալիա")</f>
        <v>Ավստրալիա</v>
      </c>
    </row>
    <row r="8778">
      <c r="A8778" s="5" t="s">
        <v>9921</v>
      </c>
      <c r="B8778" s="5" t="s">
        <v>8218</v>
      </c>
      <c r="C8778" s="5" t="str">
        <f>IFERROR(__xludf.DUMMYFUNCTION("GOOGLETRANSLATE(A8778,""en"",""hy"")"),"Ո՞վ է նկարիչը հայտնի «Հիշողության համառություն» կտավի հետևում:")</f>
        <v>Ո՞վ է նկարիչը հայտնի «Հիշողության համառություն» կտավի հետևում:</v>
      </c>
      <c r="D8778" s="6" t="str">
        <f>IFERROR(__xludf.DUMMYFUNCTION("GOOGLETRANSLATE(B8778,""en"",""hy"")"),"Սալվադոր Դալի")</f>
        <v>Սալվադոր Դալի</v>
      </c>
    </row>
    <row r="8779">
      <c r="A8779" s="5" t="s">
        <v>9922</v>
      </c>
      <c r="B8779" s="5" t="s">
        <v>8261</v>
      </c>
      <c r="C8779" s="5" t="str">
        <f>IFERROR(__xludf.DUMMYFUNCTION("GOOGLETRANSLATE(A8779,""en"",""hy"")"),"Ո՞ր քաղաքում կգտնեք Տեոտիուականի բուրգերը:")</f>
        <v>Ո՞ր քաղաքում կգտնեք Տեոտիուականի բուրգերը:</v>
      </c>
      <c r="D8779" s="6" t="str">
        <f>IFERROR(__xludf.DUMMYFUNCTION("GOOGLETRANSLATE(B8779,""en"",""hy"")"),"Մեխիկո Սիթի.")</f>
        <v>Մեխիկո Սիթի.</v>
      </c>
    </row>
    <row r="8780">
      <c r="A8780" s="5" t="s">
        <v>9027</v>
      </c>
      <c r="B8780" s="5" t="s">
        <v>9028</v>
      </c>
      <c r="C8780" s="5" t="str">
        <f>IFERROR(__xludf.DUMMYFUNCTION("GOOGLETRANSLATE(A8780,""en"",""hy"")"),"Ո՞րն է Բրազիլիայի ազգային կենդանին:")</f>
        <v>Ո՞րն է Բրազիլիայի ազգային կենդանին:</v>
      </c>
      <c r="D8780" s="6" t="str">
        <f>IFERROR(__xludf.DUMMYFUNCTION("GOOGLETRANSLATE(B8780,""en"",""hy"")"),"Բրազիլիայի ազգային կենդանին յագուարն է։")</f>
        <v>Բրազիլիայի ազգային կենդանին յագուարն է։</v>
      </c>
    </row>
    <row r="8781">
      <c r="A8781" s="5" t="s">
        <v>7780</v>
      </c>
      <c r="B8781" s="5" t="s">
        <v>2951</v>
      </c>
      <c r="C8781" s="5" t="str">
        <f>IFERROR(__xludf.DUMMYFUNCTION("GOOGLETRANSLATE(A8781,""en"",""hy"")"),"Ո՞րն է Կանադայի մայրաքաղաքը:")</f>
        <v>Ո՞րն է Կանադայի մայրաքաղաքը:</v>
      </c>
      <c r="D8781" s="6" t="str">
        <f>IFERROR(__xludf.DUMMYFUNCTION("GOOGLETRANSLATE(B8781,""en"",""hy"")"),"Օտտավա.")</f>
        <v>Օտտավա.</v>
      </c>
    </row>
    <row r="8782">
      <c r="A8782" s="5" t="s">
        <v>7447</v>
      </c>
      <c r="B8782" s="5" t="s">
        <v>7448</v>
      </c>
      <c r="C8782" s="5" t="str">
        <f>IFERROR(__xludf.DUMMYFUNCTION("GOOGLETRANSLATE(A8782,""en"",""hy"")"),"Ո՞վ է նկարել Մոնա Լիզան:")</f>
        <v>Ո՞վ է նկարել Մոնա Լիզան:</v>
      </c>
      <c r="D8782" s="6" t="str">
        <f>IFERROR(__xludf.DUMMYFUNCTION("GOOGLETRANSLATE(B8782,""en"",""hy"")"),"Լեոնարդո դա Վինչի.")</f>
        <v>Լեոնարդո դա Վինչի.</v>
      </c>
    </row>
    <row r="8783">
      <c r="A8783" s="5" t="s">
        <v>7632</v>
      </c>
      <c r="B8783" s="5" t="s">
        <v>7633</v>
      </c>
      <c r="C8783" s="5" t="str">
        <f>IFERROR(__xludf.DUMMYFUNCTION("GOOGLETRANSLATE(A8783,""en"",""hy"")"),"Ո՞րն է մեր արեգակնային համակարգի ամենամեծ մոլորակը:")</f>
        <v>Ո՞րն է մեր արեգակնային համակարգի ամենամեծ մոլորակը:</v>
      </c>
      <c r="D8783" s="6" t="str">
        <f>IFERROR(__xludf.DUMMYFUNCTION("GOOGLETRANSLATE(B8783,""en"",""hy"")"),"Յուպիտեր.")</f>
        <v>Յուպիտեր.</v>
      </c>
    </row>
    <row r="8784">
      <c r="A8784" s="5" t="s">
        <v>7480</v>
      </c>
      <c r="B8784" s="5" t="s">
        <v>7481</v>
      </c>
      <c r="C8784" s="5" t="str">
        <f>IFERROR(__xludf.DUMMYFUNCTION("GOOGLETRANSLATE(A8784,""en"",""hy"")"),"Ո՞րն է Միացյալ Նահանգների ազգային թռչունը:")</f>
        <v>Ո՞րն է Միացյալ Նահանգների ազգային թռչունը:</v>
      </c>
      <c r="D8784" s="6" t="str">
        <f>IFERROR(__xludf.DUMMYFUNCTION("GOOGLETRANSLATE(B8784,""en"",""hy"")"),"Միացյալ Նահանգների ազգային թռչունը ճաղատ արծիվն է։")</f>
        <v>Միացյալ Նահանգների ազգային թռչունը ճաղատ արծիվն է։</v>
      </c>
    </row>
    <row r="8785">
      <c r="A8785" s="5" t="s">
        <v>7698</v>
      </c>
      <c r="B8785" s="5" t="s">
        <v>7630</v>
      </c>
      <c r="C8785" s="5" t="str">
        <f>IFERROR(__xludf.DUMMYFUNCTION("GOOGLETRANSLATE(A8785,""en"",""hy"")"),"Ո՞վ է գրել «Հպարտություն և նախապաշարմունք» վեպը:")</f>
        <v>Ո՞վ է գրել «Հպարտություն և նախապաշարմունք» վեպը:</v>
      </c>
      <c r="D8785" s="6" t="str">
        <f>IFERROR(__xludf.DUMMYFUNCTION("GOOGLETRANSLATE(B8785,""en"",""hy"")"),"Ջեյն Օսթին.")</f>
        <v>Ջեյն Օսթին.</v>
      </c>
    </row>
    <row r="8786">
      <c r="A8786" s="5" t="s">
        <v>8105</v>
      </c>
      <c r="B8786" s="5" t="s">
        <v>7635</v>
      </c>
      <c r="C8786" s="5" t="str">
        <f>IFERROR(__xludf.DUMMYFUNCTION("GOOGLETRANSLATE(A8786,""en"",""hy"")"),"Ո՞վ էր առաջին մարդը, ով քայլեց լուսնի վրա:")</f>
        <v>Ո՞վ էր առաջին մարդը, ով քայլեց լուսնի վրա:</v>
      </c>
      <c r="D8786" s="6" t="str">
        <f>IFERROR(__xludf.DUMMYFUNCTION("GOOGLETRANSLATE(B8786,""en"",""hy"")"),"Նիլ Արմսթրոնգ.")</f>
        <v>Նիլ Արմսթրոնգ.</v>
      </c>
    </row>
    <row r="8787">
      <c r="A8787" s="5" t="s">
        <v>7452</v>
      </c>
      <c r="B8787" s="5" t="s">
        <v>7453</v>
      </c>
      <c r="C8787" s="5" t="str">
        <f>IFERROR(__xludf.DUMMYFUNCTION("GOOGLETRANSLATE(A8787,""en"",""hy"")"),"Ո՞րն է ոսկու քիմիական նշանը:")</f>
        <v>Ո՞րն է ոսկու քիմիական նշանը:</v>
      </c>
      <c r="D8787" s="6" t="str">
        <f>IFERROR(__xludf.DUMMYFUNCTION("GOOGLETRANSLATE(B8787,""en"",""hy"")"),"Ոսկու քիմիական նշանը Au-ն է:")</f>
        <v>Ոսկու քիմիական նշանը Au-ն է:</v>
      </c>
    </row>
    <row r="8788">
      <c r="A8788" s="5" t="s">
        <v>8673</v>
      </c>
      <c r="B8788" s="5" t="s">
        <v>8674</v>
      </c>
      <c r="C8788" s="5" t="str">
        <f>IFERROR(__xludf.DUMMYFUNCTION("GOOGLETRANSLATE(A8788,""en"",""hy"")"),"Քանի՞ դյույմ կա ոտքի վրա:")</f>
        <v>Քանի՞ դյույմ կա ոտքի վրա:</v>
      </c>
      <c r="D8788" s="6" t="str">
        <f>IFERROR(__xludf.DUMMYFUNCTION("GOOGLETRANSLATE(B8788,""en"",""hy"")"),"Ոտքի մեջ կա 12 դյույմ:")</f>
        <v>Ոտքի մեջ կա 12 դյույմ:</v>
      </c>
    </row>
    <row r="8789">
      <c r="A8789" s="5" t="s">
        <v>8011</v>
      </c>
      <c r="B8789" s="5" t="s">
        <v>7470</v>
      </c>
      <c r="C8789" s="5" t="str">
        <f>IFERROR(__xludf.DUMMYFUNCTION("GOOGLETRANSLATE(A8789,""en"",""hy"")"),"Ո՞ր թվականին ավարտվեց Երկրորդ համաշխարհային պատերազմը:")</f>
        <v>Ո՞ր թվականին ավարտվեց Երկրորդ համաշխարհային պատերազմը:</v>
      </c>
      <c r="D8789" s="6" t="str">
        <f>IFERROR(__xludf.DUMMYFUNCTION("GOOGLETRANSLATE(B8789,""en"",""hy"")"),"Երկրորդ համաշխարհային պատերազմն ավարտվեց 1945 թվականին։")</f>
        <v>Երկրորդ համաշխարհային պատերազմն ավարտվեց 1945 թվականին։</v>
      </c>
    </row>
    <row r="8790">
      <c r="A8790" s="5" t="s">
        <v>9923</v>
      </c>
      <c r="B8790" s="5" t="s">
        <v>9924</v>
      </c>
      <c r="C8790" s="5" t="str">
        <f>IFERROR(__xludf.DUMMYFUNCTION("GOOGLETRANSLATE(A8790,""en"",""hy"")"),"Ո՞ր մայրցամաքում է գտնվում Ամազոնի անձրևային անտառները:")</f>
        <v>Ո՞ր մայրցամաքում է գտնվում Ամազոնի անձրևային անտառները:</v>
      </c>
      <c r="D8790" s="6" t="str">
        <f>IFERROR(__xludf.DUMMYFUNCTION("GOOGLETRANSLATE(B8790,""en"",""hy"")"),"Հարավային Ամերիկա.")</f>
        <v>Հարավային Ամերիկա.</v>
      </c>
    </row>
    <row r="8791">
      <c r="A8791" s="5" t="s">
        <v>7852</v>
      </c>
      <c r="B8791" s="5" t="s">
        <v>7853</v>
      </c>
      <c r="C8791" s="5" t="str">
        <f>IFERROR(__xludf.DUMMYFUNCTION("GOOGLETRANSLATE(A8791,""en"",""hy"")"),"Ո՞վ է ներկայիս Անգլիայի թագուհին:")</f>
        <v>Ո՞վ է ներկայիս Անգլիայի թագուհին:</v>
      </c>
      <c r="D8791" s="6" t="str">
        <f>IFERROR(__xludf.DUMMYFUNCTION("GOOGLETRANSLATE(B8791,""en"",""hy"")"),"Եղիսաբեթ II թագուհին.")</f>
        <v>Եղիսաբեթ II թագուհին.</v>
      </c>
    </row>
    <row r="8792">
      <c r="A8792" s="5" t="s">
        <v>7637</v>
      </c>
      <c r="B8792" s="5" t="s">
        <v>9925</v>
      </c>
      <c r="C8792" s="5" t="str">
        <f>IFERROR(__xludf.DUMMYFUNCTION("GOOGLETRANSLATE(A8792,""en"",""hy"")"),"Ո՞րն է թթվածին տարրի խորհրդանիշը:")</f>
        <v>Ո՞րն է թթվածին տարրի խորհրդանիշը:</v>
      </c>
      <c r="D8792" s="6" t="str">
        <f>IFERROR(__xludf.DUMMYFUNCTION("GOOGLETRANSLATE(B8792,""en"",""hy"")"),"Թթվածին տարրի խորհրդանիշն է O:")</f>
        <v>Թթվածին տարրի խորհրդանիշն է O:</v>
      </c>
    </row>
    <row r="8793">
      <c r="A8793" s="5" t="s">
        <v>7640</v>
      </c>
      <c r="B8793" s="5" t="s">
        <v>1016</v>
      </c>
      <c r="C8793" s="5" t="str">
        <f>IFERROR(__xludf.DUMMYFUNCTION("GOOGLETRANSLATE(A8793,""en"",""hy"")"),"Ո՞վ է գրել «Ռոմեո և Ջուլիետ» պիեսը:")</f>
        <v>Ո՞վ է գրել «Ռոմեո և Ջուլիետ» պիեսը:</v>
      </c>
      <c r="D8793" s="6" t="str">
        <f>IFERROR(__xludf.DUMMYFUNCTION("GOOGLETRANSLATE(B8793,""en"",""hy"")"),"Ուիլյամ Շեքսպիր.")</f>
        <v>Ուիլյամ Շեքսպիր.</v>
      </c>
    </row>
    <row r="8794">
      <c r="A8794" s="5" t="s">
        <v>7670</v>
      </c>
      <c r="B8794" s="5" t="s">
        <v>7671</v>
      </c>
      <c r="C8794" s="5" t="str">
        <f>IFERROR(__xludf.DUMMYFUNCTION("GOOGLETRANSLATE(A8794,""en"",""hy"")"),"Ո՞րն է աշխարհի ամենաերկար գետը:")</f>
        <v>Ո՞րն է աշխարհի ամենաերկար գետը:</v>
      </c>
      <c r="D8794" s="6" t="str">
        <f>IFERROR(__xludf.DUMMYFUNCTION("GOOGLETRANSLATE(B8794,""en"",""hy"")"),"Նեղոս գետ.")</f>
        <v>Նեղոս գետ.</v>
      </c>
    </row>
    <row r="8795">
      <c r="A8795" s="5" t="s">
        <v>7645</v>
      </c>
      <c r="B8795" s="5" t="s">
        <v>7646</v>
      </c>
      <c r="C8795" s="5" t="str">
        <f>IFERROR(__xludf.DUMMYFUNCTION("GOOGLETRANSLATE(A8795,""en"",""hy"")"),"Ո՞րն է Երկրի ամենամեծ օվկիանոսը:")</f>
        <v>Ո՞րն է Երկրի ամենամեծ օվկիանոսը:</v>
      </c>
      <c r="D8795" s="6" t="str">
        <f>IFERROR(__xludf.DUMMYFUNCTION("GOOGLETRANSLATE(B8795,""en"",""hy"")"),"Խաղաղ օվկիանոս.")</f>
        <v>Խաղաղ օվկիանոս.</v>
      </c>
    </row>
    <row r="8796">
      <c r="A8796" s="5" t="s">
        <v>8607</v>
      </c>
      <c r="B8796" s="5" t="s">
        <v>9926</v>
      </c>
      <c r="C8796" s="5" t="str">
        <f>IFERROR(__xludf.DUMMYFUNCTION("GOOGLETRANSLATE(A8796,""en"",""hy"")"),"Ո՞վ է հունական իմաստության և պատերազմի աստվածուհին:")</f>
        <v>Ո՞վ է հունական իմաստության և պատերազմի աստվածուհին:</v>
      </c>
      <c r="D8796" s="6" t="str">
        <f>IFERROR(__xludf.DUMMYFUNCTION("GOOGLETRANSLATE(B8796,""en"",""hy"")"),"Աթենաս")</f>
        <v>Աթենաս</v>
      </c>
    </row>
    <row r="8797">
      <c r="A8797" s="5" t="s">
        <v>9159</v>
      </c>
      <c r="B8797" s="5" t="s">
        <v>3535</v>
      </c>
      <c r="C8797" s="5" t="str">
        <f>IFERROR(__xludf.DUMMYFUNCTION("GOOGLETRANSLATE(A8797,""en"",""hy"")"),"Ո՞ր երկիրն է հայտնի Մեծ արգելախութով:")</f>
        <v>Ո՞ր երկիրն է հայտնի Մեծ արգելախութով:</v>
      </c>
      <c r="D8797" s="6" t="str">
        <f>IFERROR(__xludf.DUMMYFUNCTION("GOOGLETRANSLATE(B8797,""en"",""hy"")"),"Ավստրալիա.")</f>
        <v>Ավստրալիա.</v>
      </c>
    </row>
    <row r="8798">
      <c r="A8798" s="5" t="s">
        <v>7845</v>
      </c>
      <c r="B8798" s="5" t="s">
        <v>3533</v>
      </c>
      <c r="C8798" s="5" t="str">
        <f>IFERROR(__xludf.DUMMYFUNCTION("GOOGLETRANSLATE(A8798,""en"",""hy"")"),"Ո՞րն է Բրազիլիայի պաշտոնական լեզուն:")</f>
        <v>Ո՞րն է Բրազիլիայի պաշտոնական լեզուն:</v>
      </c>
      <c r="D8798" s="6" t="str">
        <f>IFERROR(__xludf.DUMMYFUNCTION("GOOGLETRANSLATE(B8798,""en"",""hy"")"),"Բրազիլիայի պաշտոնական լեզուն պորտուգալերենն է։")</f>
        <v>Բրազիլիայի պաշտոնական լեզուն պորտուգալերենն է։</v>
      </c>
    </row>
    <row r="8799">
      <c r="A8799" s="5" t="s">
        <v>9927</v>
      </c>
      <c r="B8799" s="5" t="s">
        <v>7474</v>
      </c>
      <c r="C8799" s="5" t="str">
        <f>IFERROR(__xludf.DUMMYFUNCTION("GOOGLETRANSLATE(A8799,""en"",""hy"")"),"Ո՞վ է քանդակել Դավթի արձանը.")</f>
        <v>Ո՞վ է քանդակել Դավթի արձանը.</v>
      </c>
      <c r="D8799" s="6" t="str">
        <f>IFERROR(__xludf.DUMMYFUNCTION("GOOGLETRANSLATE(B8799,""en"",""hy"")"),"Միքելանջելո.")</f>
        <v>Միքելանջելո.</v>
      </c>
    </row>
    <row r="8800">
      <c r="A8800" s="5" t="s">
        <v>7722</v>
      </c>
      <c r="B8800" s="5" t="s">
        <v>7723</v>
      </c>
      <c r="C8800" s="5" t="str">
        <f>IFERROR(__xludf.DUMMYFUNCTION("GOOGLETRANSLATE(A8800,""en"",""hy"")"),"Ո՞րն է Աֆրիկայի ամենաբարձր լեռը:")</f>
        <v>Ո՞րն է Աֆրիկայի ամենաբարձր լեռը:</v>
      </c>
      <c r="D8800" s="6" t="str">
        <f>IFERROR(__xludf.DUMMYFUNCTION("GOOGLETRANSLATE(B8800,""en"",""hy"")"),"Կիլիմանջարո լեռ.")</f>
        <v>Կիլիմանջարո լեռ.</v>
      </c>
    </row>
    <row r="8801">
      <c r="A8801" s="5" t="s">
        <v>7504</v>
      </c>
      <c r="B8801" s="5" t="s">
        <v>9928</v>
      </c>
      <c r="C8801" s="5" t="str">
        <f>IFERROR(__xludf.DUMMYFUNCTION("GOOGLETRANSLATE(A8801,""en"",""hy"")"),"Ո՞վ է Միացյալ Նահանգների ներկայիս նախագահը:")</f>
        <v>Ո՞վ է Միացյալ Նահանգների ներկայիս նախագահը:</v>
      </c>
      <c r="D8801" s="6" t="str">
        <f>IFERROR(__xludf.DUMMYFUNCTION("GOOGLETRANSLATE(B8801,""en"",""hy"")"),"Ջոզեֆ Ռ. Բայդեն կրտսերը")</f>
        <v>Ջոզեֆ Ռ. Բայդեն կրտսերը</v>
      </c>
    </row>
    <row r="8802">
      <c r="A8802" s="5" t="s">
        <v>7929</v>
      </c>
      <c r="B8802" s="5" t="s">
        <v>8175</v>
      </c>
      <c r="C8802" s="5" t="str">
        <f>IFERROR(__xludf.DUMMYFUNCTION("GOOGLETRANSLATE(A8802,""en"",""hy"")"),"Որքա՞ն է լույսի արագությունը վակուումում:")</f>
        <v>Որքա՞ն է լույսի արագությունը վակուումում:</v>
      </c>
      <c r="D8802" s="6" t="str">
        <f>IFERROR(__xludf.DUMMYFUNCTION("GOOGLETRANSLATE(B8802,""en"",""hy"")"),"Լույսի արագությունը վակուումում մոտավորապես 299,792,458 մետր է վայրկյանում։")</f>
        <v>Լույսի արագությունը վակուումում մոտավորապես 299,792,458 մետր է վայրկյանում։</v>
      </c>
    </row>
    <row r="8803">
      <c r="A8803" s="5" t="s">
        <v>8395</v>
      </c>
      <c r="B8803" s="5" t="s">
        <v>8396</v>
      </c>
      <c r="C8803" s="5" t="str">
        <f>IFERROR(__xludf.DUMMYFUNCTION("GOOGLETRANSLATE(A8803,""en"",""hy"")"),"Ո՞րն է ջրի քիմիական նշանը:")</f>
        <v>Ո՞րն է ջրի քիմիական նշանը:</v>
      </c>
      <c r="D8803" s="6" t="str">
        <f>IFERROR(__xludf.DUMMYFUNCTION("GOOGLETRANSLATE(B8803,""en"",""hy"")"),"Ջրի քիմիական նշանը H2O է:")</f>
        <v>Ջրի քիմիական նշանը H2O է:</v>
      </c>
    </row>
    <row r="8804">
      <c r="A8804" s="5" t="s">
        <v>9510</v>
      </c>
      <c r="B8804" s="5" t="s">
        <v>7512</v>
      </c>
      <c r="C8804" s="5" t="str">
        <f>IFERROR(__xludf.DUMMYFUNCTION("GOOGLETRANSLATE(A8804,""en"",""hy"")"),"Ո՞ր երկրում կգտնեք Գիզայի բուրգերը:")</f>
        <v>Ո՞ր երկրում կգտնեք Գիզայի բուրգերը:</v>
      </c>
      <c r="D8804" s="6" t="str">
        <f>IFERROR(__xludf.DUMMYFUNCTION("GOOGLETRANSLATE(B8804,""en"",""hy"")"),"Եգիպտոս.")</f>
        <v>Եգիպտոս.</v>
      </c>
    </row>
    <row r="8805">
      <c r="A8805" s="5" t="s">
        <v>7534</v>
      </c>
      <c r="B8805" s="5" t="s">
        <v>7535</v>
      </c>
      <c r="C8805" s="5" t="str">
        <f>IFERROR(__xludf.DUMMYFUNCTION("GOOGLETRANSLATE(A8805,""en"",""hy"")"),"Ո՞վ է հորինել հեռախոսը:")</f>
        <v>Ո՞վ է հորինել հեռախոսը:</v>
      </c>
      <c r="D8805" s="6" t="str">
        <f>IFERROR(__xludf.DUMMYFUNCTION("GOOGLETRANSLATE(B8805,""en"",""hy"")"),"Ալեքսանդր Գրեհեմ Բել.")</f>
        <v>Ալեքսանդր Գրեհեմ Բել.</v>
      </c>
    </row>
    <row r="8806">
      <c r="A8806" s="5" t="s">
        <v>9929</v>
      </c>
      <c r="B8806" s="5" t="s">
        <v>9930</v>
      </c>
      <c r="C8806" s="5" t="str">
        <f>IFERROR(__xludf.DUMMYFUNCTION("GOOGLETRANSLATE(A8806,""en"",""hy"")"),"Ո՞րն է բոլոր ժամանակների ամենավաճառվող տեսախաղը:")</f>
        <v>Ո՞րն է բոլոր ժամանակների ամենավաճառվող տեսախաղը:</v>
      </c>
      <c r="D8806" s="6" t="str">
        <f>IFERROR(__xludf.DUMMYFUNCTION("GOOGLETRANSLATE(B8806,""en"",""hy"")"),"Minecraft.")</f>
        <v>Minecraft.</v>
      </c>
    </row>
    <row r="8807">
      <c r="A8807" s="5" t="s">
        <v>8099</v>
      </c>
      <c r="B8807" s="5" t="s">
        <v>8579</v>
      </c>
      <c r="C8807" s="5" t="str">
        <f>IFERROR(__xludf.DUMMYFUNCTION("GOOGLETRANSLATE(A8807,""en"",""hy"")"),"Քանի՞ մոլորակ կա մեր արեգակնային համակարգում:")</f>
        <v>Քանի՞ մոլորակ կա մեր արեգակնային համակարգում:</v>
      </c>
      <c r="D8807" s="6" t="str">
        <f>IFERROR(__xludf.DUMMYFUNCTION("GOOGLETRANSLATE(B8807,""en"",""hy"")"),"Մեր Արեգակնային համակարգում կա 8 մոլորակ։")</f>
        <v>Մեր Արեգակնային համակարգում կա 8 մոլորակ։</v>
      </c>
    </row>
    <row r="8808">
      <c r="A8808" s="5" t="s">
        <v>7473</v>
      </c>
      <c r="B8808" s="5" t="s">
        <v>7474</v>
      </c>
      <c r="C8808" s="5" t="str">
        <f>IFERROR(__xludf.DUMMYFUNCTION("GOOGLETRANSLATE(A8808,""en"",""hy"")"),"Ո՞վ է նկարել Սիքստինյան կապելլայի առաստաղը:")</f>
        <v>Ո՞վ է նկարել Սիքստինյան կապելլայի առաստաղը:</v>
      </c>
      <c r="D8808" s="6" t="str">
        <f>IFERROR(__xludf.DUMMYFUNCTION("GOOGLETRANSLATE(B8808,""en"",""hy"")"),"Միքելանջելո.")</f>
        <v>Միքելանջելո.</v>
      </c>
    </row>
    <row r="8809">
      <c r="A8809" s="5" t="s">
        <v>7461</v>
      </c>
      <c r="B8809" s="5" t="s">
        <v>7639</v>
      </c>
      <c r="C8809" s="5" t="str">
        <f>IFERROR(__xludf.DUMMYFUNCTION("GOOGLETRANSLATE(A8809,""en"",""hy"")"),"Ո՞րն է մարդու մարմնի ամենամեծ օրգանը:")</f>
        <v>Ո՞րն է մարդու մարմնի ամենամեծ օրգանը:</v>
      </c>
      <c r="D8809" s="6" t="str">
        <f>IFERROR(__xludf.DUMMYFUNCTION("GOOGLETRANSLATE(B8809,""en"",""hy"")"),"Մարդու մարմնի ամենամեծ օրգանը մաշկն է։")</f>
        <v>Մարդու մարմնի ամենամեծ օրգանը մաշկն է։</v>
      </c>
    </row>
    <row r="8810">
      <c r="A8810" s="5" t="s">
        <v>7536</v>
      </c>
      <c r="B8810" s="5" t="s">
        <v>7870</v>
      </c>
      <c r="C8810" s="5" t="str">
        <f>IFERROR(__xludf.DUMMYFUNCTION("GOOGLETRANSLATE(A8810,""en"",""hy"")"),"Ո՞րն է Ռուսաստանի մայրաքաղաքը:")</f>
        <v>Ո՞րն է Ռուսաստանի մայրաքաղաքը:</v>
      </c>
      <c r="D8810" s="6" t="str">
        <f>IFERROR(__xludf.DUMMYFUNCTION("GOOGLETRANSLATE(B8810,""en"",""hy"")"),"Մոսկվա.")</f>
        <v>Մոսկվա.</v>
      </c>
    </row>
    <row r="8811">
      <c r="A8811" s="5" t="s">
        <v>7644</v>
      </c>
      <c r="B8811" s="5" t="s">
        <v>7541</v>
      </c>
      <c r="C8811" s="5" t="str">
        <f>IFERROR(__xludf.DUMMYFUNCTION("GOOGLETRANSLATE(A8811,""en"",""hy"")"),"Ո՞վ է «Սպանել ծաղրող թռչունին» գրքի հեղինակը.")</f>
        <v>Ո՞վ է «Սպանել ծաղրող թռչունին» գրքի հեղինակը.</v>
      </c>
      <c r="D8811" s="6" t="str">
        <f>IFERROR(__xludf.DUMMYFUNCTION("GOOGLETRANSLATE(B8811,""en"",""hy"")"),"Հարփեր Լի.")</f>
        <v>Հարփեր Լի.</v>
      </c>
    </row>
    <row r="8812">
      <c r="A8812" s="5" t="s">
        <v>7785</v>
      </c>
      <c r="B8812" s="5" t="s">
        <v>7786</v>
      </c>
      <c r="C8812" s="5" t="str">
        <f>IFERROR(__xludf.DUMMYFUNCTION("GOOGLETRANSLATE(A8812,""en"",""hy"")"),"Ո՞վ է հիմնել Microsoft-ը:")</f>
        <v>Ո՞վ է հիմնել Microsoft-ը:</v>
      </c>
      <c r="D8812" s="6" t="str">
        <f>IFERROR(__xludf.DUMMYFUNCTION("GOOGLETRANSLATE(B8812,""en"",""hy"")"),"Բիլ Գեյթս և Փոլ Ալեն.")</f>
        <v>Բիլ Գեյթս և Փոլ Ալեն.</v>
      </c>
    </row>
    <row r="8813">
      <c r="A8813" s="5" t="s">
        <v>7467</v>
      </c>
      <c r="B8813" s="5" t="s">
        <v>7766</v>
      </c>
      <c r="C8813" s="5" t="str">
        <f>IFERROR(__xludf.DUMMYFUNCTION("GOOGLETRANSLATE(A8813,""en"",""hy"")"),"Ո՞րն է Ճապոնիայի արժույթը:")</f>
        <v>Ո՞րն է Ճապոնիայի արժույթը:</v>
      </c>
      <c r="D8813" s="6" t="str">
        <f>IFERROR(__xludf.DUMMYFUNCTION("GOOGLETRANSLATE(B8813,""en"",""hy"")"),"Ճապոնիայի արժույթը ճապոնական իենն է։")</f>
        <v>Ճապոնիայի արժույթը ճապոնական իենն է։</v>
      </c>
    </row>
    <row r="8814">
      <c r="A8814" s="5" t="s">
        <v>7960</v>
      </c>
      <c r="B8814" s="5" t="s">
        <v>7961</v>
      </c>
      <c r="C8814" s="5" t="str">
        <f>IFERROR(__xludf.DUMMYFUNCTION("GOOGLETRANSLATE(A8814,""en"",""hy"")"),"Ո՞ր տարում է խորտակվել Տիտանիկը:")</f>
        <v>Ո՞ր տարում է խորտակվել Տիտանիկը:</v>
      </c>
      <c r="D8814" s="6" t="str">
        <f>IFERROR(__xludf.DUMMYFUNCTION("GOOGLETRANSLATE(B8814,""en"",""hy"")"),"Տիտանիկը խորտակվել է 1912 թվականին։")</f>
        <v>Տիտանիկը խորտակվել է 1912 թվականին։</v>
      </c>
    </row>
    <row r="8815">
      <c r="A8815" s="5" t="s">
        <v>7557</v>
      </c>
      <c r="B8815" s="5" t="s">
        <v>7857</v>
      </c>
      <c r="C8815" s="5" t="str">
        <f>IFERROR(__xludf.DUMMYFUNCTION("GOOGLETRANSLATE(A8815,""en"",""hy"")"),"Ո՞րն է երկաթի քիմիական նշանը:")</f>
        <v>Ո՞րն է երկաթի քիմիական նշանը:</v>
      </c>
      <c r="D8815" s="6" t="str">
        <f>IFERROR(__xludf.DUMMYFUNCTION("GOOGLETRANSLATE(B8815,""en"",""hy"")"),"Երկաթի քիմիական նշանը Fe է:")</f>
        <v>Երկաթի քիմիական նշանը Fe է:</v>
      </c>
    </row>
    <row r="8816">
      <c r="A8816" s="5" t="s">
        <v>7655</v>
      </c>
      <c r="B8816" s="5" t="s">
        <v>7656</v>
      </c>
      <c r="C8816" s="5" t="str">
        <f>IFERROR(__xludf.DUMMYFUNCTION("GOOGLETRANSLATE(A8816,""en"",""hy"")"),"Ո՞վ է գրել «Ագռավը» բանաստեղծությունը:")</f>
        <v>Ո՞վ է գրել «Ագռավը» բանաստեղծությունը:</v>
      </c>
      <c r="D8816" s="6" t="str">
        <f>IFERROR(__xludf.DUMMYFUNCTION("GOOGLETRANSLATE(B8816,""en"",""hy"")"),"Էդգար Ալան Պո.")</f>
        <v>Էդգար Ալան Պո.</v>
      </c>
    </row>
    <row r="8817">
      <c r="A8817" s="5" t="s">
        <v>8112</v>
      </c>
      <c r="B8817" s="5" t="s">
        <v>9931</v>
      </c>
      <c r="C8817" s="5" t="str">
        <f>IFERROR(__xludf.DUMMYFUNCTION("GOOGLETRANSLATE(A8817,""en"",""hy"")"),"Ո՞րն է Հյուսիսային Ամերիկայի ամենաբարձր լեռը:")</f>
        <v>Ո՞րն է Հյուսիսային Ամերիկայի ամենաբարձր լեռը:</v>
      </c>
      <c r="D8817" s="6" t="str">
        <f>IFERROR(__xludf.DUMMYFUNCTION("GOOGLETRANSLATE(B8817,""en"",""hy"")"),"Դենալին (ՄաքՔինլի լեռը) Հյուսիսային Ամերիկայի ամենաբարձր լեռն է։")</f>
        <v>Դենալին (ՄաքՔինլի լեռը) Հյուսիսային Ամերիկայի ամենաբարձր լեռն է։</v>
      </c>
    </row>
    <row r="8818">
      <c r="A8818" s="5" t="s">
        <v>7793</v>
      </c>
      <c r="B8818" s="5" t="s">
        <v>998</v>
      </c>
      <c r="C8818" s="5" t="str">
        <f>IFERROR(__xludf.DUMMYFUNCTION("GOOGLETRANSLATE(A8818,""en"",""hy"")"),"Ո՞ր երկիրն է հայտնի իր կակաչներով և հողմաղացներով:")</f>
        <v>Ո՞ր երկիրն է հայտնի իր կակաչներով և հողմաղացներով:</v>
      </c>
      <c r="D8818" s="6" t="str">
        <f>IFERROR(__xludf.DUMMYFUNCTION("GOOGLETRANSLATE(B8818,""en"",""hy"")"),"Նիդերլանդներ.")</f>
        <v>Նիդերլանդներ.</v>
      </c>
    </row>
    <row r="8819">
      <c r="A8819" s="5" t="s">
        <v>7854</v>
      </c>
      <c r="B8819" s="5" t="s">
        <v>7458</v>
      </c>
      <c r="C8819" s="5" t="str">
        <f>IFERROR(__xludf.DUMMYFUNCTION("GOOGLETRANSLATE(A8819,""en"",""hy"")"),"Ո՞վ էր Միացյալ Նահանգների առաջին նախագահը:")</f>
        <v>Ո՞վ էր Միացյալ Նահանգների առաջին նախագահը:</v>
      </c>
      <c r="D8819" s="6" t="str">
        <f>IFERROR(__xludf.DUMMYFUNCTION("GOOGLETRANSLATE(B8819,""en"",""hy"")"),"Ջորջ Վաշինգտոն.")</f>
        <v>Ջորջ Վաշինգտոն.</v>
      </c>
    </row>
    <row r="8820">
      <c r="A8820" s="5" t="s">
        <v>9932</v>
      </c>
      <c r="B8820" s="5" t="s">
        <v>3700</v>
      </c>
      <c r="C8820" s="5" t="str">
        <f>IFERROR(__xludf.DUMMYFUNCTION("GOOGLETRANSLATE(A8820,""en"",""hy"")"),"Ո՞րն է աշխարհի ամենաբնակեցված երկիրը:")</f>
        <v>Ո՞րն է աշխարհի ամենաբնակեցված երկիրը:</v>
      </c>
      <c r="D8820" s="6" t="str">
        <f>IFERROR(__xludf.DUMMYFUNCTION("GOOGLETRANSLATE(B8820,""en"",""hy"")"),"Չինաստան")</f>
        <v>Չինաստան</v>
      </c>
    </row>
    <row r="8821">
      <c r="A8821" s="5" t="s">
        <v>7931</v>
      </c>
      <c r="B8821" s="5" t="s">
        <v>7648</v>
      </c>
      <c r="C8821" s="5" t="str">
        <f>IFERROR(__xludf.DUMMYFUNCTION("GOOGLETRANSLATE(A8821,""en"",""hy"")"),"Ո՞վ է նկարել «Աստղային գիշերը»:")</f>
        <v>Ո՞վ է նկարել «Աստղային գիշերը»:</v>
      </c>
      <c r="D8821" s="6" t="str">
        <f>IFERROR(__xludf.DUMMYFUNCTION("GOOGLETRANSLATE(B8821,""en"",""hy"")"),"Վինսենթ վան Գոգ.")</f>
        <v>Վինսենթ վան Գոգ.</v>
      </c>
    </row>
    <row r="8822">
      <c r="A8822" s="5" t="s">
        <v>7568</v>
      </c>
      <c r="B8822" s="5" t="s">
        <v>7569</v>
      </c>
      <c r="C8822" s="5" t="str">
        <f>IFERROR(__xludf.DUMMYFUNCTION("GOOGLETRANSLATE(A8822,""en"",""hy"")"),"Ո՞րն է Ավստրալիայի ազգային թռչունը:")</f>
        <v>Ո՞րն է Ավստրալիայի ազգային թռչունը:</v>
      </c>
      <c r="D8822" s="6" t="str">
        <f>IFERROR(__xludf.DUMMYFUNCTION("GOOGLETRANSLATE(B8822,""en"",""hy"")"),"Ավստրալիայի ազգային թռչունը էմուն է:")</f>
        <v>Ավստրալիայի ազգային թռչունը էմուն է:</v>
      </c>
    </row>
    <row r="8823">
      <c r="A8823" s="5" t="s">
        <v>8298</v>
      </c>
      <c r="B8823" s="7">
        <v>1989.0</v>
      </c>
      <c r="C8823" s="5" t="str">
        <f>IFERROR(__xludf.DUMMYFUNCTION("GOOGLETRANSLATE(A8823,""en"",""hy"")"),"Ո՞ր թվականին է փլվել Բեռլինի պատը:")</f>
        <v>Ո՞ր թվականին է փլվել Բեռլինի պատը:</v>
      </c>
      <c r="D8823" s="6" t="str">
        <f>IFERROR(__xludf.DUMMYFUNCTION("GOOGLETRANSLATE(B8823,""en"",""hy"")"),"1989 թ")</f>
        <v>1989 թ</v>
      </c>
    </row>
    <row r="8824">
      <c r="A8824" s="5" t="s">
        <v>7461</v>
      </c>
      <c r="B8824" s="5" t="s">
        <v>7639</v>
      </c>
      <c r="C8824" s="5" t="str">
        <f>IFERROR(__xludf.DUMMYFUNCTION("GOOGLETRANSLATE(A8824,""en"",""hy"")"),"Ո՞րն է մարդու մարմնի ամենամեծ օրգանը:")</f>
        <v>Ո՞րն է մարդու մարմնի ամենամեծ օրգանը:</v>
      </c>
      <c r="D8824" s="6" t="str">
        <f>IFERROR(__xludf.DUMMYFUNCTION("GOOGLETRANSLATE(B8824,""en"",""hy"")"),"Մարդու մարմնի ամենամեծ օրգանը մաշկն է։")</f>
        <v>Մարդու մարմնի ամենամեծ օրգանը մաշկն է։</v>
      </c>
    </row>
    <row r="8825">
      <c r="A8825" s="5" t="s">
        <v>7779</v>
      </c>
      <c r="B8825" s="5" t="s">
        <v>7446</v>
      </c>
      <c r="C8825" s="5" t="str">
        <f>IFERROR(__xludf.DUMMYFUNCTION("GOOGLETRANSLATE(A8825,""en"",""hy"")"),"Ո՞ր մոլորակն է հայտնի որպես «Կարմիր մոլորակ»:")</f>
        <v>Ո՞ր մոլորակն է հայտնի որպես «Կարմիր մոլորակ»:</v>
      </c>
      <c r="D8825" s="6" t="str">
        <f>IFERROR(__xludf.DUMMYFUNCTION("GOOGLETRANSLATE(B8825,""en"",""hy"")"),"Մարս.")</f>
        <v>Մարս.</v>
      </c>
    </row>
    <row r="8826">
      <c r="A8826" s="5" t="s">
        <v>9933</v>
      </c>
      <c r="B8826" s="5" t="s">
        <v>9934</v>
      </c>
      <c r="C8826" s="5" t="str">
        <f>IFERROR(__xludf.DUMMYFUNCTION("GOOGLETRANSLATE(A8826,""en"",""hy"")"),"Ո՞վ է Շեքսպիրի «Համլետ» պիեսի գլխավոր հերոսը։")</f>
        <v>Ո՞վ է Շեքսպիրի «Համլետ» պիեսի գլխավոր հերոսը։</v>
      </c>
      <c r="D8826" s="6" t="str">
        <f>IFERROR(__xludf.DUMMYFUNCTION("GOOGLETRANSLATE(B8826,""en"",""hy"")"),"Շեքսպիրի «Համլետ» պիեսի գլխավոր հերոսը Համլետն է։")</f>
        <v>Շեքսպիրի «Համլետ» պիեսի գլխավոր հերոսը Համլետն է։</v>
      </c>
    </row>
    <row r="8827">
      <c r="A8827" s="5" t="s">
        <v>7665</v>
      </c>
      <c r="B8827" s="5" t="s">
        <v>7781</v>
      </c>
      <c r="C8827" s="5" t="str">
        <f>IFERROR(__xludf.DUMMYFUNCTION("GOOGLETRANSLATE(A8827,""en"",""hy"")"),"Ո՞րն է նատրիումի քիմիական նշանը:")</f>
        <v>Ո՞րն է նատրիումի քիմիական նշանը:</v>
      </c>
      <c r="D8827" s="6" t="str">
        <f>IFERROR(__xludf.DUMMYFUNCTION("GOOGLETRANSLATE(B8827,""en"",""hy"")"),"Նատրիումի քիմիական նշանը Na է:")</f>
        <v>Նատրիումի քիմիական նշանը Na է:</v>
      </c>
    </row>
    <row r="8828">
      <c r="A8828" s="5" t="s">
        <v>7443</v>
      </c>
      <c r="B8828" s="5" t="s">
        <v>8355</v>
      </c>
      <c r="C8828" s="5" t="str">
        <f>IFERROR(__xludf.DUMMYFUNCTION("GOOGLETRANSLATE(A8828,""en"",""hy"")"),"Ո՞վ է գրել «1984» վեպը։")</f>
        <v>Ո՞վ է գրել «1984» վեպը։</v>
      </c>
      <c r="D8828" s="6" t="str">
        <f>IFERROR(__xludf.DUMMYFUNCTION("GOOGLETRANSLATE(B8828,""en"",""hy"")"),"Ջորջ Օրուել")</f>
        <v>Ջորջ Օրուել</v>
      </c>
    </row>
    <row r="8829">
      <c r="A8829" s="5" t="s">
        <v>9935</v>
      </c>
      <c r="B8829" s="5" t="s">
        <v>7501</v>
      </c>
      <c r="C8829" s="5" t="str">
        <f>IFERROR(__xludf.DUMMYFUNCTION("GOOGLETRANSLATE(A8829,""en"",""hy"")"),"Ո՞ր քաղաքում կարող եք գտնել Էյֆելյան աշտարակը:")</f>
        <v>Ո՞ր քաղաքում կարող եք գտնել Էյֆելյան աշտարակը:</v>
      </c>
      <c r="D8829" s="6" t="str">
        <f>IFERROR(__xludf.DUMMYFUNCTION("GOOGLETRANSLATE(B8829,""en"",""hy"")"),"Փարիզ.")</f>
        <v>Փարիզ.</v>
      </c>
    </row>
    <row r="8830">
      <c r="A8830" s="5" t="s">
        <v>9936</v>
      </c>
      <c r="B8830" s="5" t="s">
        <v>8038</v>
      </c>
      <c r="C8830" s="5" t="str">
        <f>IFERROR(__xludf.DUMMYFUNCTION("GOOGLETRANSLATE(A8830,""en"",""hy"")"),"Ո՞վ է հորինել «Բեթհովենի հինգերորդը» սիմֆոնիան:")</f>
        <v>Ո՞վ է հորինել «Բեթհովենի հինգերորդը» սիմֆոնիան:</v>
      </c>
      <c r="D8830" s="6" t="str">
        <f>IFERROR(__xludf.DUMMYFUNCTION("GOOGLETRANSLATE(B8830,""en"",""hy"")"),"Լյուդվիգ վան Բեթհովեն.")</f>
        <v>Լյուդվիգ վան Բեթհովեն.</v>
      </c>
    </row>
    <row r="8831">
      <c r="A8831" s="5" t="s">
        <v>7463</v>
      </c>
      <c r="B8831" s="5" t="s">
        <v>7464</v>
      </c>
      <c r="C8831" s="5" t="str">
        <f>IFERROR(__xludf.DUMMYFUNCTION("GOOGLETRANSLATE(A8831,""en"",""hy"")"),"Ո՞րն է աշխարհի ամենաբարձր լեռը:")</f>
        <v>Ո՞րն է աշխարհի ամենաբարձր լեռը:</v>
      </c>
      <c r="D8831" s="6" t="str">
        <f>IFERROR(__xludf.DUMMYFUNCTION("GOOGLETRANSLATE(B8831,""en"",""hy"")"),"Էվերեստ լեռ.")</f>
        <v>Էվերեստ լեռ.</v>
      </c>
    </row>
    <row r="8832">
      <c r="A8832" s="5" t="s">
        <v>9850</v>
      </c>
      <c r="B8832" s="5" t="s">
        <v>7828</v>
      </c>
      <c r="C8832" s="5" t="str">
        <f>IFERROR(__xludf.DUMMYFUNCTION("GOOGLETRANSLATE(A8832,""en"",""hy"")"),"Ո՞վ է նկարել «Վերջին ընթրիքը»:")</f>
        <v>Ո՞վ է նկարել «Վերջին ընթրիքը»:</v>
      </c>
      <c r="D8832" s="6" t="str">
        <f>IFERROR(__xludf.DUMMYFUNCTION("GOOGLETRANSLATE(B8832,""en"",""hy"")"),"Լեոնարդո դա Վինչի")</f>
        <v>Լեոնարդո դա Վինչի</v>
      </c>
    </row>
    <row r="8833">
      <c r="A8833" s="5" t="s">
        <v>8343</v>
      </c>
      <c r="B8833" s="5" t="s">
        <v>8344</v>
      </c>
      <c r="C8833" s="5" t="str">
        <f>IFERROR(__xludf.DUMMYFUNCTION("GOOGLETRANSLATE(A8833,""en"",""hy"")"),"Ո՞րն է Շոտլանդիայի ազգային ծաղիկը:")</f>
        <v>Ո՞րն է Շոտլանդիայի ազգային ծաղիկը:</v>
      </c>
      <c r="D8833" s="6" t="str">
        <f>IFERROR(__xludf.DUMMYFUNCTION("GOOGLETRANSLATE(B8833,""en"",""hy"")"),"Շոտլանդիայի ազգային ծաղիկը տատասկափուշն է:")</f>
        <v>Շոտլանդիայի ազգային ծաղիկը տատասկափուշն է:</v>
      </c>
    </row>
    <row r="8834">
      <c r="A8834" s="5" t="s">
        <v>8454</v>
      </c>
      <c r="B8834" s="7">
        <v>1776.0</v>
      </c>
      <c r="C8834" s="5" t="str">
        <f>IFERROR(__xludf.DUMMYFUNCTION("GOOGLETRANSLATE(A8834,""en"",""hy"")"),"Ո՞ր թվականին է Միացյալ Նահանգները հռչակել անկախությունը Մեծ Բրիտանիայից.")</f>
        <v>Ո՞ր թվականին է Միացյալ Նահանգները հռչակել անկախությունը Մեծ Բրիտանիայից.</v>
      </c>
      <c r="D8834" s="6" t="str">
        <f>IFERROR(__xludf.DUMMYFUNCTION("GOOGLETRANSLATE(B8834,""en"",""hy"")"),"1776 թ")</f>
        <v>1776 թ</v>
      </c>
    </row>
    <row r="8835">
      <c r="A8835" s="5" t="s">
        <v>7890</v>
      </c>
      <c r="B8835" s="5" t="s">
        <v>7661</v>
      </c>
      <c r="C8835" s="5" t="str">
        <f>IFERROR(__xludf.DUMMYFUNCTION("GOOGLETRANSLATE(A8835,""en"",""hy"")"),"Ո՞վ է գրել «Մեծն Գեթսբի» վեպը:")</f>
        <v>Ո՞վ է գրել «Մեծն Գեթսբի» վեպը:</v>
      </c>
      <c r="D8835" s="6" t="str">
        <f>IFERROR(__xludf.DUMMYFUNCTION("GOOGLETRANSLATE(B8835,""en"",""hy"")"),"F. Scott Fitzgerald.")</f>
        <v>F. Scott Fitzgerald.</v>
      </c>
    </row>
    <row r="8836">
      <c r="A8836" s="5" t="s">
        <v>7450</v>
      </c>
      <c r="B8836" s="5" t="s">
        <v>7451</v>
      </c>
      <c r="C8836" s="5" t="str">
        <f>IFERROR(__xludf.DUMMYFUNCTION("GOOGLETRANSLATE(A8836,""en"",""hy"")"),"Ո՞րն է Ավստրալիայի մայրաքաղաքը:")</f>
        <v>Ո՞րն է Ավստրալիայի մայրաքաղաքը:</v>
      </c>
      <c r="D8836" s="6" t="str">
        <f>IFERROR(__xludf.DUMMYFUNCTION("GOOGLETRANSLATE(B8836,""en"",""hy"")"),"Կանբերա.")</f>
        <v>Կանբերա.</v>
      </c>
    </row>
    <row r="8837">
      <c r="A8837" s="5" t="s">
        <v>7773</v>
      </c>
      <c r="B8837" s="5" t="s">
        <v>8253</v>
      </c>
      <c r="C8837" s="5" t="str">
        <f>IFERROR(__xludf.DUMMYFUNCTION("GOOGLETRANSLATE(A8837,""en"",""hy"")"),"Ո՞վ է հայտնաբերել պենիցիլինը:")</f>
        <v>Ո՞վ է հայտնաբերել պենիցիլինը:</v>
      </c>
      <c r="D8837" s="6" t="str">
        <f>IFERROR(__xludf.DUMMYFUNCTION("GOOGLETRANSLATE(B8837,""en"",""hy"")"),"Ալեքսանդր Ֆլեմինգ.")</f>
        <v>Ալեքսանդր Ֆլեմինգ.</v>
      </c>
    </row>
    <row r="8838">
      <c r="A8838" s="5" t="s">
        <v>7509</v>
      </c>
      <c r="B8838" s="5" t="s">
        <v>7510</v>
      </c>
      <c r="C8838" s="5" t="str">
        <f>IFERROR(__xludf.DUMMYFUNCTION("GOOGLETRANSLATE(A8838,""en"",""hy"")"),"Ո՞րն է արծաթի քիմիական նշանը:")</f>
        <v>Ո՞րն է արծաթի քիմիական նշանը:</v>
      </c>
      <c r="D8838" s="6" t="str">
        <f>IFERROR(__xludf.DUMMYFUNCTION("GOOGLETRANSLATE(B8838,""en"",""hy"")"),"Ագ")</f>
        <v>Ագ</v>
      </c>
    </row>
    <row r="8839">
      <c r="A8839" s="5" t="s">
        <v>7726</v>
      </c>
      <c r="B8839" s="5" t="s">
        <v>1016</v>
      </c>
      <c r="C8839" s="5" t="str">
        <f>IFERROR(__xludf.DUMMYFUNCTION("GOOGLETRANSLATE(A8839,""en"",""hy"")"),"Ո՞վ է գրել «Մակբեթ» պիեսը։")</f>
        <v>Ո՞վ է գրել «Մակբեթ» պիեսը։</v>
      </c>
      <c r="D8839" s="6" t="str">
        <f>IFERROR(__xludf.DUMMYFUNCTION("GOOGLETRANSLATE(B8839,""en"",""hy"")"),"Ուիլյամ Շեքսպիր.")</f>
        <v>Ուիլյամ Շեքսպիր.</v>
      </c>
    </row>
    <row r="8840">
      <c r="A8840" s="5" t="s">
        <v>8672</v>
      </c>
      <c r="B8840" s="5" t="s">
        <v>7921</v>
      </c>
      <c r="C8840" s="5" t="str">
        <f>IFERROR(__xludf.DUMMYFUNCTION("GOOGLETRANSLATE(A8840,""en"",""hy"")"),"Ո՞ր երկրում կգտնեք Թաջ Մահալը:")</f>
        <v>Ո՞ր երկրում կգտնեք Թաջ Մահալը:</v>
      </c>
      <c r="D8840" s="6" t="str">
        <f>IFERROR(__xludf.DUMMYFUNCTION("GOOGLETRANSLATE(B8840,""en"",""hy"")"),"Հնդկաստան.")</f>
        <v>Հնդկաստան.</v>
      </c>
    </row>
    <row r="8841">
      <c r="A8841" s="5" t="s">
        <v>7471</v>
      </c>
      <c r="B8841" s="5" t="s">
        <v>7472</v>
      </c>
      <c r="C8841" s="5" t="str">
        <f>IFERROR(__xludf.DUMMYFUNCTION("GOOGLETRANSLATE(A8841,""en"",""hy"")"),"Ո՞րն է Երկրի ամենամեծ կենդանին:")</f>
        <v>Ո՞րն է Երկրի ամենամեծ կենդանին:</v>
      </c>
      <c r="D8841" s="6" t="str">
        <f>IFERROR(__xludf.DUMMYFUNCTION("GOOGLETRANSLATE(B8841,""en"",""hy"")"),"Կապույտ կետը.")</f>
        <v>Կապույտ կետը.</v>
      </c>
    </row>
    <row r="8842">
      <c r="A8842" s="5" t="s">
        <v>9937</v>
      </c>
      <c r="B8842" s="5" t="s">
        <v>9938</v>
      </c>
      <c r="C8842" s="5" t="str">
        <f>IFERROR(__xludf.DUMMYFUNCTION("GOOGLETRANSLATE(A8842,""en"",""hy"")"),"Ո՞վ է հունական արևի աստվածը:")</f>
        <v>Ո՞վ է հունական արևի աստվածը:</v>
      </c>
      <c r="D8842" s="6" t="str">
        <f>IFERROR(__xludf.DUMMYFUNCTION("GOOGLETRANSLATE(B8842,""en"",""hy"")"),"Արեգակի հունական աստվածը Ապոլոնն է:")</f>
        <v>Արեգակի հունական աստվածը Ապոլոնն է:</v>
      </c>
    </row>
    <row r="8843">
      <c r="A8843" s="5" t="s">
        <v>7809</v>
      </c>
      <c r="B8843" s="5" t="s">
        <v>8061</v>
      </c>
      <c r="C8843" s="5" t="str">
        <f>IFERROR(__xludf.DUMMYFUNCTION("GOOGLETRANSLATE(A8843,""en"",""hy"")"),"Ո՞րն է հելիումի քիմիական նշանը:")</f>
        <v>Ո՞րն է հելիումի քիմիական նշանը:</v>
      </c>
      <c r="D8843" s="6" t="str">
        <f>IFERROR(__xludf.DUMMYFUNCTION("GOOGLETRANSLATE(B8843,""en"",""hy"")"),"Հելիումի քիմիական նշանը Նա է:")</f>
        <v>Հելիումի քիմիական նշանը Նա է:</v>
      </c>
    </row>
    <row r="8844">
      <c r="A8844" s="5" t="s">
        <v>7858</v>
      </c>
      <c r="B8844" s="5" t="s">
        <v>7448</v>
      </c>
      <c r="C8844" s="5" t="str">
        <f>IFERROR(__xludf.DUMMYFUNCTION("GOOGLETRANSLATE(A8844,""en"",""hy"")"),"Ո՞վ է նկարել «Մոնա Լիզան»:")</f>
        <v>Ո՞վ է նկարել «Մոնա Լիզան»:</v>
      </c>
      <c r="D8844" s="6" t="str">
        <f>IFERROR(__xludf.DUMMYFUNCTION("GOOGLETRANSLATE(B8844,""en"",""hy"")"),"Լեոնարդո դա Վինչի.")</f>
        <v>Լեոնարդո դա Վինչի.</v>
      </c>
    </row>
    <row r="8845">
      <c r="A8845" s="5" t="s">
        <v>8025</v>
      </c>
      <c r="B8845" s="5" t="s">
        <v>8026</v>
      </c>
      <c r="C8845" s="5" t="str">
        <f>IFERROR(__xludf.DUMMYFUNCTION("GOOGLETRANSLATE(A8845,""en"",""hy"")"),"Ո՞րն է Չինաստանի պաշտոնական լեզուն:")</f>
        <v>Ո՞րն է Չինաստանի պաշտոնական լեզուն:</v>
      </c>
      <c r="D8845" s="6" t="str">
        <f>IFERROR(__xludf.DUMMYFUNCTION("GOOGLETRANSLATE(B8845,""en"",""hy"")"),"Չինաստանի պաշտոնական լեզուն մանդարին չինարենն է։")</f>
        <v>Չինաստանի պաշտոնական լեզուն մանդարին չինարենն է։</v>
      </c>
    </row>
    <row r="8846">
      <c r="A8846" s="5" t="s">
        <v>7850</v>
      </c>
      <c r="B8846" s="5" t="s">
        <v>8301</v>
      </c>
      <c r="C8846" s="5" t="str">
        <f>IFERROR(__xludf.DUMMYFUNCTION("GOOGLETRANSLATE(A8846,""en"",""hy"")"),"Ո՞րն է մեր արեգակնային համակարգի ամենափոքր մոլորակը:")</f>
        <v>Ո՞րն է մեր արեգակնային համակարգի ամենափոքր մոլորակը:</v>
      </c>
      <c r="D8846" s="6" t="str">
        <f>IFERROR(__xludf.DUMMYFUNCTION("GOOGLETRANSLATE(B8846,""en"",""hy"")"),"Մերկուրի.")</f>
        <v>Մերկուրի.</v>
      </c>
    </row>
    <row r="8847">
      <c r="A8847" s="5" t="s">
        <v>7966</v>
      </c>
      <c r="B8847" s="5" t="s">
        <v>7967</v>
      </c>
      <c r="C8847" s="5" t="str">
        <f>IFERROR(__xludf.DUMMYFUNCTION("GOOGLETRANSLATE(A8847,""en"",""hy"")"),"Ո՞վ է եղել առաջին կինը, ով Նոբելյան մրցանակ է ստացել:")</f>
        <v>Ո՞վ է եղել առաջին կինը, ով Նոբելյան մրցանակ է ստացել:</v>
      </c>
      <c r="D8847" s="6" t="str">
        <f>IFERROR(__xludf.DUMMYFUNCTION("GOOGLETRANSLATE(B8847,""en"",""hy"")"),"Մարի Կյուրի.")</f>
        <v>Մարի Կյուրի.</v>
      </c>
    </row>
    <row r="8848">
      <c r="A8848" s="5" t="s">
        <v>8036</v>
      </c>
      <c r="B8848" s="5" t="s">
        <v>9939</v>
      </c>
      <c r="C8848" s="5" t="str">
        <f>IFERROR(__xludf.DUMMYFUNCTION("GOOGLETRANSLATE(A8848,""en"",""hy"")"),"Ո՞րն է աշխարհի ամենախորը օվկիանոսային խրամատը:")</f>
        <v>Ո՞րն է աշխարհի ամենախորը օվկիանոսային խրամատը:</v>
      </c>
      <c r="D8848" s="6" t="str">
        <f>IFERROR(__xludf.DUMMYFUNCTION("GOOGLETRANSLATE(B8848,""en"",""hy"")"),"Մարիանայի խրամատը աշխարհի ամենախորը օվկիանոսային խրամատն է:")</f>
        <v>Մարիանայի խրամատը աշխարհի ամենախորը օվկիանոսային խրամատն է:</v>
      </c>
    </row>
    <row r="8849">
      <c r="A8849" s="5" t="s">
        <v>8441</v>
      </c>
      <c r="B8849" s="5" t="s">
        <v>7560</v>
      </c>
      <c r="C8849" s="5" t="str">
        <f>IFERROR(__xludf.DUMMYFUNCTION("GOOGLETRANSLATE(A8849,""en"",""hy"")"),"Ո՞վ է գրել «The Catcher in the Rye» գիրքը:")</f>
        <v>Ո՞վ է գրել «The Catcher in the Rye» գիրքը:</v>
      </c>
      <c r="D8849" s="6" t="str">
        <f>IFERROR(__xludf.DUMMYFUNCTION("GOOGLETRANSLATE(B8849,""en"",""hy"")"),"Ջ.Դ.Սելինջեր.")</f>
        <v>Ջ.Դ.Սելինջեր.</v>
      </c>
    </row>
    <row r="8850">
      <c r="A8850" s="5" t="s">
        <v>8495</v>
      </c>
      <c r="B8850" s="7">
        <v>1776.0</v>
      </c>
      <c r="C8850" s="5" t="str">
        <f>IFERROR(__xludf.DUMMYFUNCTION("GOOGLETRANSLATE(A8850,""en"",""hy"")"),"Ո՞ր թվականին է ստորագրվել Անկախության հռչակագիրը։")</f>
        <v>Ո՞ր թվականին է ստորագրվել Անկախության հռչակագիրը։</v>
      </c>
      <c r="D8850" s="6" t="str">
        <f>IFERROR(__xludf.DUMMYFUNCTION("GOOGLETRANSLATE(B8850,""en"",""hy"")"),"1776 թ")</f>
        <v>1776 թ</v>
      </c>
    </row>
    <row r="8851">
      <c r="A8851" s="5" t="s">
        <v>7589</v>
      </c>
      <c r="B8851" s="5" t="s">
        <v>7545</v>
      </c>
      <c r="C8851" s="5" t="str">
        <f>IFERROR(__xludf.DUMMYFUNCTION("GOOGLETRANSLATE(A8851,""en"",""hy"")"),"Ո՞րն է Իտալիայի մայրաքաղաքը:")</f>
        <v>Ո՞րն է Իտալիայի մայրաքաղաքը:</v>
      </c>
      <c r="D8851" s="6" t="str">
        <f>IFERROR(__xludf.DUMMYFUNCTION("GOOGLETRANSLATE(B8851,""en"",""hy"")"),"Հռոմ.")</f>
        <v>Հռոմ.</v>
      </c>
    </row>
    <row r="8852">
      <c r="A8852" s="5" t="s">
        <v>9940</v>
      </c>
      <c r="B8852" s="5" t="s">
        <v>8038</v>
      </c>
      <c r="C8852" s="5" t="str">
        <f>IFERROR(__xludf.DUMMYFUNCTION("GOOGLETRANSLATE(A8852,""en"",""hy"")"),"Ո՞վ է հորինել «Սիմֆոնիա թիվ 9» սիմֆոնիան:")</f>
        <v>Ո՞վ է հորինել «Սիմֆոնիա թիվ 9» սիմֆոնիան:</v>
      </c>
      <c r="D8852" s="6" t="str">
        <f>IFERROR(__xludf.DUMMYFUNCTION("GOOGLETRANSLATE(B8852,""en"",""hy"")"),"Լյուդվիգ վան Բեթհովեն.")</f>
        <v>Լյուդվիգ վան Բեթհովեն.</v>
      </c>
    </row>
    <row r="8853">
      <c r="A8853" s="5" t="s">
        <v>7699</v>
      </c>
      <c r="B8853" s="5" t="s">
        <v>7700</v>
      </c>
      <c r="C8853" s="5" t="str">
        <f>IFERROR(__xludf.DUMMYFUNCTION("GOOGLETRANSLATE(A8853,""en"",""hy"")"),"Ո՞րն է ածխածնի քիմիական նշանը:")</f>
        <v>Ո՞րն է ածխածնի քիմիական նշանը:</v>
      </c>
      <c r="D8853" s="6" t="str">
        <f>IFERROR(__xludf.DUMMYFUNCTION("GOOGLETRANSLATE(B8853,""en"",""hy"")"),"Ածխածնի քիմիական նշանը C է:")</f>
        <v>Ածխածնի քիմիական նշանը C է:</v>
      </c>
    </row>
    <row r="8854">
      <c r="A8854" s="5" t="s">
        <v>9941</v>
      </c>
      <c r="B8854" s="5" t="s">
        <v>6089</v>
      </c>
      <c r="C8854" s="5" t="str">
        <f>IFERROR(__xludf.DUMMYFUNCTION("GOOGLETRANSLATE(A8854,""en"",""hy"")"),"Ո՞վ էր Խորհրդային Միության ղեկավարը Երկրորդ համաշխարհային պատերազմի ժամանակ:")</f>
        <v>Ո՞վ էր Խորհրդային Միության ղեկավարը Երկրորդ համաշխարհային պատերազմի ժամանակ:</v>
      </c>
      <c r="D8854" s="6" t="str">
        <f>IFERROR(__xludf.DUMMYFUNCTION("GOOGLETRANSLATE(B8854,""en"",""hy"")"),"Իոսիֆ Ստալին.")</f>
        <v>Իոսիֆ Ստալին.</v>
      </c>
    </row>
    <row r="8855">
      <c r="A8855" s="5" t="s">
        <v>7513</v>
      </c>
      <c r="B8855" s="5" t="s">
        <v>8337</v>
      </c>
      <c r="C8855" s="5" t="str">
        <f>IFERROR(__xludf.DUMMYFUNCTION("GOOGLETRANSLATE(A8855,""en"",""hy"")"),"Ո՞րն է աշխարհի ամենամեծ անապատը:")</f>
        <v>Ո՞րն է աշխարհի ամենամեծ անապատը:</v>
      </c>
      <c r="D8855" s="6" t="str">
        <f>IFERROR(__xludf.DUMMYFUNCTION("GOOGLETRANSLATE(B8855,""en"",""hy"")"),"Աշխարհի ամենամեծ անապատը Անտարկտիդայի անապատն է։")</f>
        <v>Աշխարհի ամենամեծ անապատը Անտարկտիդայի անապատն է։</v>
      </c>
    </row>
    <row r="8856">
      <c r="A8856" s="5" t="s">
        <v>7683</v>
      </c>
      <c r="B8856" s="5" t="s">
        <v>1016</v>
      </c>
      <c r="C8856" s="5" t="str">
        <f>IFERROR(__xludf.DUMMYFUNCTION("GOOGLETRANSLATE(A8856,""en"",""hy"")"),"Ո՞վ է գրել «Համլետ» պիեսը։")</f>
        <v>Ո՞վ է գրել «Համլետ» պիեսը։</v>
      </c>
      <c r="D8856" s="6" t="str">
        <f>IFERROR(__xludf.DUMMYFUNCTION("GOOGLETRANSLATE(B8856,""en"",""hy"")"),"Ուիլյամ Շեքսպիր.")</f>
        <v>Ուիլյամ Շեքսպիր.</v>
      </c>
    </row>
    <row r="8857">
      <c r="A8857" s="5" t="s">
        <v>7817</v>
      </c>
      <c r="B8857" s="5" t="s">
        <v>7818</v>
      </c>
      <c r="C8857" s="5" t="str">
        <f>IFERROR(__xludf.DUMMYFUNCTION("GOOGLETRANSLATE(A8857,""en"",""hy"")"),"Ո՞րն է Կանադայի ազգային կենդանին:")</f>
        <v>Ո՞րն է Կանադայի ազգային կենդանին:</v>
      </c>
      <c r="D8857" s="6" t="str">
        <f>IFERROR(__xludf.DUMMYFUNCTION("GOOGLETRANSLATE(B8857,""en"",""hy"")"),"Կանադայի ազգային կենդանին կեղևն է:")</f>
        <v>Կանադայի ազգային կենդանին կեղևն է:</v>
      </c>
    </row>
    <row r="8858">
      <c r="A8858" s="5" t="s">
        <v>9942</v>
      </c>
      <c r="B8858" s="5" t="s">
        <v>7712</v>
      </c>
      <c r="C8858" s="5" t="str">
        <f>IFERROR(__xludf.DUMMYFUNCTION("GOOGLETRANSLATE(A8858,""en"",""hy"")"),"Ո՞ր քաղաքում կարող եք գտնել Ազատության արձանը:")</f>
        <v>Ո՞ր քաղաքում կարող եք գտնել Ազատության արձանը:</v>
      </c>
      <c r="D8858" s="6" t="str">
        <f>IFERROR(__xludf.DUMMYFUNCTION("GOOGLETRANSLATE(B8858,""en"",""hy"")"),"Նյու Յորք քաղաք.")</f>
        <v>Նյու Յորք քաղաք.</v>
      </c>
    </row>
    <row r="8859">
      <c r="A8859" s="5" t="s">
        <v>7893</v>
      </c>
      <c r="B8859" s="5" t="s">
        <v>7894</v>
      </c>
      <c r="C8859" s="5" t="str">
        <f>IFERROR(__xludf.DUMMYFUNCTION("GOOGLETRANSLATE(A8859,""en"",""hy"")"),"Ո՞րն է կալիումի քիմիական նշանը:")</f>
        <v>Ո՞րն է կալիումի քիմիական նշանը:</v>
      </c>
      <c r="D8859" s="6" t="str">
        <f>IFERROR(__xludf.DUMMYFUNCTION("GOOGLETRANSLATE(B8859,""en"",""hy"")"),"Կալիումի քիմիական նշանը Կ.")</f>
        <v>Կալիումի քիմիական նշանը Կ.</v>
      </c>
    </row>
    <row r="8860">
      <c r="A8860" s="5" t="s">
        <v>8637</v>
      </c>
      <c r="B8860" s="5" t="s">
        <v>7607</v>
      </c>
      <c r="C8860" s="5" t="str">
        <f>IFERROR(__xludf.DUMMYFUNCTION("GOOGLETRANSLATE(A8860,""en"",""hy"")"),"Ո՞վ է հայտնի որպես «Էվոլյուցիայի հայր»:")</f>
        <v>Ո՞վ է հայտնի որպես «Էվոլյուցիայի հայր»:</v>
      </c>
      <c r="D8860" s="6" t="str">
        <f>IFERROR(__xludf.DUMMYFUNCTION("GOOGLETRANSLATE(B8860,""en"",""hy"")"),"Չարլզ Դարվին.")</f>
        <v>Չարլզ Դարվին.</v>
      </c>
    </row>
    <row r="8861">
      <c r="A8861" s="5" t="s">
        <v>7672</v>
      </c>
      <c r="B8861" s="5" t="s">
        <v>9635</v>
      </c>
      <c r="C8861" s="5" t="str">
        <f>IFERROR(__xludf.DUMMYFUNCTION("GOOGLETRANSLATE(A8861,""en"",""hy"")"),"Ո՞րն է Հարավային Ամերիկայի ամենամեծ երկիրը:")</f>
        <v>Ո՞րն է Հարավային Ամերիկայի ամենամեծ երկիրը:</v>
      </c>
      <c r="D8861" s="6" t="str">
        <f>IFERROR(__xludf.DUMMYFUNCTION("GOOGLETRANSLATE(B8861,""en"",""hy"")"),"Բրազիլիա")</f>
        <v>Բրազիլիա</v>
      </c>
    </row>
    <row r="8862">
      <c r="A8862" s="5" t="s">
        <v>9943</v>
      </c>
      <c r="B8862" s="5" t="s">
        <v>7474</v>
      </c>
      <c r="C8862" s="5" t="str">
        <f>IFERROR(__xludf.DUMMYFUNCTION("GOOGLETRANSLATE(A8862,""en"",""hy"")"),"Ո՞վ է նկարել «Սիքստինյան կապելլայի առաստաղը»:")</f>
        <v>Ո՞վ է նկարել «Սիքստինյան կապելլայի առաստաղը»:</v>
      </c>
      <c r="D8862" s="6" t="str">
        <f>IFERROR(__xludf.DUMMYFUNCTION("GOOGLETRANSLATE(B8862,""en"",""hy"")"),"Միքելանջելո.")</f>
        <v>Միքելանջելո.</v>
      </c>
    </row>
    <row r="8863">
      <c r="A8863" s="5" t="s">
        <v>9944</v>
      </c>
      <c r="B8863" s="5" t="s">
        <v>3196</v>
      </c>
      <c r="C8863" s="5" t="str">
        <f>IFERROR(__xludf.DUMMYFUNCTION("GOOGLETRANSLATE(A8863,""en"",""hy"")"),"Ո՞վ է եղել Միացյալ Նահանգների առաջին աֆրոամերիկացի նախագահը:")</f>
        <v>Ո՞վ է եղել Միացյալ Նահանգների առաջին աֆրոամերիկացի նախագահը:</v>
      </c>
      <c r="D8863" s="6" t="str">
        <f>IFERROR(__xludf.DUMMYFUNCTION("GOOGLETRANSLATE(B8863,""en"",""hy"")"),"Բարաք Օբամա.")</f>
        <v>Բարաք Օբամա.</v>
      </c>
    </row>
    <row r="8864">
      <c r="A8864" s="5" t="s">
        <v>7872</v>
      </c>
      <c r="B8864" s="5" t="s">
        <v>1307</v>
      </c>
      <c r="C8864" s="5" t="str">
        <f>IFERROR(__xludf.DUMMYFUNCTION("GOOGLETRANSLATE(A8864,""en"",""hy"")"),"Ո՞րն է Իսպանիայի մայրաքաղաքը:")</f>
        <v>Ո՞րն է Իսպանիայի մայրաքաղաքը:</v>
      </c>
      <c r="D8864" s="6" t="str">
        <f>IFERROR(__xludf.DUMMYFUNCTION("GOOGLETRANSLATE(B8864,""en"",""hy"")"),"Մադրիդ.")</f>
        <v>Մադրիդ.</v>
      </c>
    </row>
    <row r="8865">
      <c r="A8865" s="5" t="s">
        <v>9054</v>
      </c>
      <c r="B8865" s="5" t="s">
        <v>7573</v>
      </c>
      <c r="C8865" s="5" t="str">
        <f>IFERROR(__xludf.DUMMYFUNCTION("GOOGLETRANSLATE(A8865,""en"",""hy"")"),"Ո՞վ է հորինել լույսի լամպը:")</f>
        <v>Ո՞վ է հորինել լույսի լամպը:</v>
      </c>
      <c r="D8865" s="6" t="str">
        <f>IFERROR(__xludf.DUMMYFUNCTION("GOOGLETRANSLATE(B8865,""en"",""hy"")"),"Թոմաս Էդիսոն.")</f>
        <v>Թոմաս Էդիսոն.</v>
      </c>
    </row>
    <row r="8866">
      <c r="A8866" s="5" t="s">
        <v>7761</v>
      </c>
      <c r="B8866" s="5" t="s">
        <v>7762</v>
      </c>
      <c r="C8866" s="5" t="str">
        <f>IFERROR(__xludf.DUMMYFUNCTION("GOOGLETRANSLATE(A8866,""en"",""hy"")"),"Ո՞րն է ջրածնի քիմիական նշանը:")</f>
        <v>Ո՞րն է ջրածնի քիմիական նշանը:</v>
      </c>
      <c r="D8866" s="6" t="str">
        <f>IFERROR(__xludf.DUMMYFUNCTION("GOOGLETRANSLATE(B8866,""en"",""hy"")"),"Հ")</f>
        <v>Հ</v>
      </c>
    </row>
    <row r="8867">
      <c r="A8867" s="5" t="s">
        <v>8010</v>
      </c>
      <c r="B8867" s="5" t="s">
        <v>7578</v>
      </c>
      <c r="C8867" s="5" t="str">
        <f>IFERROR(__xludf.DUMMYFUNCTION("GOOGLETRANSLATE(A8867,""en"",""hy"")"),"Ո՞վ է գրել «Մոբի-Դիկ» վեպը:")</f>
        <v>Ո՞վ է գրել «Մոբի-Դիկ» վեպը:</v>
      </c>
      <c r="D8867" s="6" t="str">
        <f>IFERROR(__xludf.DUMMYFUNCTION("GOOGLETRANSLATE(B8867,""en"",""hy"")"),"Հերման Մելվիլ.")</f>
        <v>Հերման Մելվիլ.</v>
      </c>
    </row>
    <row r="8868">
      <c r="A8868" s="5" t="s">
        <v>9534</v>
      </c>
      <c r="B8868" s="5" t="s">
        <v>7733</v>
      </c>
      <c r="C8868" s="5" t="str">
        <f>IFERROR(__xludf.DUMMYFUNCTION("GOOGLETRANSLATE(A8868,""en"",""hy"")"),"Ո՞րն է աշխարհի ամենաբարձր ջրվեժը:")</f>
        <v>Ո՞րն է աշխարհի ամենաբարձր ջրվեժը:</v>
      </c>
      <c r="D8868" s="6" t="str">
        <f>IFERROR(__xludf.DUMMYFUNCTION("GOOGLETRANSLATE(B8868,""en"",""hy"")"),"Angel Falls.")</f>
        <v>Angel Falls.</v>
      </c>
    </row>
    <row r="8869">
      <c r="A8869" s="5" t="s">
        <v>9945</v>
      </c>
      <c r="B8869" s="5" t="s">
        <v>7478</v>
      </c>
      <c r="C8869" s="5" t="str">
        <f>IFERROR(__xludf.DUMMYFUNCTION("GOOGLETRANSLATE(A8869,""en"",""hy"")"),"Ո՞ր երկիրն է հայտնի սուշիի գյուտով:")</f>
        <v>Ո՞ր երկիրն է հայտնի սուշիի գյուտով:</v>
      </c>
      <c r="D8869" s="6" t="str">
        <f>IFERROR(__xludf.DUMMYFUNCTION("GOOGLETRANSLATE(B8869,""en"",""hy"")"),"Ճապոնիա.")</f>
        <v>Ճապոնիա.</v>
      </c>
    </row>
    <row r="8870">
      <c r="A8870" s="5" t="s">
        <v>8325</v>
      </c>
      <c r="B8870" s="5" t="s">
        <v>8326</v>
      </c>
      <c r="C8870" s="5" t="str">
        <f>IFERROR(__xludf.DUMMYFUNCTION("GOOGLETRANSLATE(A8870,""en"",""hy"")"),"Ո՞վ է հունական սիրո և գեղեցկության աստվածուհին:")</f>
        <v>Ո՞վ է հունական սիրո և գեղեցկության աստվածուհին:</v>
      </c>
      <c r="D8870" s="6" t="str">
        <f>IFERROR(__xludf.DUMMYFUNCTION("GOOGLETRANSLATE(B8870,""en"",""hy"")"),"Աֆրոդիտե.")</f>
        <v>Աֆրոդիտե.</v>
      </c>
    </row>
    <row r="8871">
      <c r="A8871" s="5" t="s">
        <v>7875</v>
      </c>
      <c r="B8871" s="5" t="s">
        <v>7876</v>
      </c>
      <c r="C8871" s="5" t="str">
        <f>IFERROR(__xludf.DUMMYFUNCTION("GOOGLETRANSLATE(A8871,""en"",""hy"")"),"Ո՞րն է ազոտի քիմիական նշանը:")</f>
        <v>Ո՞րն է ազոտի քիմիական նշանը:</v>
      </c>
      <c r="D8871" s="6" t="str">
        <f>IFERROR(__xludf.DUMMYFUNCTION("GOOGLETRANSLATE(B8871,""en"",""hy"")"),"Ազոտի քիմիական նշանն է N.")</f>
        <v>Ազոտի քիմիական նշանն է N.</v>
      </c>
    </row>
    <row r="8872">
      <c r="A8872" s="5" t="s">
        <v>7978</v>
      </c>
      <c r="B8872" s="5" t="s">
        <v>7549</v>
      </c>
      <c r="C8872" s="5" t="str">
        <f>IFERROR(__xludf.DUMMYFUNCTION("GOOGLETRANSLATE(A8872,""en"",""hy"")"),"Ո՞վ է նկարել «Մարգարտյա ականջօղով աղջիկը».")</f>
        <v>Ո՞վ է նկարել «Մարգարտյա ականջօղով աղջիկը».</v>
      </c>
      <c r="D8872" s="6" t="str">
        <f>IFERROR(__xludf.DUMMYFUNCTION("GOOGLETRANSLATE(B8872,""en"",""hy"")"),"Յոհաննես Վերմեեր.")</f>
        <v>Յոհաննես Վերմեեր.</v>
      </c>
    </row>
    <row r="8873">
      <c r="A8873" s="5" t="s">
        <v>8564</v>
      </c>
      <c r="B8873" s="5" t="s">
        <v>7837</v>
      </c>
      <c r="C8873" s="5" t="str">
        <f>IFERROR(__xludf.DUMMYFUNCTION("GOOGLETRANSLATE(A8873,""en"",""hy"")"),"Ո՞ր թվականին է սկսվել Առաջին համաշխարհային պատերազմը:")</f>
        <v>Ո՞ր թվականին է սկսվել Առաջին համաշխարհային պատերազմը:</v>
      </c>
      <c r="D8873" s="6" t="str">
        <f>IFERROR(__xludf.DUMMYFUNCTION("GOOGLETRANSLATE(B8873,""en"",""hy"")"),"Առաջին համաշխարհային պատերազմը սկսվել է 1914 թ.")</f>
        <v>Առաջին համաշխարհային պատերազմը սկսվել է 1914 թ.</v>
      </c>
    </row>
    <row r="8874">
      <c r="A8874" s="5" t="s">
        <v>7506</v>
      </c>
      <c r="B8874" s="5" t="s">
        <v>9705</v>
      </c>
      <c r="C8874" s="5" t="str">
        <f>IFERROR(__xludf.DUMMYFUNCTION("GOOGLETRANSLATE(A8874,""en"",""hy"")"),"Ո՞րն է աշխարհի ամենափոքր երկիրը:")</f>
        <v>Ո՞րն է աշխարհի ամենափոքր երկիրը:</v>
      </c>
      <c r="D8874" s="6" t="str">
        <f>IFERROR(__xludf.DUMMYFUNCTION("GOOGLETRANSLATE(B8874,""en"",""hy"")"),"Քաղաք Վատիկան")</f>
        <v>Քաղաք Վատիկան</v>
      </c>
    </row>
    <row r="8875">
      <c r="A8875" s="5" t="s">
        <v>9946</v>
      </c>
      <c r="B8875" s="5" t="s">
        <v>1016</v>
      </c>
      <c r="C8875" s="5" t="str">
        <f>IFERROR(__xludf.DUMMYFUNCTION("GOOGLETRANSLATE(A8875,""en"",""hy"")"),"Ո՞վ է գրել «Վենետիկի վաճառականը» պիեսը:")</f>
        <v>Ո՞վ է գրել «Վենետիկի վաճառականը» պիեսը:</v>
      </c>
      <c r="D8875" s="6" t="str">
        <f>IFERROR(__xludf.DUMMYFUNCTION("GOOGLETRANSLATE(B8875,""en"",""hy"")"),"Ուիլյամ Շեքսպիր.")</f>
        <v>Ուիլյամ Շեքսպիր.</v>
      </c>
    </row>
    <row r="8876">
      <c r="A8876" s="5" t="s">
        <v>7626</v>
      </c>
      <c r="B8876" s="5" t="s">
        <v>8139</v>
      </c>
      <c r="C8876" s="5" t="str">
        <f>IFERROR(__xludf.DUMMYFUNCTION("GOOGLETRANSLATE(A8876,""en"",""hy"")"),"Ո՞րն է Գերմանիայի մայրաքաղաքը:")</f>
        <v>Ո՞րն է Գերմանիայի մայրաքաղաքը:</v>
      </c>
      <c r="D8876" s="6" t="str">
        <f>IFERROR(__xludf.DUMMYFUNCTION("GOOGLETRANSLATE(B8876,""en"",""hy"")"),"Գերմանիայի մայրաքաղաքը Բեռլինն է։")</f>
        <v>Գերմանիայի մայրաքաղաքը Բեռլինն է։</v>
      </c>
    </row>
    <row r="8877">
      <c r="A8877" s="5" t="s">
        <v>9947</v>
      </c>
      <c r="B8877" s="5" t="s">
        <v>9948</v>
      </c>
      <c r="C8877" s="5" t="str">
        <f>IFERROR(__xludf.DUMMYFUNCTION("GOOGLETRANSLATE(A8877,""en"",""hy"")"),"Ո՞վ է ստեղծել «Eine kleine Nachtmusik» սիմֆոնիան:")</f>
        <v>Ո՞վ է ստեղծել «Eine kleine Nachtmusik» սիմֆոնիան:</v>
      </c>
      <c r="D8877" s="6" t="str">
        <f>IFERROR(__xludf.DUMMYFUNCTION("GOOGLETRANSLATE(B8877,""en"",""hy"")"),"Վոլֆգանգ Ամադեուս Մոցարտ.")</f>
        <v>Վոլֆգանգ Ամադեուս Մոցարտ.</v>
      </c>
    </row>
    <row r="8878">
      <c r="A8878" s="5" t="s">
        <v>8068</v>
      </c>
      <c r="B8878" s="5" t="s">
        <v>8374</v>
      </c>
      <c r="C8878" s="5" t="str">
        <f>IFERROR(__xludf.DUMMYFUNCTION("GOOGLETRANSLATE(A8878,""en"",""hy"")"),"Ո՞րն է պղնձի քիմիական նշանը:")</f>
        <v>Ո՞րն է պղնձի քիմիական նշանը:</v>
      </c>
      <c r="D8878" s="6" t="str">
        <f>IFERROR(__xludf.DUMMYFUNCTION("GOOGLETRANSLATE(B8878,""en"",""hy"")"),"Պղնձի քիմիական նշանը Cu-ն է։")</f>
        <v>Պղնձի քիմիական նշանը Cu-ն է։</v>
      </c>
    </row>
    <row r="8879">
      <c r="A8879" s="5" t="s">
        <v>9741</v>
      </c>
      <c r="B8879" s="5" t="s">
        <v>9560</v>
      </c>
      <c r="C8879" s="5" t="str">
        <f>IFERROR(__xludf.DUMMYFUNCTION("GOOGLETRANSLATE(A8879,""en"",""hy"")"),"Ո՞վ էր առաջին մարդը, ով շրջեց աշխարհը:")</f>
        <v>Ո՞վ էր առաջին մարդը, ով շրջեց աշխարհը:</v>
      </c>
      <c r="D8879" s="6" t="str">
        <f>IFERROR(__xludf.DUMMYFUNCTION("GOOGLETRANSLATE(B8879,""en"",""hy"")"),"Ֆերդինանդ Մագելան.")</f>
        <v>Ֆերդինանդ Մագելան.</v>
      </c>
    </row>
    <row r="8880">
      <c r="A8880" s="5" t="s">
        <v>8330</v>
      </c>
      <c r="B8880" s="5" t="s">
        <v>8331</v>
      </c>
      <c r="C8880" s="5" t="str">
        <f>IFERROR(__xludf.DUMMYFUNCTION("GOOGLETRANSLATE(A8880,""en"",""hy"")"),"Ո՞րն է Միացյալ Նահանգների ազգային ծաղիկը:")</f>
        <v>Ո՞րն է Միացյալ Նահանգների ազգային ծաղիկը:</v>
      </c>
      <c r="D8880" s="6" t="str">
        <f>IFERROR(__xludf.DUMMYFUNCTION("GOOGLETRANSLATE(B8880,""en"",""hy"")"),"Միացյալ Նահանգների ազգային ծաղիկը վարդն է։")</f>
        <v>Միացյալ Նահանգների ազգային ծաղիկը վարդն է։</v>
      </c>
    </row>
    <row r="8881">
      <c r="A8881" s="5" t="s">
        <v>7450</v>
      </c>
      <c r="B8881" s="5" t="s">
        <v>7451</v>
      </c>
      <c r="C8881" s="5" t="str">
        <f>IFERROR(__xludf.DUMMYFUNCTION("GOOGLETRANSLATE(A8881,""en"",""hy"")"),"Ո՞րն է Ավստրալիայի մայրաքաղաքը:")</f>
        <v>Ո՞րն է Ավստրալիայի մայրաքաղաքը:</v>
      </c>
      <c r="D8881" s="6" t="str">
        <f>IFERROR(__xludf.DUMMYFUNCTION("GOOGLETRANSLATE(B8881,""en"",""hy"")"),"Կանբերա.")</f>
        <v>Կանբերա.</v>
      </c>
    </row>
    <row r="8882">
      <c r="A8882" s="5" t="s">
        <v>7447</v>
      </c>
      <c r="B8882" s="5" t="s">
        <v>7448</v>
      </c>
      <c r="C8882" s="5" t="str">
        <f>IFERROR(__xludf.DUMMYFUNCTION("GOOGLETRANSLATE(A8882,""en"",""hy"")"),"Ո՞վ է նկարել Մոնա Լիզան:")</f>
        <v>Ո՞վ է նկարել Մոնա Լիզան:</v>
      </c>
      <c r="D8882" s="6" t="str">
        <f>IFERROR(__xludf.DUMMYFUNCTION("GOOGLETRANSLATE(B8882,""en"",""hy"")"),"Լեոնարդո դա Վինչի.")</f>
        <v>Լեոնարդո դա Վինչի.</v>
      </c>
    </row>
    <row r="8883">
      <c r="A8883" s="5" t="s">
        <v>7513</v>
      </c>
      <c r="B8883" s="5" t="s">
        <v>8337</v>
      </c>
      <c r="C8883" s="5" t="str">
        <f>IFERROR(__xludf.DUMMYFUNCTION("GOOGLETRANSLATE(A8883,""en"",""hy"")"),"Ո՞րն է աշխարհի ամենամեծ անապատը:")</f>
        <v>Ո՞րն է աշխարհի ամենամեծ անապատը:</v>
      </c>
      <c r="D8883" s="6" t="str">
        <f>IFERROR(__xludf.DUMMYFUNCTION("GOOGLETRANSLATE(B8883,""en"",""hy"")"),"Աշխարհի ամենամեծ անապատը Անտարկտիդայի անապատն է։")</f>
        <v>Աշխարհի ամենամեծ անապատը Անտարկտիդայի անապատն է։</v>
      </c>
    </row>
    <row r="8884">
      <c r="A8884" s="5" t="s">
        <v>8011</v>
      </c>
      <c r="B8884" s="7">
        <v>1945.0</v>
      </c>
      <c r="C8884" s="5" t="str">
        <f>IFERROR(__xludf.DUMMYFUNCTION("GOOGLETRANSLATE(A8884,""en"",""hy"")"),"Ո՞ր թվականին ավարտվեց Երկրորդ համաշխարհային պատերազմը:")</f>
        <v>Ո՞ր թվականին ավարտվեց Երկրորդ համաշխարհային պատերազմը:</v>
      </c>
      <c r="D8884" s="6" t="str">
        <f>IFERROR(__xludf.DUMMYFUNCTION("GOOGLETRANSLATE(B8884,""en"",""hy"")"),"1945 թ")</f>
        <v>1945 թ</v>
      </c>
    </row>
    <row r="8885">
      <c r="A8885" s="5" t="s">
        <v>7452</v>
      </c>
      <c r="B8885" s="5" t="s">
        <v>7453</v>
      </c>
      <c r="C8885" s="5" t="str">
        <f>IFERROR(__xludf.DUMMYFUNCTION("GOOGLETRANSLATE(A8885,""en"",""hy"")"),"Ո՞րն է ոսկու քիմիական նշանը:")</f>
        <v>Ո՞րն է ոսկու քիմիական նշանը:</v>
      </c>
      <c r="D8885" s="6" t="str">
        <f>IFERROR(__xludf.DUMMYFUNCTION("GOOGLETRANSLATE(B8885,""en"",""hy"")"),"Ոսկու քիմիական նշանը Au-ն է:")</f>
        <v>Ոսկու քիմիական նշանը Au-ն է:</v>
      </c>
    </row>
    <row r="8886">
      <c r="A8886" s="5" t="s">
        <v>7849</v>
      </c>
      <c r="B8886" s="5" t="s">
        <v>7541</v>
      </c>
      <c r="C8886" s="5" t="str">
        <f>IFERROR(__xludf.DUMMYFUNCTION("GOOGLETRANSLATE(A8886,""en"",""hy"")"),"Ո՞վ է գրել «Սպանել ծաղրող թռչունին» վեպը:")</f>
        <v>Ո՞վ է գրել «Սպանել ծաղրող թռչունին» վեպը:</v>
      </c>
      <c r="D8886" s="6" t="str">
        <f>IFERROR(__xludf.DUMMYFUNCTION("GOOGLETRANSLATE(B8886,""en"",""hy"")"),"Հարփեր Լի.")</f>
        <v>Հարփեր Լի.</v>
      </c>
    </row>
    <row r="8887">
      <c r="A8887" s="5" t="s">
        <v>7632</v>
      </c>
      <c r="B8887" s="5" t="s">
        <v>7912</v>
      </c>
      <c r="C8887" s="5" t="str">
        <f>IFERROR(__xludf.DUMMYFUNCTION("GOOGLETRANSLATE(A8887,""en"",""hy"")"),"Ո՞րն է մեր արեգակնային համակարգի ամենամեծ մոլորակը:")</f>
        <v>Ո՞րն է մեր արեգակնային համակարգի ամենամեծ մոլորակը:</v>
      </c>
      <c r="D8887" s="6" t="str">
        <f>IFERROR(__xludf.DUMMYFUNCTION("GOOGLETRANSLATE(B8887,""en"",""hy"")"),"Յուպիտեր")</f>
        <v>Յուպիտեր</v>
      </c>
    </row>
    <row r="8888">
      <c r="A8888" s="5" t="s">
        <v>7504</v>
      </c>
      <c r="B8888" s="5" t="s">
        <v>7505</v>
      </c>
      <c r="C8888" s="5" t="str">
        <f>IFERROR(__xludf.DUMMYFUNCTION("GOOGLETRANSLATE(A8888,""en"",""hy"")"),"Ո՞վ է Միացյալ Նահանգների ներկայիս նախագահը:")</f>
        <v>Ո՞վ է Միացյալ Նահանգների ներկայիս նախագահը:</v>
      </c>
      <c r="D8888" s="6" t="str">
        <f>IFERROR(__xludf.DUMMYFUNCTION("GOOGLETRANSLATE(B8888,""en"",""hy"")"),"Ջո Բայդեն.")</f>
        <v>Ջո Բայդեն.</v>
      </c>
    </row>
    <row r="8889">
      <c r="A8889" s="5" t="s">
        <v>7463</v>
      </c>
      <c r="B8889" s="5" t="s">
        <v>7464</v>
      </c>
      <c r="C8889" s="5" t="str">
        <f>IFERROR(__xludf.DUMMYFUNCTION("GOOGLETRANSLATE(A8889,""en"",""hy"")"),"Ո՞րն է աշխարհի ամենաբարձր լեռը:")</f>
        <v>Ո՞րն է աշխարհի ամենաբարձր լեռը:</v>
      </c>
      <c r="D8889" s="6" t="str">
        <f>IFERROR(__xludf.DUMMYFUNCTION("GOOGLETRANSLATE(B8889,""en"",""hy"")"),"Էվերեստ լեռ.")</f>
        <v>Էվերեստ լեռ.</v>
      </c>
    </row>
    <row r="8890">
      <c r="A8890" s="5" t="s">
        <v>7922</v>
      </c>
      <c r="B8890" s="5" t="s">
        <v>7923</v>
      </c>
      <c r="C8890" s="5" t="str">
        <f>IFERROR(__xludf.DUMMYFUNCTION("GOOGLETRANSLATE(A8890,""en"",""hy"")"),"Ո՞րն է Բրազիլիայում խոսվող հիմնական լեզուն:")</f>
        <v>Ո՞րն է Բրազիլիայում խոսվող հիմնական լեզուն:</v>
      </c>
      <c r="D8890" s="6" t="str">
        <f>IFERROR(__xludf.DUMMYFUNCTION("GOOGLETRANSLATE(B8890,""en"",""hy"")"),"Բրազիլիայում խոսվող հիմնական լեզուն պորտուգալերենն է։")</f>
        <v>Բրազիլիայում խոսվող հիմնական լեզուն պորտուգալերենն է։</v>
      </c>
    </row>
    <row r="8891">
      <c r="A8891" s="5" t="s">
        <v>7640</v>
      </c>
      <c r="B8891" s="5" t="s">
        <v>8107</v>
      </c>
      <c r="C8891" s="5" t="str">
        <f>IFERROR(__xludf.DUMMYFUNCTION("GOOGLETRANSLATE(A8891,""en"",""hy"")"),"Ո՞վ է գրել «Ռոմեո և Ջուլիետ» պիեսը:")</f>
        <v>Ո՞վ է գրել «Ռոմեո և Ջուլիետ» պիեսը:</v>
      </c>
      <c r="D8891" s="6" t="str">
        <f>IFERROR(__xludf.DUMMYFUNCTION("GOOGLETRANSLATE(B8891,""en"",""hy"")"),"Ուիլյամ Շեքսպիր")</f>
        <v>Ուիլյամ Շեքսպիր</v>
      </c>
    </row>
    <row r="8892">
      <c r="A8892" s="5" t="s">
        <v>8715</v>
      </c>
      <c r="B8892" s="5" t="s">
        <v>8716</v>
      </c>
      <c r="C8892" s="5" t="str">
        <f>IFERROR(__xludf.DUMMYFUNCTION("GOOGLETRANSLATE(A8892,""en"",""hy"")"),"Ո՞րն է Անգլիայի ազգային կենդանին:")</f>
        <v>Ո՞րն է Անգլիայի ազգային կենդանին:</v>
      </c>
      <c r="D8892" s="6" t="str">
        <f>IFERROR(__xludf.DUMMYFUNCTION("GOOGLETRANSLATE(B8892,""en"",""hy"")"),"Անգլիայի ազգային կենդանին առյուծն է։")</f>
        <v>Անգլիայի ազգային կենդանին առյուծն է։</v>
      </c>
    </row>
    <row r="8893">
      <c r="A8893" s="5" t="s">
        <v>7502</v>
      </c>
      <c r="B8893" s="5" t="s">
        <v>7503</v>
      </c>
      <c r="C8893" s="5" t="str">
        <f>IFERROR(__xludf.DUMMYFUNCTION("GOOGLETRANSLATE(A8893,""en"",""hy"")"),"Քանի՞ կողմ ունի վեցանկյունը:")</f>
        <v>Քանի՞ կողմ ունի վեցանկյունը:</v>
      </c>
      <c r="D8893" s="6" t="str">
        <f>IFERROR(__xludf.DUMMYFUNCTION("GOOGLETRANSLATE(B8893,""en"",""hy"")"),"Վեցանկյունն ունի վեց կողմ:")</f>
        <v>Վեցանկյունն ունի վեց կողմ:</v>
      </c>
    </row>
    <row r="8894">
      <c r="A8894" s="5" t="s">
        <v>8078</v>
      </c>
      <c r="B8894" s="5" t="s">
        <v>7784</v>
      </c>
      <c r="C8894" s="5" t="str">
        <f>IFERROR(__xludf.DUMMYFUNCTION("GOOGLETRANSLATE(A8894,""en"",""hy"")"),"Ո՞ր երկիրն է հայտնի որպես Ծագող Արևի երկիր:")</f>
        <v>Ո՞ր երկիրն է հայտնի որպես Ծագող Արևի երկիր:</v>
      </c>
      <c r="D8894" s="6" t="str">
        <f>IFERROR(__xludf.DUMMYFUNCTION("GOOGLETRANSLATE(B8894,""en"",""hy"")"),"Ճապոնիա")</f>
        <v>Ճապոնիա</v>
      </c>
    </row>
    <row r="8895">
      <c r="A8895" s="5" t="s">
        <v>8246</v>
      </c>
      <c r="B8895" s="5" t="s">
        <v>7492</v>
      </c>
      <c r="C8895" s="5" t="str">
        <f>IFERROR(__xludf.DUMMYFUNCTION("GOOGLETRANSLATE(A8895,""en"",""hy"")"),"Ո՞վ է նկարել հայտնի «Աստղային գիշերը» արվեստի գործը:")</f>
        <v>Ո՞վ է նկարել հայտնի «Աստղային գիշերը» արվեստի գործը:</v>
      </c>
      <c r="D8895" s="6" t="str">
        <f>IFERROR(__xludf.DUMMYFUNCTION("GOOGLETRANSLATE(B8895,""en"",""hy"")"),"Վինսենթ վան Գոգ")</f>
        <v>Վինսենթ վան Գոգ</v>
      </c>
    </row>
    <row r="8896">
      <c r="A8896" s="5" t="s">
        <v>7455</v>
      </c>
      <c r="B8896" s="5" t="s">
        <v>7646</v>
      </c>
      <c r="C8896" s="5" t="str">
        <f>IFERROR(__xludf.DUMMYFUNCTION("GOOGLETRANSLATE(A8896,""en"",""hy"")"),"Ո՞րն է աշխարհի ամենամեծ օվկիանոսը:")</f>
        <v>Ո՞րն է աշխարհի ամենամեծ օվկիանոսը:</v>
      </c>
      <c r="D8896" s="6" t="str">
        <f>IFERROR(__xludf.DUMMYFUNCTION("GOOGLETRANSLATE(B8896,""en"",""hy"")"),"Խաղաղ օվկիանոս.")</f>
        <v>Խաղաղ օվկիանոս.</v>
      </c>
    </row>
    <row r="8897">
      <c r="A8897" s="5" t="s">
        <v>7773</v>
      </c>
      <c r="B8897" s="5" t="s">
        <v>8253</v>
      </c>
      <c r="C8897" s="5" t="str">
        <f>IFERROR(__xludf.DUMMYFUNCTION("GOOGLETRANSLATE(A8897,""en"",""hy"")"),"Ո՞վ է հայտնաբերել պենիցիլինը:")</f>
        <v>Ո՞վ է հայտնաբերել պենիցիլինը:</v>
      </c>
      <c r="D8897" s="6" t="str">
        <f>IFERROR(__xludf.DUMMYFUNCTION("GOOGLETRANSLATE(B8897,""en"",""hy"")"),"Ալեքսանդր Ֆլեմինգ.")</f>
        <v>Ալեքսանդր Ֆլեմինգ.</v>
      </c>
    </row>
    <row r="8898">
      <c r="A8898" s="5" t="s">
        <v>9949</v>
      </c>
      <c r="B8898" s="5" t="s">
        <v>3535</v>
      </c>
      <c r="C8898" s="5" t="str">
        <f>IFERROR(__xludf.DUMMYFUNCTION("GOOGLETRANSLATE(A8898,""en"",""hy"")"),"Ո՞ր երկրում կարող եք գտնել Մեծ արգելախութը:")</f>
        <v>Ո՞ր երկրում կարող եք գտնել Մեծ արգելախութը:</v>
      </c>
      <c r="D8898" s="6" t="str">
        <f>IFERROR(__xludf.DUMMYFUNCTION("GOOGLETRANSLATE(B8898,""en"",""hy"")"),"Ավստրալիա.")</f>
        <v>Ավստրալիա.</v>
      </c>
    </row>
    <row r="8899">
      <c r="A8899" s="5" t="s">
        <v>9950</v>
      </c>
      <c r="B8899" s="7">
        <v>1969.0</v>
      </c>
      <c r="C8899" s="5" t="str">
        <f>IFERROR(__xludf.DUMMYFUNCTION("GOOGLETRANSLATE(A8899,""en"",""hy"")"),"Ո՞ր տարում է եղել լուսնի առաջին վայրէջքը:")</f>
        <v>Ո՞ր տարում է եղել լուսնի առաջին վայրէջքը:</v>
      </c>
      <c r="D8899" s="6" t="str">
        <f>IFERROR(__xludf.DUMMYFUNCTION("GOOGLETRANSLATE(B8899,""en"",""hy"")"),"1969 թ")</f>
        <v>1969 թ</v>
      </c>
    </row>
    <row r="8900">
      <c r="A8900" s="5" t="s">
        <v>8410</v>
      </c>
      <c r="B8900" s="5" t="s">
        <v>8742</v>
      </c>
      <c r="C8900" s="5" t="str">
        <f>IFERROR(__xludf.DUMMYFUNCTION("GOOGLETRANSLATE(A8900,""en"",""hy"")"),"Ո՞րն է բոլոր ժամանակների ամենաշատ եկամուտ ստացած ֆիլմը:")</f>
        <v>Ո՞րն է բոլոր ժամանակների ամենաշատ եկամուտ ստացած ֆիլմը:</v>
      </c>
      <c r="D8900" s="6" t="str">
        <f>IFERROR(__xludf.DUMMYFUNCTION("GOOGLETRANSLATE(B8900,""en"",""hy"")"),"Վրիժառուներ. վերջնախաղ.")</f>
        <v>Վրիժառուներ. վերջնախաղ.</v>
      </c>
    </row>
    <row r="8901">
      <c r="A8901" s="5" t="s">
        <v>8106</v>
      </c>
      <c r="B8901" s="5" t="s">
        <v>7916</v>
      </c>
      <c r="C8901" s="5" t="str">
        <f>IFERROR(__xludf.DUMMYFUNCTION("GOOGLETRANSLATE(A8901,""en"",""hy"")"),"Քանի՞ ոսկոր կա մարդու մարմնում:")</f>
        <v>Քանի՞ ոսկոր կա մարդու մարմնում:</v>
      </c>
      <c r="D8901" s="6" t="str">
        <f>IFERROR(__xludf.DUMMYFUNCTION("GOOGLETRANSLATE(B8901,""en"",""hy"")"),"Մարդու մարմնում կա 206 ոսկոր։")</f>
        <v>Մարդու մարմնում կա 206 ոսկոր։</v>
      </c>
    </row>
    <row r="8902">
      <c r="A8902" s="5" t="s">
        <v>9279</v>
      </c>
      <c r="B8902" s="5" t="s">
        <v>7444</v>
      </c>
      <c r="C8902" s="5" t="str">
        <f>IFERROR(__xludf.DUMMYFUNCTION("GOOGLETRANSLATE(A8902,""en"",""hy"")"),"Ո՞վ է գրել հայտնի «1984» վեպը։")</f>
        <v>Ո՞վ է գրել հայտնի «1984» վեպը։</v>
      </c>
      <c r="D8902" s="6" t="str">
        <f>IFERROR(__xludf.DUMMYFUNCTION("GOOGLETRANSLATE(B8902,""en"",""hy"")"),"Ջորջ Օրուել.")</f>
        <v>Ջորջ Օրուել.</v>
      </c>
    </row>
    <row r="8903">
      <c r="A8903" s="5" t="s">
        <v>7787</v>
      </c>
      <c r="B8903" s="5" t="s">
        <v>7788</v>
      </c>
      <c r="C8903" s="5" t="str">
        <f>IFERROR(__xludf.DUMMYFUNCTION("GOOGLETRANSLATE(A8903,""en"",""hy"")"),"Ո՞րն է շնաձկան ամենամեծ տեսակը:")</f>
        <v>Ո՞րն է շնաձկան ամենամեծ տեսակը:</v>
      </c>
      <c r="D8903" s="6" t="str">
        <f>IFERROR(__xludf.DUMMYFUNCTION("GOOGLETRANSLATE(B8903,""en"",""hy"")"),"Շնաձկների ամենամեծ տեսակը կետ շնաձուկն է։")</f>
        <v>Շնաձկների ամենամեծ տեսակը կետ շնաձուկն է։</v>
      </c>
    </row>
    <row r="8904">
      <c r="A8904" s="5" t="s">
        <v>7473</v>
      </c>
      <c r="B8904" s="5" t="s">
        <v>7474</v>
      </c>
      <c r="C8904" s="5" t="str">
        <f>IFERROR(__xludf.DUMMYFUNCTION("GOOGLETRANSLATE(A8904,""en"",""hy"")"),"Ո՞վ է նկարել Սիքստինյան կապելլայի առաստաղը:")</f>
        <v>Ո՞վ է նկարել Սիքստինյան կապելլայի առաստաղը:</v>
      </c>
      <c r="D8904" s="6" t="str">
        <f>IFERROR(__xludf.DUMMYFUNCTION("GOOGLETRANSLATE(B8904,""en"",""hy"")"),"Միքելանջելո.")</f>
        <v>Միքելանջելո.</v>
      </c>
    </row>
    <row r="8905">
      <c r="A8905" s="5" t="s">
        <v>7467</v>
      </c>
      <c r="B8905" s="5" t="s">
        <v>7468</v>
      </c>
      <c r="C8905" s="5" t="str">
        <f>IFERROR(__xludf.DUMMYFUNCTION("GOOGLETRANSLATE(A8905,""en"",""hy"")"),"Ո՞րն է Ճապոնիայի արժույթը:")</f>
        <v>Ո՞րն է Ճապոնիայի արժույթը:</v>
      </c>
      <c r="D8905" s="6" t="str">
        <f>IFERROR(__xludf.DUMMYFUNCTION("GOOGLETRANSLATE(B8905,""en"",""hy"")"),"Ճապոնիայի արժույթը ճապոնական իենն է։")</f>
        <v>Ճապոնիայի արժույթը ճապոնական իենն է։</v>
      </c>
    </row>
    <row r="8906">
      <c r="A8906" s="5" t="s">
        <v>9727</v>
      </c>
      <c r="B8906" s="5" t="s">
        <v>7921</v>
      </c>
      <c r="C8906" s="5" t="str">
        <f>IFERROR(__xludf.DUMMYFUNCTION("GOOGLETRANSLATE(A8906,""en"",""hy"")"),"Ո՞ր երկրում է գտնվում Թաջ Մահալը:")</f>
        <v>Ո՞ր երկրում է գտնվում Թաջ Մահալը:</v>
      </c>
      <c r="D8906" s="6" t="str">
        <f>IFERROR(__xludf.DUMMYFUNCTION("GOOGLETRANSLATE(B8906,""en"",""hy"")"),"Հնդկաստան.")</f>
        <v>Հնդկաստան.</v>
      </c>
    </row>
    <row r="8907">
      <c r="A8907" s="5" t="s">
        <v>7789</v>
      </c>
      <c r="B8907" s="5" t="s">
        <v>7790</v>
      </c>
      <c r="C8907" s="5" t="str">
        <f>IFERROR(__xludf.DUMMYFUNCTION("GOOGLETRANSLATE(A8907,""en"",""hy"")"),"Ո՞վ է հունական ամպրոպի աստվածը:")</f>
        <v>Ո՞վ է հունական ամպրոպի աստվածը:</v>
      </c>
      <c r="D8907" s="6" t="str">
        <f>IFERROR(__xludf.DUMMYFUNCTION("GOOGLETRANSLATE(B8907,""en"",""hy"")"),"Հունական ամպրոպի աստվածը Զևսն է:")</f>
        <v>Հունական ամպրոպի աստվածը Զևսն է:</v>
      </c>
    </row>
    <row r="8908">
      <c r="A8908" s="5" t="s">
        <v>7939</v>
      </c>
      <c r="B8908" s="5" t="s">
        <v>9951</v>
      </c>
      <c r="C8908" s="5" t="str">
        <f>IFERROR(__xludf.DUMMYFUNCTION("GOOGLETRANSLATE(A8908,""en"",""hy"")"),"Քանի՞ մայրցամաք կա աշխարհում:")</f>
        <v>Քանի՞ մայրցամաք կա աշխարհում:</v>
      </c>
      <c r="D8908" s="6" t="str">
        <f>IFERROR(__xludf.DUMMYFUNCTION("GOOGLETRANSLATE(B8908,""en"",""hy"")"),"Աշխարհում կա 7 մայրցամաք.")</f>
        <v>Աշխարհում կա 7 մայրցամաք.</v>
      </c>
    </row>
    <row r="8909">
      <c r="A8909" s="5" t="s">
        <v>8526</v>
      </c>
      <c r="B8909" s="5" t="s">
        <v>7535</v>
      </c>
      <c r="C8909" s="5" t="str">
        <f>IFERROR(__xludf.DUMMYFUNCTION("GOOGLETRANSLATE(A8909,""en"",""hy"")"),"Ո՞վ է հաճախ վերագրվում հեռախոսի հորինմանը:")</f>
        <v>Ո՞վ է հաճախ վերագրվում հեռախոսի հորինմանը:</v>
      </c>
      <c r="D8909" s="6" t="str">
        <f>IFERROR(__xludf.DUMMYFUNCTION("GOOGLETRANSLATE(B8909,""en"",""hy"")"),"Ալեքսանդր Գրեհեմ Բել.")</f>
        <v>Ալեքսանդր Գրեհեմ Բել.</v>
      </c>
    </row>
    <row r="8910">
      <c r="A8910" s="5" t="s">
        <v>7506</v>
      </c>
      <c r="B8910" s="5" t="s">
        <v>7507</v>
      </c>
      <c r="C8910" s="5" t="str">
        <f>IFERROR(__xludf.DUMMYFUNCTION("GOOGLETRANSLATE(A8910,""en"",""hy"")"),"Ո՞րն է աշխարհի ամենափոքր երկիրը:")</f>
        <v>Ո՞րն է աշխարհի ամենափոքր երկիրը:</v>
      </c>
      <c r="D8910" s="6" t="str">
        <f>IFERROR(__xludf.DUMMYFUNCTION("GOOGLETRANSLATE(B8910,""en"",""hy"")"),"Քաղաք Վատիկան.")</f>
        <v>Քաղաք Վատիկան.</v>
      </c>
    </row>
    <row r="8911">
      <c r="A8911" s="5" t="s">
        <v>7553</v>
      </c>
      <c r="B8911" s="5" t="s">
        <v>7249</v>
      </c>
      <c r="C8911" s="5" t="str">
        <f>IFERROR(__xludf.DUMMYFUNCTION("GOOGLETRANSLATE(A8911,""en"",""hy"")"),"Ո՞րն է Հարավային Աֆրիկայի մայրաքաղաքը:")</f>
        <v>Ո՞րն է Հարավային Աֆրիկայի մայրաքաղաքը:</v>
      </c>
      <c r="D8911" s="6" t="str">
        <f>IFERROR(__xludf.DUMMYFUNCTION("GOOGLETRANSLATE(B8911,""en"",""hy"")"),"Հարավային Աֆրիկայի մայրաքաղաքը Պրետորիան է։")</f>
        <v>Հարավային Աֆրիկայի մայրաքաղաքը Պրետորիան է։</v>
      </c>
    </row>
    <row r="8912">
      <c r="A8912" s="5" t="s">
        <v>9952</v>
      </c>
      <c r="B8912" s="5" t="s">
        <v>9953</v>
      </c>
      <c r="C8912" s="5" t="str">
        <f>IFERROR(__xludf.DUMMYFUNCTION("GOOGLETRANSLATE(A8912,""en"",""hy"")"),"Ո՞վ է հեղինակել «Շչելկունչիկ» բալետի երաժշտությունը:")</f>
        <v>Ո՞վ է հեղինակել «Շչելկունչիկ» բալետի երաժշտությունը:</v>
      </c>
      <c r="D8912" s="6" t="str">
        <f>IFERROR(__xludf.DUMMYFUNCTION("GOOGLETRANSLATE(B8912,""en"",""hy"")"),"Պյոտր Իլյիչ Չայկովսկի.")</f>
        <v>Պյոտր Իլյիչ Չայկովսկի.</v>
      </c>
    </row>
    <row r="8913">
      <c r="A8913" s="5" t="s">
        <v>7842</v>
      </c>
      <c r="B8913" s="5" t="s">
        <v>7671</v>
      </c>
      <c r="C8913" s="5" t="str">
        <f>IFERROR(__xludf.DUMMYFUNCTION("GOOGLETRANSLATE(A8913,""en"",""hy"")"),"Ո՞րն է աշխարհի ամենաերկար գետը:")</f>
        <v>Ո՞րն է աշխարհի ամենաերկար գետը:</v>
      </c>
      <c r="D8913" s="6" t="str">
        <f>IFERROR(__xludf.DUMMYFUNCTION("GOOGLETRANSLATE(B8913,""en"",""hy"")"),"Նեղոս գետ.")</f>
        <v>Նեղոս գետ.</v>
      </c>
    </row>
    <row r="8914">
      <c r="A8914" s="5" t="s">
        <v>7480</v>
      </c>
      <c r="B8914" s="5" t="s">
        <v>7481</v>
      </c>
      <c r="C8914" s="5" t="str">
        <f>IFERROR(__xludf.DUMMYFUNCTION("GOOGLETRANSLATE(A8914,""en"",""hy"")"),"Ո՞րն է Միացյալ Նահանգների ազգային թռչունը:")</f>
        <v>Ո՞րն է Միացյալ Նահանգների ազգային թռչունը:</v>
      </c>
      <c r="D8914" s="6" t="str">
        <f>IFERROR(__xludf.DUMMYFUNCTION("GOOGLETRANSLATE(B8914,""en"",""hy"")"),"Միացյալ Նահանգների ազգային թռչունը ճաղատ արծիվն է։")</f>
        <v>Միացյալ Նահանգների ազգային թռչունը ճաղատ արծիվն է։</v>
      </c>
    </row>
    <row r="8915">
      <c r="A8915" s="5" t="s">
        <v>8123</v>
      </c>
      <c r="B8915" s="5" t="s">
        <v>7448</v>
      </c>
      <c r="C8915" s="5" t="str">
        <f>IFERROR(__xludf.DUMMYFUNCTION("GOOGLETRANSLATE(A8915,""en"",""hy"")"),"Ո՞վ է նկարել հայտնի «Վերջին ընթրիքը» ստեղծագործությունը:")</f>
        <v>Ո՞վ է նկարել հայտնի «Վերջին ընթրիքը» ստեղծագործությունը:</v>
      </c>
      <c r="D8915" s="6" t="str">
        <f>IFERROR(__xludf.DUMMYFUNCTION("GOOGLETRANSLATE(B8915,""en"",""hy"")"),"Լեոնարդո դա Վինչի.")</f>
        <v>Լեոնարդո դա Վինչի.</v>
      </c>
    </row>
    <row r="8916">
      <c r="A8916" s="5" t="s">
        <v>8181</v>
      </c>
      <c r="B8916" s="5" t="s">
        <v>8100</v>
      </c>
      <c r="C8916" s="5" t="str">
        <f>IFERROR(__xludf.DUMMYFUNCTION("GOOGLETRANSLATE(A8916,""en"",""hy"")"),"Քանի՞ մոլորակ կա մեր արեգակնային համակարգում:")</f>
        <v>Քանի՞ մոլորակ կա մեր արեգակնային համակարգում:</v>
      </c>
      <c r="D8916" s="6" t="str">
        <f>IFERROR(__xludf.DUMMYFUNCTION("GOOGLETRANSLATE(B8916,""en"",""hy"")"),"Մեր Արեգակնային համակարգում կա ութ մոլորակ:")</f>
        <v>Մեր Արեգակնային համակարգում կա ութ մոլորակ:</v>
      </c>
    </row>
    <row r="8917">
      <c r="A8917" s="5" t="s">
        <v>7574</v>
      </c>
      <c r="B8917" s="5" t="s">
        <v>7525</v>
      </c>
      <c r="C8917" s="5" t="str">
        <f>IFERROR(__xludf.DUMMYFUNCTION("GOOGLETRANSLATE(A8917,""en"",""hy"")"),"Ո՞րն է Չինաստանի մայրաքաղաքը:")</f>
        <v>Ո՞րն է Չինաստանի մայրաքաղաքը:</v>
      </c>
      <c r="D8917" s="6" t="str">
        <f>IFERROR(__xludf.DUMMYFUNCTION("GOOGLETRANSLATE(B8917,""en"",""hy"")"),"Պեկին.")</f>
        <v>Պեկին.</v>
      </c>
    </row>
    <row r="8918">
      <c r="A8918" s="5" t="s">
        <v>7654</v>
      </c>
      <c r="B8918" s="5" t="s">
        <v>7556</v>
      </c>
      <c r="C8918" s="5" t="str">
        <f>IFERROR(__xludf.DUMMYFUNCTION("GOOGLETRANSLATE(A8918,""en"",""hy"")"),"Ո՞վ է հայտնի որպես «Ժամանակակից ֆիզիկայի հայր»:")</f>
        <v>Ո՞վ է հայտնի որպես «Ժամանակակից ֆիզիկայի հայր»:</v>
      </c>
      <c r="D8918" s="6" t="str">
        <f>IFERROR(__xludf.DUMMYFUNCTION("GOOGLETRANSLATE(B8918,""en"",""hy"")"),"Albert Einstein.")</f>
        <v>Albert Einstein.</v>
      </c>
    </row>
    <row r="8919">
      <c r="A8919" s="5" t="s">
        <v>8343</v>
      </c>
      <c r="B8919" s="5" t="s">
        <v>8344</v>
      </c>
      <c r="C8919" s="5" t="str">
        <f>IFERROR(__xludf.DUMMYFUNCTION("GOOGLETRANSLATE(A8919,""en"",""hy"")"),"Ո՞րն է Շոտլանդիայի ազգային ծաղիկը:")</f>
        <v>Ո՞րն է Շոտլանդիայի ազգային ծաղիկը:</v>
      </c>
      <c r="D8919" s="6" t="str">
        <f>IFERROR(__xludf.DUMMYFUNCTION("GOOGLETRANSLATE(B8919,""en"",""hy"")"),"Շոտլանդիայի ազգային ծաղիկը տատասկափուշն է:")</f>
        <v>Շոտլանդիայի ազգային ծաղիկը տատասկափուշն է:</v>
      </c>
    </row>
    <row r="8920">
      <c r="A8920" s="5" t="s">
        <v>7698</v>
      </c>
      <c r="B8920" s="5" t="s">
        <v>7630</v>
      </c>
      <c r="C8920" s="5" t="str">
        <f>IFERROR(__xludf.DUMMYFUNCTION("GOOGLETRANSLATE(A8920,""en"",""hy"")"),"Ո՞վ է գրել «Հպարտություն և նախապաշարմունք» վեպը:")</f>
        <v>Ո՞վ է գրել «Հպարտություն և նախապաշարմունք» վեպը:</v>
      </c>
      <c r="D8920" s="6" t="str">
        <f>IFERROR(__xludf.DUMMYFUNCTION("GOOGLETRANSLATE(B8920,""en"",""hy"")"),"Ջեյն Օսթին.")</f>
        <v>Ջեյն Օսթին.</v>
      </c>
    </row>
    <row r="8921">
      <c r="A8921" s="5" t="s">
        <v>7592</v>
      </c>
      <c r="B8921" s="5" t="s">
        <v>7593</v>
      </c>
      <c r="C8921" s="5" t="str">
        <f>IFERROR(__xludf.DUMMYFUNCTION("GOOGLETRANSLATE(A8921,""en"",""hy"")"),"Ո՞րն է թթվածնի քիմիական նշանը:")</f>
        <v>Ո՞րն է թթվածնի քիմիական նշանը:</v>
      </c>
      <c r="D8921" s="6" t="str">
        <f>IFERROR(__xludf.DUMMYFUNCTION("GOOGLETRANSLATE(B8921,""en"",""hy"")"),"Թթվածնի քիմիական նշանը O է:")</f>
        <v>Թթվածնի քիմիական նշանը O է:</v>
      </c>
    </row>
    <row r="8922">
      <c r="A8922" s="5" t="s">
        <v>9954</v>
      </c>
      <c r="B8922" s="5" t="s">
        <v>8201</v>
      </c>
      <c r="C8922" s="5" t="str">
        <f>IFERROR(__xludf.DUMMYFUNCTION("GOOGLETRANSLATE(A8922,""en"",""hy"")"),"Ո՞ր երկրում են անցկացվել առաջին օլիմպիական խաղերը:")</f>
        <v>Ո՞ր երկրում են անցկացվել առաջին օլիմպիական խաղերը:</v>
      </c>
      <c r="D8922" s="6" t="str">
        <f>IFERROR(__xludf.DUMMYFUNCTION("GOOGLETRANSLATE(B8922,""en"",""hy"")"),"Հունաստան.")</f>
        <v>Հունաստան.</v>
      </c>
    </row>
    <row r="8923">
      <c r="A8923" s="5" t="s">
        <v>7566</v>
      </c>
      <c r="B8923" s="5" t="s">
        <v>7567</v>
      </c>
      <c r="C8923" s="5" t="str">
        <f>IFERROR(__xludf.DUMMYFUNCTION("GOOGLETRANSLATE(A8923,""en"",""hy"")"),"Ո՞վ է Կանադայի ներկայիս վարչապետը:")</f>
        <v>Ո՞վ է Կանադայի ներկայիս վարչապետը:</v>
      </c>
      <c r="D8923" s="6" t="str">
        <f>IFERROR(__xludf.DUMMYFUNCTION("GOOGLETRANSLATE(B8923,""en"",""hy"")"),"Ջասթին Թրյուդո")</f>
        <v>Ջասթին Թրյուդո</v>
      </c>
    </row>
    <row r="8924">
      <c r="A8924" s="5" t="s">
        <v>8753</v>
      </c>
      <c r="B8924" s="5" t="s">
        <v>8754</v>
      </c>
      <c r="C8924" s="5" t="str">
        <f>IFERROR(__xludf.DUMMYFUNCTION("GOOGLETRANSLATE(A8924,""en"",""hy"")"),"Ո՞րն է Հյուսիսային Ամերիկայի ամենաբարձր լեռը:")</f>
        <v>Ո՞րն է Հյուսիսային Ամերիկայի ամենաբարձր լեռը:</v>
      </c>
      <c r="D8924" s="6" t="str">
        <f>IFERROR(__xludf.DUMMYFUNCTION("GOOGLETRANSLATE(B8924,""en"",""hy"")"),"Դենալի լեռ.")</f>
        <v>Դենալի լեռ.</v>
      </c>
    </row>
    <row r="8925">
      <c r="A8925" s="5" t="s">
        <v>7948</v>
      </c>
      <c r="B8925" s="5" t="s">
        <v>9718</v>
      </c>
      <c r="C8925" s="5" t="str">
        <f>IFERROR(__xludf.DUMMYFUNCTION("GOOGLETRANSLATE(A8925,""en"",""hy"")"),"Ո՞րն է Ռուսաստանում խոսվող հիմնական լեզուն:")</f>
        <v>Ո՞րն է Ռուսաստանում խոսվող հիմնական լեզուն:</v>
      </c>
      <c r="D8925" s="6" t="str">
        <f>IFERROR(__xludf.DUMMYFUNCTION("GOOGLETRANSLATE(B8925,""en"",""hy"")"),"Ռուսաստանում խոսվող հիմնական լեզուն ռուսերենն է։")</f>
        <v>Ռուսաստանում խոսվող հիմնական լեզուն ռուսերենն է։</v>
      </c>
    </row>
    <row r="8926">
      <c r="A8926" s="5" t="s">
        <v>7683</v>
      </c>
      <c r="B8926" s="5" t="s">
        <v>1016</v>
      </c>
      <c r="C8926" s="5" t="str">
        <f>IFERROR(__xludf.DUMMYFUNCTION("GOOGLETRANSLATE(A8926,""en"",""hy"")"),"Ո՞վ է գրել «Համլետ» պիեսը։")</f>
        <v>Ո՞վ է գրել «Համլետ» պիեսը։</v>
      </c>
      <c r="D8926" s="6" t="str">
        <f>IFERROR(__xludf.DUMMYFUNCTION("GOOGLETRANSLATE(B8926,""en"",""hy"")"),"Ուիլյամ Շեքսպիր.")</f>
        <v>Ուիլյամ Շեքսպիր.</v>
      </c>
    </row>
    <row r="8927">
      <c r="A8927" s="5" t="s">
        <v>7817</v>
      </c>
      <c r="B8927" s="5" t="s">
        <v>7818</v>
      </c>
      <c r="C8927" s="5" t="str">
        <f>IFERROR(__xludf.DUMMYFUNCTION("GOOGLETRANSLATE(A8927,""en"",""hy"")"),"Ո՞րն է Կանադայի ազգային կենդանին:")</f>
        <v>Ո՞րն է Կանադայի ազգային կենդանին:</v>
      </c>
      <c r="D8927" s="6" t="str">
        <f>IFERROR(__xludf.DUMMYFUNCTION("GOOGLETRANSLATE(B8927,""en"",""hy"")"),"Կանադայի ազգային կենդանին կեղևն է:")</f>
        <v>Կանադայի ազգային կենդանին կեղևն է:</v>
      </c>
    </row>
    <row r="8928">
      <c r="A8928" s="5" t="s">
        <v>8088</v>
      </c>
      <c r="B8928" s="5" t="s">
        <v>8228</v>
      </c>
      <c r="C8928" s="5" t="str">
        <f>IFERROR(__xludf.DUMMYFUNCTION("GOOGLETRANSLATE(A8928,""en"",""hy"")"),"Քանի՞ կողմ ունի հնգանկյունը:")</f>
        <v>Քանի՞ կողմ ունի հնգանկյունը:</v>
      </c>
      <c r="D8928" s="6" t="str">
        <f>IFERROR(__xludf.DUMMYFUNCTION("GOOGLETRANSLATE(B8928,""en"",""hy"")"),"Պենտագոնն ունի հինգ կողմ:")</f>
        <v>Պենտագոնն ունի հինգ կողմ:</v>
      </c>
    </row>
    <row r="8929">
      <c r="A8929" s="5" t="s">
        <v>9068</v>
      </c>
      <c r="B8929" s="5" t="s">
        <v>7181</v>
      </c>
      <c r="C8929" s="5" t="str">
        <f>IFERROR(__xludf.DUMMYFUNCTION("GOOGLETRANSLATE(A8929,""en"",""hy"")"),"Ո՞ր երկիրն է հայտնի որպես Land Down Under:")</f>
        <v>Ո՞ր երկիրն է հայտնի որպես Land Down Under:</v>
      </c>
      <c r="D8929" s="6" t="str">
        <f>IFERROR(__xludf.DUMMYFUNCTION("GOOGLETRANSLATE(B8929,""en"",""hy"")"),"Ավստրալիա")</f>
        <v>Ավստրալիա</v>
      </c>
    </row>
    <row r="8930">
      <c r="A8930" s="5" t="s">
        <v>7709</v>
      </c>
      <c r="B8930" s="5" t="s">
        <v>7710</v>
      </c>
      <c r="C8930" s="5" t="str">
        <f>IFERROR(__xludf.DUMMYFUNCTION("GOOGLETRANSLATE(A8930,""en"",""hy"")"),"Ո՞վ է նկարել հայտնի «Գերնիկա» արվեստի գործը:")</f>
        <v>Ո՞վ է նկարել հայտնի «Գերնիկա» արվեստի գործը:</v>
      </c>
      <c r="D8930" s="6" t="str">
        <f>IFERROR(__xludf.DUMMYFUNCTION("GOOGLETRANSLATE(B8930,""en"",""hy"")"),"Պաբլո Պիկասո.")</f>
        <v>Պաբլո Պիկասո.</v>
      </c>
    </row>
    <row r="8931">
      <c r="A8931" s="5" t="s">
        <v>7691</v>
      </c>
      <c r="B8931" s="5" t="s">
        <v>8421</v>
      </c>
      <c r="C8931" s="5" t="str">
        <f>IFERROR(__xludf.DUMMYFUNCTION("GOOGLETRANSLATE(A8931,""en"",""hy"")"),"Ո՞րն է Աֆրիկայի ամենամեծ լիճը:")</f>
        <v>Ո՞րն է Աֆրիկայի ամենամեծ լիճը:</v>
      </c>
      <c r="D8931" s="6" t="str">
        <f>IFERROR(__xludf.DUMMYFUNCTION("GOOGLETRANSLATE(B8931,""en"",""hy"")"),"Աֆրիկայի ամենամեծ լիճը Վիկտորիա լիճն է:")</f>
        <v>Աֆրիկայի ամենամեծ լիճը Վիկտորիա լիճն է:</v>
      </c>
    </row>
    <row r="8932">
      <c r="A8932" s="5" t="s">
        <v>7955</v>
      </c>
      <c r="B8932" s="5" t="s">
        <v>7956</v>
      </c>
      <c r="C8932" s="5" t="str">
        <f>IFERROR(__xludf.DUMMYFUNCTION("GOOGLETRANSLATE(A8932,""en"",""hy"")"),"Ո՞վ է հայտնաբերել գրավիտացիան:")</f>
        <v>Ո՞վ է հայտնաբերել գրավիտացիան:</v>
      </c>
      <c r="D8932" s="6" t="str">
        <f>IFERROR(__xludf.DUMMYFUNCTION("GOOGLETRANSLATE(B8932,""en"",""hy"")"),"Իսահակ Նյուտոն.")</f>
        <v>Իսահակ Նյուտոն.</v>
      </c>
    </row>
    <row r="8933">
      <c r="A8933" s="5" t="s">
        <v>8877</v>
      </c>
      <c r="B8933" s="5" t="s">
        <v>2790</v>
      </c>
      <c r="C8933" s="5" t="str">
        <f>IFERROR(__xludf.DUMMYFUNCTION("GOOGLETRANSLATE(A8933,""en"",""hy"")"),"Ո՞ր երկրում է գտնվում Մեծ պարիսպը:")</f>
        <v>Ո՞ր երկրում է գտնվում Մեծ պարիսպը:</v>
      </c>
      <c r="D8933" s="6" t="str">
        <f>IFERROR(__xludf.DUMMYFUNCTION("GOOGLETRANSLATE(B8933,""en"",""hy"")"),"Չինաստան.")</f>
        <v>Չինաստան.</v>
      </c>
    </row>
    <row r="8934">
      <c r="A8934" s="5" t="s">
        <v>9955</v>
      </c>
      <c r="B8934" s="7">
        <v>1989.0</v>
      </c>
      <c r="C8934" s="5" t="str">
        <f>IFERROR(__xludf.DUMMYFUNCTION("GOOGLETRANSLATE(A8934,""en"",""hy"")"),"Ո՞ր տարին է փլվել Բեռլինի պատը:")</f>
        <v>Ո՞ր տարին է փլվել Բեռլինի պատը:</v>
      </c>
      <c r="D8934" s="6" t="str">
        <f>IFERROR(__xludf.DUMMYFUNCTION("GOOGLETRANSLATE(B8934,""en"",""hy"")"),"1989 թ")</f>
        <v>1989 թ</v>
      </c>
    </row>
    <row r="8935">
      <c r="A8935" s="5" t="s">
        <v>9956</v>
      </c>
      <c r="B8935" s="5" t="s">
        <v>9957</v>
      </c>
      <c r="C8935" s="5" t="str">
        <f>IFERROR(__xludf.DUMMYFUNCTION("GOOGLETRANSLATE(A8935,""en"",""hy"")"),"Ո՞րն է բոլոր ժամանակների ամենաբարձր եկամուտ ունեցող գիրքը:")</f>
        <v>Ո՞րն է բոլոր ժամանակների ամենաբարձր եկամուտ ունեցող գիրքը:</v>
      </c>
      <c r="D8935" s="6" t="str">
        <f>IFERROR(__xludf.DUMMYFUNCTION("GOOGLETRANSLATE(B8935,""en"",""hy"")"),"Աստվածաշունչ.")</f>
        <v>Աստվածաշունչ.</v>
      </c>
    </row>
    <row r="8936">
      <c r="A8936" s="5" t="s">
        <v>8129</v>
      </c>
      <c r="B8936" s="5" t="s">
        <v>8130</v>
      </c>
      <c r="C8936" s="5" t="str">
        <f>IFERROR(__xludf.DUMMYFUNCTION("GOOGLETRANSLATE(A8936,""en"",""hy"")"),"Քանի՞ ժամային գոտի կա աշխարհում:")</f>
        <v>Քանի՞ ժամային գոտի կա աշխարհում:</v>
      </c>
      <c r="D8936" s="6" t="str">
        <f>IFERROR(__xludf.DUMMYFUNCTION("GOOGLETRANSLATE(B8936,""en"",""hy"")"),"Աշխարհում կա 24 ժամային գոտի:")</f>
        <v>Աշխարհում կա 24 ժամային գոտի:</v>
      </c>
    </row>
    <row r="8937">
      <c r="A8937" s="5" t="s">
        <v>7572</v>
      </c>
      <c r="B8937" s="5" t="s">
        <v>7573</v>
      </c>
      <c r="C8937" s="5" t="str">
        <f>IFERROR(__xludf.DUMMYFUNCTION("GOOGLETRANSLATE(A8937,""en"",""hy"")"),"Ո՞վ է հորինել լամպը:")</f>
        <v>Ո՞վ է հորինել լամպը:</v>
      </c>
      <c r="D8937" s="6" t="str">
        <f>IFERROR(__xludf.DUMMYFUNCTION("GOOGLETRANSLATE(B8937,""en"",""hy"")"),"Թոմաս Էդիսոն.")</f>
        <v>Թոմաս Էդիսոն.</v>
      </c>
    </row>
    <row r="8938">
      <c r="A8938" s="5" t="s">
        <v>7542</v>
      </c>
      <c r="B8938" s="5" t="s">
        <v>7543</v>
      </c>
      <c r="C8938" s="5" t="str">
        <f>IFERROR(__xludf.DUMMYFUNCTION("GOOGLETRANSLATE(A8938,""en"",""hy"")"),"Ո՞րն է Կանադայի արժույթը:")</f>
        <v>Ո՞րն է Կանադայի արժույթը:</v>
      </c>
      <c r="D8938" s="6" t="str">
        <f>IFERROR(__xludf.DUMMYFUNCTION("GOOGLETRANSLATE(B8938,""en"",""hy"")"),"Կանադայի արժույթը կանադական դոլարն է։")</f>
        <v>Կանադայի արժույթը կանադական դոլարն է։</v>
      </c>
    </row>
    <row r="8939">
      <c r="A8939" s="5" t="s">
        <v>9958</v>
      </c>
      <c r="B8939" s="5" t="s">
        <v>7972</v>
      </c>
      <c r="C8939" s="5" t="str">
        <f>IFERROR(__xludf.DUMMYFUNCTION("GOOGLETRANSLATE(A8939,""en"",""hy"")"),"Ո՞ր երկրում է գտնվում Էյֆելյան աշտարակը:")</f>
        <v>Ո՞ր երկրում է գտնվում Էյֆելյան աշտարակը:</v>
      </c>
      <c r="D8939" s="6" t="str">
        <f>IFERROR(__xludf.DUMMYFUNCTION("GOOGLETRANSLATE(B8939,""en"",""hy"")"),"Ֆրանսիա.")</f>
        <v>Ֆրանսիա.</v>
      </c>
    </row>
    <row r="8940">
      <c r="A8940" s="5" t="s">
        <v>9352</v>
      </c>
      <c r="B8940" s="5" t="s">
        <v>9849</v>
      </c>
      <c r="C8940" s="5" t="str">
        <f>IFERROR(__xludf.DUMMYFUNCTION("GOOGLETRANSLATE(A8940,""en"",""hy"")"),"Ո՞վ է սկանդինավյան ամպրոպի աստվածը:")</f>
        <v>Ո՞վ է սկանդինավյան ամպրոպի աստվածը:</v>
      </c>
      <c r="D8940" s="6" t="str">
        <f>IFERROR(__xludf.DUMMYFUNCTION("GOOGLETRANSLATE(B8940,""en"",""hy"")"),"Թոր.")</f>
        <v>Թոր.</v>
      </c>
    </row>
    <row r="8941">
      <c r="A8941" s="5" t="s">
        <v>8016</v>
      </c>
      <c r="B8941" s="5" t="s">
        <v>8017</v>
      </c>
      <c r="C8941" s="5" t="str">
        <f>IFERROR(__xludf.DUMMYFUNCTION("GOOGLETRANSLATE(A8941,""en"",""hy"")"),"Ո՞րն է Անգլիայի ազգային ծաղիկը:")</f>
        <v>Ո՞րն է Անգլիայի ազգային ծաղիկը:</v>
      </c>
      <c r="D8941" s="6" t="str">
        <f>IFERROR(__xludf.DUMMYFUNCTION("GOOGLETRANSLATE(B8941,""en"",""hy"")"),"Անգլիայի ազգային ծաղիկը վարդն է։")</f>
        <v>Անգլիայի ազգային ծաղիկը վարդն է։</v>
      </c>
    </row>
    <row r="8942">
      <c r="A8942" s="5" t="s">
        <v>7737</v>
      </c>
      <c r="B8942" s="5" t="s">
        <v>8273</v>
      </c>
      <c r="C8942" s="5" t="str">
        <f>IFERROR(__xludf.DUMMYFUNCTION("GOOGLETRANSLATE(A8942,""en"",""hy"")"),"Ո՞վ է գրել «Շորայի մեջ բռնողը» վեպը:")</f>
        <v>Ո՞վ է գրել «Շորայի մեջ բռնողը» վեպը:</v>
      </c>
      <c r="D8942" s="6" t="str">
        <f>IFERROR(__xludf.DUMMYFUNCTION("GOOGLETRANSLATE(B8942,""en"",""hy"")"),"Ջ.Դ.Սելինջեր")</f>
        <v>Ջ.Դ.Սելինջեր</v>
      </c>
    </row>
    <row r="8943">
      <c r="A8943" s="5" t="s">
        <v>7699</v>
      </c>
      <c r="B8943" s="5" t="s">
        <v>7700</v>
      </c>
      <c r="C8943" s="5" t="str">
        <f>IFERROR(__xludf.DUMMYFUNCTION("GOOGLETRANSLATE(A8943,""en"",""hy"")"),"Ո՞րն է ածխածնի քիմիական նշանը:")</f>
        <v>Ո՞րն է ածխածնի քիմիական նշանը:</v>
      </c>
      <c r="D8943" s="6" t="str">
        <f>IFERROR(__xludf.DUMMYFUNCTION("GOOGLETRANSLATE(B8943,""en"",""hy"")"),"Ածխածնի քիմիական նշանը C է:")</f>
        <v>Ածխածնի քիմիական նշանը C է:</v>
      </c>
    </row>
    <row r="8944">
      <c r="A8944" s="5" t="s">
        <v>9959</v>
      </c>
      <c r="B8944" s="5" t="s">
        <v>9960</v>
      </c>
      <c r="C8944" s="5" t="str">
        <f>IFERROR(__xludf.DUMMYFUNCTION("GOOGLETRANSLATE(A8944,""en"",""hy"")"),"Ո՞ր երկրում է ընդունվել առաջին գրավոր սահմանադրությունը:")</f>
        <v>Ո՞ր երկրում է ընդունվել առաջին գրավոր սահմանադրությունը:</v>
      </c>
      <c r="D8944" s="6" t="str">
        <f>IFERROR(__xludf.DUMMYFUNCTION("GOOGLETRANSLATE(B8944,""en"",""hy"")"),"ԱՄՆ-ում ընդունվեց առաջին գրավոր սահմանադրությունը։")</f>
        <v>ԱՄՆ-ում ընդունվեց առաջին գրավոր սահմանադրությունը։</v>
      </c>
    </row>
    <row r="8945">
      <c r="A8945" s="5" t="s">
        <v>7479</v>
      </c>
      <c r="B8945" s="5" t="s">
        <v>1996</v>
      </c>
      <c r="C8945" s="5" t="str">
        <f>IFERROR(__xludf.DUMMYFUNCTION("GOOGLETRANSLATE(A8945,""en"",""hy"")"),"Ո՞վ է Միացյալ Թագավորության ներկայիս վարչապետը:")</f>
        <v>Ո՞վ է Միացյալ Թագավորության ներկայիս վարչապետը:</v>
      </c>
      <c r="D8945" s="6" t="str">
        <f>IFERROR(__xludf.DUMMYFUNCTION("GOOGLETRANSLATE(B8945,""en"",""hy"")"),"Բորիս Ջոնսոն.")</f>
        <v>Բորիս Ջոնսոն.</v>
      </c>
    </row>
    <row r="8946">
      <c r="A8946" s="5" t="s">
        <v>7722</v>
      </c>
      <c r="B8946" s="5" t="s">
        <v>7723</v>
      </c>
      <c r="C8946" s="5" t="str">
        <f>IFERROR(__xludf.DUMMYFUNCTION("GOOGLETRANSLATE(A8946,""en"",""hy"")"),"Ո՞րն է Աֆրիկայի ամենաբարձր լեռը:")</f>
        <v>Ո՞րն է Աֆրիկայի ամենաբարձր լեռը:</v>
      </c>
      <c r="D8946" s="6" t="str">
        <f>IFERROR(__xludf.DUMMYFUNCTION("GOOGLETRANSLATE(B8946,""en"",""hy"")"),"Կիլիմանջարո լեռ.")</f>
        <v>Կիլիմանջարո լեռ.</v>
      </c>
    </row>
    <row r="8947">
      <c r="A8947" s="5" t="s">
        <v>7995</v>
      </c>
      <c r="B8947" s="5" t="s">
        <v>3894</v>
      </c>
      <c r="C8947" s="5" t="str">
        <f>IFERROR(__xludf.DUMMYFUNCTION("GOOGLETRANSLATE(A8947,""en"",""hy"")"),"Ո՞րն է Իտալիայում խոսվող հիմնական լեզուն:")</f>
        <v>Ո՞րն է Իտալիայում խոսվող հիմնական լեզուն:</v>
      </c>
      <c r="D8947" s="6" t="str">
        <f>IFERROR(__xludf.DUMMYFUNCTION("GOOGLETRANSLATE(B8947,""en"",""hy"")"),"Իտալական.")</f>
        <v>Իտալական.</v>
      </c>
    </row>
    <row r="8948">
      <c r="A8948" s="5" t="s">
        <v>7726</v>
      </c>
      <c r="B8948" s="5" t="s">
        <v>1016</v>
      </c>
      <c r="C8948" s="5" t="str">
        <f>IFERROR(__xludf.DUMMYFUNCTION("GOOGLETRANSLATE(A8948,""en"",""hy"")"),"Ո՞վ է գրել «Մակբեթ» պիեսը։")</f>
        <v>Ո՞վ է գրել «Մակբեթ» պիեսը։</v>
      </c>
      <c r="D8948" s="6" t="str">
        <f>IFERROR(__xludf.DUMMYFUNCTION("GOOGLETRANSLATE(B8948,""en"",""hy"")"),"Ուիլյամ Շեքսպիր.")</f>
        <v>Ուիլյամ Շեքսպիր.</v>
      </c>
    </row>
    <row r="8949">
      <c r="A8949" s="5" t="s">
        <v>7791</v>
      </c>
      <c r="B8949" s="5" t="s">
        <v>7792</v>
      </c>
      <c r="C8949" s="5" t="str">
        <f>IFERROR(__xludf.DUMMYFUNCTION("GOOGLETRANSLATE(A8949,""en"",""hy"")"),"Ո՞րն է Ավստրալիայի ազգային կենդանին:")</f>
        <v>Ո՞րն է Ավստրալիայի ազգային կենդանին:</v>
      </c>
      <c r="D8949" s="6" t="str">
        <f>IFERROR(__xludf.DUMMYFUNCTION("GOOGLETRANSLATE(B8949,""en"",""hy"")"),"Ավստրալիայի ազգային կենդանին կենգուրուն է։")</f>
        <v>Ավստրալիայի ազգային կենդանին կենգուրուն է։</v>
      </c>
    </row>
    <row r="8950">
      <c r="A8950" s="5" t="s">
        <v>8053</v>
      </c>
      <c r="B8950" s="5" t="s">
        <v>8424</v>
      </c>
      <c r="C8950" s="5" t="str">
        <f>IFERROR(__xludf.DUMMYFUNCTION("GOOGLETRANSLATE(A8950,""en"",""hy"")"),"Քանի՞ կողմ ունի ութանկյունը:")</f>
        <v>Քանի՞ կողմ ունի ութանկյունը:</v>
      </c>
      <c r="D8950" s="6" t="str">
        <f>IFERROR(__xludf.DUMMYFUNCTION("GOOGLETRANSLATE(B8950,""en"",""hy"")"),"Ութանկյունն ունի 8 կողմ:")</f>
        <v>Ութանկյունն ունի 8 կողմ:</v>
      </c>
    </row>
    <row r="8951">
      <c r="A8951" s="5" t="s">
        <v>8450</v>
      </c>
      <c r="B8951" s="5" t="s">
        <v>7834</v>
      </c>
      <c r="C8951" s="5" t="str">
        <f>IFERROR(__xludf.DUMMYFUNCTION("GOOGLETRANSLATE(A8951,""en"",""hy"")"),"Ո՞ր երկիրն է հայտնի որպես Կրակի և Սառույցի երկիր:")</f>
        <v>Ո՞ր երկիրն է հայտնի որպես Կրակի և Սառույցի երկիր:</v>
      </c>
      <c r="D8951" s="6" t="str">
        <f>IFERROR(__xludf.DUMMYFUNCTION("GOOGLETRANSLATE(B8951,""en"",""hy"")"),"Իսլանդիա")</f>
        <v>Իսլանդիա</v>
      </c>
    </row>
    <row r="8952">
      <c r="A8952" s="5" t="s">
        <v>7744</v>
      </c>
      <c r="B8952" s="5" t="s">
        <v>7745</v>
      </c>
      <c r="C8952" s="5" t="str">
        <f>IFERROR(__xludf.DUMMYFUNCTION("GOOGLETRANSLATE(A8952,""en"",""hy"")"),"Ո՞վ է նկարել հայտնի «Հիշողության համառությունը» ստեղծագործությունը:")</f>
        <v>Ո՞վ է նկարել հայտնի «Հիշողության համառությունը» ստեղծագործությունը:</v>
      </c>
      <c r="D8952" s="6" t="str">
        <f>IFERROR(__xludf.DUMMYFUNCTION("GOOGLETRANSLATE(B8952,""en"",""hy"")"),"Սալվադոր Դալի.")</f>
        <v>Սալվադոր Դալի.</v>
      </c>
    </row>
    <row r="8953">
      <c r="A8953" s="5" t="s">
        <v>7618</v>
      </c>
      <c r="B8953" s="5" t="s">
        <v>7733</v>
      </c>
      <c r="C8953" s="5" t="str">
        <f>IFERROR(__xludf.DUMMYFUNCTION("GOOGLETRANSLATE(A8953,""en"",""hy"")"),"Ո՞րն է աշխարհի ամենամեծ ջրվեժը:")</f>
        <v>Ո՞րն է աշխարհի ամենամեծ ջրվեժը:</v>
      </c>
      <c r="D8953" s="6" t="str">
        <f>IFERROR(__xludf.DUMMYFUNCTION("GOOGLETRANSLATE(B8953,""en"",""hy"")"),"Angel Falls.")</f>
        <v>Angel Falls.</v>
      </c>
    </row>
    <row r="8954">
      <c r="A8954" s="5" t="s">
        <v>8223</v>
      </c>
      <c r="B8954" s="5" t="s">
        <v>9214</v>
      </c>
      <c r="C8954" s="5" t="str">
        <f>IFERROR(__xludf.DUMMYFUNCTION("GOOGLETRANSLATE(A8954,""en"",""hy"")"),"Ո՞վ է հայտնաբերել էլեկտրաէներգիան:")</f>
        <v>Ո՞վ է հայտնաբերել էլեկտրաէներգիան:</v>
      </c>
      <c r="D8954" s="6" t="str">
        <f>IFERROR(__xludf.DUMMYFUNCTION("GOOGLETRANSLATE(B8954,""en"",""hy"")"),"Բենջամին Ֆրանկլին.")</f>
        <v>Բենջամին Ֆրանկլին.</v>
      </c>
    </row>
    <row r="8955">
      <c r="A8955" s="5" t="s">
        <v>9961</v>
      </c>
      <c r="B8955" s="5" t="s">
        <v>6334</v>
      </c>
      <c r="C8955" s="5" t="str">
        <f>IFERROR(__xludf.DUMMYFUNCTION("GOOGLETRANSLATE(A8955,""en"",""hy"")"),"Ո՞ր երկրում կարող եք գտնել Կոլիզեյը:")</f>
        <v>Ո՞ր երկրում կարող եք գտնել Կոլիզեյը:</v>
      </c>
      <c r="D8955" s="6" t="str">
        <f>IFERROR(__xludf.DUMMYFUNCTION("GOOGLETRANSLATE(B8955,""en"",""hy"")"),"Իտալիա.")</f>
        <v>Իտալիա.</v>
      </c>
    </row>
    <row r="8956">
      <c r="A8956" s="5" t="s">
        <v>9962</v>
      </c>
      <c r="B8956" s="7">
        <v>1776.0</v>
      </c>
      <c r="C8956" s="5" t="str">
        <f>IFERROR(__xludf.DUMMYFUNCTION("GOOGLETRANSLATE(A8956,""en"",""hy"")"),"Ո՞ր տարին է Միացյալ Նահանգները հռչակել անկախություն:")</f>
        <v>Ո՞ր տարին է Միացյալ Նահանգները հռչակել անկախություն:</v>
      </c>
      <c r="D8956" s="6" t="str">
        <f>IFERROR(__xludf.DUMMYFUNCTION("GOOGLETRANSLATE(B8956,""en"",""hy"")"),"1776 թ")</f>
        <v>1776 թ</v>
      </c>
    </row>
    <row r="8957">
      <c r="A8957" s="5" t="s">
        <v>9963</v>
      </c>
      <c r="B8957" s="5" t="s">
        <v>9964</v>
      </c>
      <c r="C8957" s="5" t="str">
        <f>IFERROR(__xludf.DUMMYFUNCTION("GOOGLETRANSLATE(A8957,""en"",""hy"")"),"Ո՞րն է բոլոր ժամանակների ամենաբարձր եկամուտ ունեցող տեսախաղը:")</f>
        <v>Ո՞րն է բոլոր ժամանակների ամենաբարձր եկամուտ ունեցող տեսախաղը:</v>
      </c>
      <c r="D8957" s="6" t="str">
        <f>IFERROR(__xludf.DUMMYFUNCTION("GOOGLETRANSLATE(B8957,""en"",""hy"")"),"Բոլոր ժամանակների ամենաշատ եկամուտ ունեցող տեսախաղը Minecraft-ն է:")</f>
        <v>Բոլոր ժամանակների ամենաշատ եկամուտ ունեցող տեսախաղը Minecraft-ն է:</v>
      </c>
    </row>
    <row r="8958">
      <c r="A8958" s="5" t="s">
        <v>8491</v>
      </c>
      <c r="B8958" s="5" t="s">
        <v>8492</v>
      </c>
      <c r="C8958" s="5" t="str">
        <f>IFERROR(__xludf.DUMMYFUNCTION("GOOGLETRANSLATE(A8958,""en"",""hy"")"),"Քանի՞ ոսկոր կա մարդու ձեռքում:")</f>
        <v>Քանի՞ ոսկոր կա մարդու ձեռքում:</v>
      </c>
      <c r="D8958" s="6" t="str">
        <f>IFERROR(__xludf.DUMMYFUNCTION("GOOGLETRANSLATE(B8958,""en"",""hy"")"),"Մարդու ձեռքում կա 27 ոսկոր։")</f>
        <v>Մարդու ձեռքում կա 27 ոսկոր։</v>
      </c>
    </row>
    <row r="8959">
      <c r="A8959" s="5" t="s">
        <v>9965</v>
      </c>
      <c r="B8959" s="5" t="s">
        <v>7613</v>
      </c>
      <c r="C8959" s="5" t="str">
        <f>IFERROR(__xludf.DUMMYFUNCTION("GOOGLETRANSLATE(A8959,""en"",""hy"")"),"Ո՞վ է գրել «Մեծն Գեթսբի» հայտնի վեպը:")</f>
        <v>Ո՞վ է գրել «Մեծն Գեթսբի» հայտնի վեպը:</v>
      </c>
      <c r="D8959" s="6" t="str">
        <f>IFERROR(__xludf.DUMMYFUNCTION("GOOGLETRANSLATE(B8959,""en"",""hy"")"),"F. Scott Fitzgerald")</f>
        <v>F. Scott Fitzgerald</v>
      </c>
    </row>
    <row r="8960">
      <c r="A8960" s="5" t="s">
        <v>7761</v>
      </c>
      <c r="B8960" s="5" t="s">
        <v>7762</v>
      </c>
      <c r="C8960" s="5" t="str">
        <f>IFERROR(__xludf.DUMMYFUNCTION("GOOGLETRANSLATE(A8960,""en"",""hy"")"),"Ո՞րն է ջրածնի քիմիական նշանը:")</f>
        <v>Ո՞րն է ջրածնի քիմիական նշանը:</v>
      </c>
      <c r="D8960" s="6" t="str">
        <f>IFERROR(__xludf.DUMMYFUNCTION("GOOGLETRANSLATE(B8960,""en"",""hy"")"),"Հ")</f>
        <v>Հ</v>
      </c>
    </row>
    <row r="8961">
      <c r="A8961" s="5" t="s">
        <v>9966</v>
      </c>
      <c r="B8961" s="5" t="s">
        <v>8201</v>
      </c>
      <c r="C8961" s="5" t="str">
        <f>IFERROR(__xludf.DUMMYFUNCTION("GOOGLETRANSLATE(A8961,""en"",""hy"")"),"Ո՞ր երկրում են անցկացվել ժամանակակից առաջին օլիմպիական խաղերը:")</f>
        <v>Ո՞ր երկրում են անցկացվել ժամանակակից առաջին օլիմպիական խաղերը:</v>
      </c>
      <c r="D8961" s="6" t="str">
        <f>IFERROR(__xludf.DUMMYFUNCTION("GOOGLETRANSLATE(B8961,""en"",""hy"")"),"Հունաստան.")</f>
        <v>Հունաստան.</v>
      </c>
    </row>
    <row r="8962">
      <c r="A8962" s="5" t="s">
        <v>8142</v>
      </c>
      <c r="B8962" s="5" t="s">
        <v>8143</v>
      </c>
      <c r="C8962" s="5" t="str">
        <f>IFERROR(__xludf.DUMMYFUNCTION("GOOGLETRANSLATE(A8962,""en"",""hy"")"),"Ո՞վ է Ավստրալիայի ներկայիս վարչապետը:")</f>
        <v>Ո՞վ է Ավստրալիայի ներկայիս վարչապետը:</v>
      </c>
      <c r="D8962" s="6" t="str">
        <f>IFERROR(__xludf.DUMMYFUNCTION("GOOGLETRANSLATE(B8962,""en"",""hy"")"),"Սքոթ Մորիսոն.")</f>
        <v>Սքոթ Մորիսոն.</v>
      </c>
    </row>
    <row r="8963">
      <c r="A8963" s="5" t="s">
        <v>9557</v>
      </c>
      <c r="B8963" s="5" t="s">
        <v>9558</v>
      </c>
      <c r="C8963" s="5" t="str">
        <f>IFERROR(__xludf.DUMMYFUNCTION("GOOGLETRANSLATE(A8963,""en"",""hy"")"),"Ո՞րն է Հարավային Ամերիկայի ամենաբարձր լեռը:")</f>
        <v>Ո՞րն է Հարավային Ամերիկայի ամենաբարձր լեռը:</v>
      </c>
      <c r="D8963" s="6" t="str">
        <f>IFERROR(__xludf.DUMMYFUNCTION("GOOGLETRANSLATE(B8963,""en"",""hy"")"),"Հարավային Ամերիկայի ամենաբարձր լեռը Ակոնկագուա լեռն է։")</f>
        <v>Հարավային Ամերիկայի ամենաբարձր լեռը Ակոնկագուա լեռն է։</v>
      </c>
    </row>
    <row r="8964">
      <c r="A8964" s="5" t="s">
        <v>7958</v>
      </c>
      <c r="B8964" s="5" t="s">
        <v>4928</v>
      </c>
      <c r="C8964" s="5" t="str">
        <f>IFERROR(__xludf.DUMMYFUNCTION("GOOGLETRANSLATE(A8964,""en"",""hy"")"),"Ո՞րն է Գերմանիայում խոսվող հիմնական լեզուն:")</f>
        <v>Ո՞րն է Գերմանիայում խոսվող հիմնական լեզուն:</v>
      </c>
      <c r="D8964" s="6" t="str">
        <f>IFERROR(__xludf.DUMMYFUNCTION("GOOGLETRANSLATE(B8964,""en"",""hy"")"),"գերմաներեն.")</f>
        <v>գերմաներեն.</v>
      </c>
    </row>
    <row r="8965">
      <c r="A8965" s="5" t="s">
        <v>8449</v>
      </c>
      <c r="B8965" s="5" t="s">
        <v>1016</v>
      </c>
      <c r="C8965" s="5" t="str">
        <f>IFERROR(__xludf.DUMMYFUNCTION("GOOGLETRANSLATE(A8965,""en"",""hy"")"),"Ո՞վ է գրել «Ամառային գիշերվա երազ» պիեսը:")</f>
        <v>Ո՞վ է գրել «Ամառային գիշերվա երազ» պիեսը:</v>
      </c>
      <c r="D8965" s="6" t="str">
        <f>IFERROR(__xludf.DUMMYFUNCTION("GOOGLETRANSLATE(B8965,""en"",""hy"")"),"Ուիլյամ Շեքսպիր.")</f>
        <v>Ուիլյամ Շեքսպիր.</v>
      </c>
    </row>
    <row r="8966">
      <c r="A8966" s="5" t="s">
        <v>8198</v>
      </c>
      <c r="B8966" s="5" t="s">
        <v>8199</v>
      </c>
      <c r="C8966" s="5" t="str">
        <f>IFERROR(__xludf.DUMMYFUNCTION("GOOGLETRANSLATE(A8966,""en"",""hy"")"),"Ո՞րն է Չինաստանի ազգային կենդանին:")</f>
        <v>Ո՞րն է Չինաստանի ազգային կենդանին:</v>
      </c>
      <c r="D8966" s="6" t="str">
        <f>IFERROR(__xludf.DUMMYFUNCTION("GOOGLETRANSLATE(B8966,""en"",""hy"")"),"Չինաստանի ազգային կենդանին հսկա պանդան է։")</f>
        <v>Չինաստանի ազգային կենդանին հսկա պանդան է։</v>
      </c>
    </row>
    <row r="8967">
      <c r="A8967" s="5" t="s">
        <v>9967</v>
      </c>
      <c r="B8967" s="5" t="s">
        <v>9968</v>
      </c>
      <c r="C8967" s="5" t="str">
        <f>IFERROR(__xludf.DUMMYFUNCTION("GOOGLETRANSLATE(A8967,""en"",""hy"")"),"Քանի՞ կողմ ունի տասնանկյունը:")</f>
        <v>Քանի՞ կողմ ունի տասնանկյունը:</v>
      </c>
      <c r="D8967" s="6" t="str">
        <f>IFERROR(__xludf.DUMMYFUNCTION("GOOGLETRANSLATE(B8967,""en"",""hy"")"),"Տասնանկյունն ունի 10 կողմ:")</f>
        <v>Տասնանկյունն ունի 10 կողմ:</v>
      </c>
    </row>
    <row r="8968">
      <c r="A8968" s="5" t="s">
        <v>8078</v>
      </c>
      <c r="B8968" s="5" t="s">
        <v>7784</v>
      </c>
      <c r="C8968" s="5" t="str">
        <f>IFERROR(__xludf.DUMMYFUNCTION("GOOGLETRANSLATE(A8968,""en"",""hy"")"),"Ո՞ր երկիրն է հայտնի որպես Ծագող Արևի երկիր:")</f>
        <v>Ո՞ր երկիրն է հայտնի որպես Ծագող Արևի երկիր:</v>
      </c>
      <c r="D8968" s="6" t="str">
        <f>IFERROR(__xludf.DUMMYFUNCTION("GOOGLETRANSLATE(B8968,""en"",""hy"")"),"Ճապոնիա")</f>
        <v>Ճապոնիա</v>
      </c>
    </row>
    <row r="8969">
      <c r="A8969" s="5" t="s">
        <v>8246</v>
      </c>
      <c r="B8969" s="5" t="s">
        <v>7648</v>
      </c>
      <c r="C8969" s="5" t="str">
        <f>IFERROR(__xludf.DUMMYFUNCTION("GOOGLETRANSLATE(A8969,""en"",""hy"")"),"Ո՞վ է նկարել հայտնի «Աստղային գիշերը» արվեստի գործը:")</f>
        <v>Ո՞վ է նկարել հայտնի «Աստղային գիշերը» արվեստի գործը:</v>
      </c>
      <c r="D8969" s="6" t="str">
        <f>IFERROR(__xludf.DUMMYFUNCTION("GOOGLETRANSLATE(B8969,""en"",""hy"")"),"Վինսենթ վան Գոգ.")</f>
        <v>Վինսենթ վան Գոգ.</v>
      </c>
    </row>
    <row r="8970">
      <c r="A8970" s="5" t="s">
        <v>7455</v>
      </c>
      <c r="B8970" s="5" t="s">
        <v>8453</v>
      </c>
      <c r="C8970" s="5" t="str">
        <f>IFERROR(__xludf.DUMMYFUNCTION("GOOGLETRANSLATE(A8970,""en"",""hy"")"),"Ո՞րն է աշխարհի ամենամեծ օվկիանոսը:")</f>
        <v>Ո՞րն է աշխարհի ամենամեծ օվկիանոսը:</v>
      </c>
      <c r="D8970" s="6" t="str">
        <f>IFERROR(__xludf.DUMMYFUNCTION("GOOGLETRANSLATE(B8970,""en"",""hy"")"),"Աշխարհի ամենամեծ օվկիանոսը Խաղաղ օվկիանոսն է։")</f>
        <v>Աշխարհի ամենամեծ օվկիանոսը Խաղաղ օվկիանոսն է։</v>
      </c>
    </row>
    <row r="8971">
      <c r="A8971" s="5" t="s">
        <v>7773</v>
      </c>
      <c r="B8971" s="5" t="s">
        <v>7941</v>
      </c>
      <c r="C8971" s="5" t="str">
        <f>IFERROR(__xludf.DUMMYFUNCTION("GOOGLETRANSLATE(A8971,""en"",""hy"")"),"Ո՞վ է հայտնաբերել պենիցիլինը:")</f>
        <v>Ո՞վ է հայտնաբերել պենիցիլինը:</v>
      </c>
      <c r="D8971" s="6" t="str">
        <f>IFERROR(__xludf.DUMMYFUNCTION("GOOGLETRANSLATE(B8971,""en"",""hy"")"),"Ալեքսանդր Ֆլեմինգ")</f>
        <v>Ալեքսանդր Ֆլեմինգ</v>
      </c>
    </row>
    <row r="8972">
      <c r="A8972" s="5" t="s">
        <v>9949</v>
      </c>
      <c r="B8972" s="5" t="s">
        <v>3535</v>
      </c>
      <c r="C8972" s="5" t="str">
        <f>IFERROR(__xludf.DUMMYFUNCTION("GOOGLETRANSLATE(A8972,""en"",""hy"")"),"Ո՞ր երկրում կարող եք գտնել Մեծ արգելախութը:")</f>
        <v>Ո՞ր երկրում կարող եք գտնել Մեծ արգելախութը:</v>
      </c>
      <c r="D8972" s="6" t="str">
        <f>IFERROR(__xludf.DUMMYFUNCTION("GOOGLETRANSLATE(B8972,""en"",""hy"")"),"Ավստրալիա.")</f>
        <v>Ավստրալիա.</v>
      </c>
    </row>
    <row r="8973">
      <c r="A8973" s="5" t="s">
        <v>9950</v>
      </c>
      <c r="B8973" s="7">
        <v>1969.0</v>
      </c>
      <c r="C8973" s="5" t="str">
        <f>IFERROR(__xludf.DUMMYFUNCTION("GOOGLETRANSLATE(A8973,""en"",""hy"")"),"Ո՞ր տարում է եղել լուսնի առաջին վայրէջքը:")</f>
        <v>Ո՞ր տարում է եղել լուսնի առաջին վայրէջքը:</v>
      </c>
      <c r="D8973" s="6" t="str">
        <f>IFERROR(__xludf.DUMMYFUNCTION("GOOGLETRANSLATE(B8973,""en"",""hy"")"),"1969 թ")</f>
        <v>1969 թ</v>
      </c>
    </row>
    <row r="8974">
      <c r="A8974" s="5" t="s">
        <v>8410</v>
      </c>
      <c r="B8974" s="5" t="s">
        <v>8881</v>
      </c>
      <c r="C8974" s="5" t="str">
        <f>IFERROR(__xludf.DUMMYFUNCTION("GOOGLETRANSLATE(A8974,""en"",""hy"")"),"Ո՞րն է բոլոր ժամանակների ամենաշատ եկամուտ ստացած ֆիլմը:")</f>
        <v>Ո՞րն է բոլոր ժամանակների ամենաշատ եկամուտ ստացած ֆիլմը:</v>
      </c>
      <c r="D8974" s="6" t="str">
        <f>IFERROR(__xludf.DUMMYFUNCTION("GOOGLETRANSLATE(B8974,""en"",""hy"")"),"Անձնանշան")</f>
        <v>Անձնանշան</v>
      </c>
    </row>
    <row r="8975">
      <c r="A8975" s="5" t="s">
        <v>8106</v>
      </c>
      <c r="B8975" s="5" t="s">
        <v>7916</v>
      </c>
      <c r="C8975" s="5" t="str">
        <f>IFERROR(__xludf.DUMMYFUNCTION("GOOGLETRANSLATE(A8975,""en"",""hy"")"),"Քանի՞ ոսկոր կա մարդու մարմնում:")</f>
        <v>Քանի՞ ոսկոր կա մարդու մարմնում:</v>
      </c>
      <c r="D8975" s="6" t="str">
        <f>IFERROR(__xludf.DUMMYFUNCTION("GOOGLETRANSLATE(B8975,""en"",""hy"")"),"Մարդու մարմնում կա 206 ոսկոր։")</f>
        <v>Մարդու մարմնում կա 206 ոսկոր։</v>
      </c>
    </row>
    <row r="8976">
      <c r="A8976" s="5" t="s">
        <v>9279</v>
      </c>
      <c r="B8976" s="5" t="s">
        <v>7444</v>
      </c>
      <c r="C8976" s="5" t="str">
        <f>IFERROR(__xludf.DUMMYFUNCTION("GOOGLETRANSLATE(A8976,""en"",""hy"")"),"Ո՞վ է գրել հայտնի «1984» վեպը։")</f>
        <v>Ո՞վ է գրել հայտնի «1984» վեպը։</v>
      </c>
      <c r="D8976" s="6" t="str">
        <f>IFERROR(__xludf.DUMMYFUNCTION("GOOGLETRANSLATE(B8976,""en"",""hy"")"),"Ջորջ Օրուել.")</f>
        <v>Ջորջ Օրուել.</v>
      </c>
    </row>
    <row r="8977">
      <c r="A8977" s="5" t="s">
        <v>7787</v>
      </c>
      <c r="B8977" s="5" t="s">
        <v>7788</v>
      </c>
      <c r="C8977" s="5" t="str">
        <f>IFERROR(__xludf.DUMMYFUNCTION("GOOGLETRANSLATE(A8977,""en"",""hy"")"),"Ո՞րն է շնաձկան ամենամեծ տեսակը:")</f>
        <v>Ո՞րն է շնաձկան ամենամեծ տեսակը:</v>
      </c>
      <c r="D8977" s="6" t="str">
        <f>IFERROR(__xludf.DUMMYFUNCTION("GOOGLETRANSLATE(B8977,""en"",""hy"")"),"Շնաձկների ամենամեծ տեսակը կետ շնաձուկն է։")</f>
        <v>Շնաձկների ամենամեծ տեսակը կետ շնաձուկն է։</v>
      </c>
    </row>
    <row r="8978">
      <c r="A8978" s="5" t="s">
        <v>7473</v>
      </c>
      <c r="B8978" s="5" t="s">
        <v>7474</v>
      </c>
      <c r="C8978" s="5" t="str">
        <f>IFERROR(__xludf.DUMMYFUNCTION("GOOGLETRANSLATE(A8978,""en"",""hy"")"),"Ո՞վ է նկարել Սիքստինյան կապելլայի առաստաղը:")</f>
        <v>Ո՞վ է նկարել Սիքստինյան կապելլայի առաստաղը:</v>
      </c>
      <c r="D8978" s="6" t="str">
        <f>IFERROR(__xludf.DUMMYFUNCTION("GOOGLETRANSLATE(B8978,""en"",""hy"")"),"Միքելանջելո.")</f>
        <v>Միքելանջելո.</v>
      </c>
    </row>
    <row r="8979">
      <c r="A8979" s="5" t="s">
        <v>7467</v>
      </c>
      <c r="B8979" s="5" t="s">
        <v>7468</v>
      </c>
      <c r="C8979" s="5" t="str">
        <f>IFERROR(__xludf.DUMMYFUNCTION("GOOGLETRANSLATE(A8979,""en"",""hy"")"),"Ո՞րն է Ճապոնիայի արժույթը:")</f>
        <v>Ո՞րն է Ճապոնիայի արժույթը:</v>
      </c>
      <c r="D8979" s="6" t="str">
        <f>IFERROR(__xludf.DUMMYFUNCTION("GOOGLETRANSLATE(B8979,""en"",""hy"")"),"Ճապոնիայի արժույթը ճապոնական իենն է։")</f>
        <v>Ճապոնիայի արժույթը ճապոնական իենն է։</v>
      </c>
    </row>
    <row r="8980">
      <c r="A8980" s="5" t="s">
        <v>9727</v>
      </c>
      <c r="B8980" s="5" t="s">
        <v>7921</v>
      </c>
      <c r="C8980" s="5" t="str">
        <f>IFERROR(__xludf.DUMMYFUNCTION("GOOGLETRANSLATE(A8980,""en"",""hy"")"),"Ո՞ր երկրում է գտնվում Թաջ Մահալը:")</f>
        <v>Ո՞ր երկրում է գտնվում Թաջ Մահալը:</v>
      </c>
      <c r="D8980" s="6" t="str">
        <f>IFERROR(__xludf.DUMMYFUNCTION("GOOGLETRANSLATE(B8980,""en"",""hy"")"),"Հնդկաստան.")</f>
        <v>Հնդկաստան.</v>
      </c>
    </row>
    <row r="8981">
      <c r="A8981" s="5" t="s">
        <v>7450</v>
      </c>
      <c r="B8981" s="5" t="s">
        <v>7451</v>
      </c>
      <c r="C8981" s="5" t="str">
        <f>IFERROR(__xludf.DUMMYFUNCTION("GOOGLETRANSLATE(A8981,""en"",""hy"")"),"Ո՞րն է Ավստրալիայի մայրաքաղաքը:")</f>
        <v>Ո՞րն է Ավստրալիայի մայրաքաղաքը:</v>
      </c>
      <c r="D8981" s="6" t="str">
        <f>IFERROR(__xludf.DUMMYFUNCTION("GOOGLETRANSLATE(B8981,""en"",""hy"")"),"Կանբերա.")</f>
        <v>Կանբերա.</v>
      </c>
    </row>
    <row r="8982">
      <c r="A8982" s="5" t="s">
        <v>7447</v>
      </c>
      <c r="B8982" s="5" t="s">
        <v>7828</v>
      </c>
      <c r="C8982" s="5" t="str">
        <f>IFERROR(__xludf.DUMMYFUNCTION("GOOGLETRANSLATE(A8982,""en"",""hy"")"),"Ո՞վ է նկարել Մոնա Լիզան:")</f>
        <v>Ո՞վ է նկարել Մոնա Լիզան:</v>
      </c>
      <c r="D8982" s="6" t="str">
        <f>IFERROR(__xludf.DUMMYFUNCTION("GOOGLETRANSLATE(B8982,""en"",""hy"")"),"Լեոնարդո դա Վինչի")</f>
        <v>Լեոնարդո դա Վինչի</v>
      </c>
    </row>
    <row r="8983">
      <c r="A8983" s="5" t="s">
        <v>7779</v>
      </c>
      <c r="B8983" s="5" t="s">
        <v>7446</v>
      </c>
      <c r="C8983" s="5" t="str">
        <f>IFERROR(__xludf.DUMMYFUNCTION("GOOGLETRANSLATE(A8983,""en"",""hy"")"),"Ո՞ր մոլորակն է հայտնի որպես «Կարմիր մոլորակ»:")</f>
        <v>Ո՞ր մոլորակն է հայտնի որպես «Կարմիր մոլորակ»:</v>
      </c>
      <c r="D8983" s="6" t="str">
        <f>IFERROR(__xludf.DUMMYFUNCTION("GOOGLETRANSLATE(B8983,""en"",""hy"")"),"Մարս.")</f>
        <v>Մարս.</v>
      </c>
    </row>
    <row r="8984">
      <c r="A8984" s="5" t="s">
        <v>7461</v>
      </c>
      <c r="B8984" s="5" t="s">
        <v>7462</v>
      </c>
      <c r="C8984" s="5" t="str">
        <f>IFERROR(__xludf.DUMMYFUNCTION("GOOGLETRANSLATE(A8984,""en"",""hy"")"),"Ո՞րն է մարդու մարմնի ամենամեծ օրգանը:")</f>
        <v>Ո՞րն է մարդու մարմնի ամենամեծ օրգանը:</v>
      </c>
      <c r="D8984" s="6" t="str">
        <f>IFERROR(__xludf.DUMMYFUNCTION("GOOGLETRANSLATE(B8984,""en"",""hy"")"),"Մաշկը.")</f>
        <v>Մաշկը.</v>
      </c>
    </row>
    <row r="8985">
      <c r="A8985" s="5" t="s">
        <v>7698</v>
      </c>
      <c r="B8985" s="5" t="s">
        <v>7630</v>
      </c>
      <c r="C8985" s="5" t="str">
        <f>IFERROR(__xludf.DUMMYFUNCTION("GOOGLETRANSLATE(A8985,""en"",""hy"")"),"Ո՞վ է գրել «Հպարտություն և նախապաշարմունք» վեպը:")</f>
        <v>Ո՞վ է գրել «Հպարտություն և նախապաշարմունք» վեպը:</v>
      </c>
      <c r="D8985" s="6" t="str">
        <f>IFERROR(__xludf.DUMMYFUNCTION("GOOGLETRANSLATE(B8985,""en"",""hy"")"),"Ջեյն Օսթին.")</f>
        <v>Ջեյն Օսթին.</v>
      </c>
    </row>
    <row r="8986">
      <c r="A8986" s="5" t="s">
        <v>9969</v>
      </c>
      <c r="B8986" s="5" t="s">
        <v>5525</v>
      </c>
      <c r="C8986" s="5" t="str">
        <f>IFERROR(__xludf.DUMMYFUNCTION("GOOGLETRANSLATE(A8986,""en"",""hy"")"),"Ո՞ր երկրում է ծագել հայտնի ABBA երաժշտական ​​խումբը:")</f>
        <v>Ո՞ր երկրում է ծագել հայտնի ABBA երաժշտական ​​խումբը:</v>
      </c>
      <c r="D8986" s="6" t="str">
        <f>IFERROR(__xludf.DUMMYFUNCTION("GOOGLETRANSLATE(B8986,""en"",""hy"")"),"Շվեդիա.")</f>
        <v>Շվեդիա.</v>
      </c>
    </row>
    <row r="8987">
      <c r="A8987" s="5" t="s">
        <v>7506</v>
      </c>
      <c r="B8987" s="5" t="s">
        <v>7507</v>
      </c>
      <c r="C8987" s="5" t="str">
        <f>IFERROR(__xludf.DUMMYFUNCTION("GOOGLETRANSLATE(A8987,""en"",""hy"")"),"Ո՞րն է աշխարհի ամենափոքր երկիրը:")</f>
        <v>Ո՞րն է աշխարհի ամենափոքր երկիրը:</v>
      </c>
      <c r="D8987" s="6" t="str">
        <f>IFERROR(__xludf.DUMMYFUNCTION("GOOGLETRANSLATE(B8987,""en"",""hy"")"),"Քաղաք Վատիկան.")</f>
        <v>Քաղաք Վատիկան.</v>
      </c>
    </row>
    <row r="8988">
      <c r="A8988" s="5" t="s">
        <v>7504</v>
      </c>
      <c r="B8988" s="5" t="s">
        <v>7505</v>
      </c>
      <c r="C8988" s="5" t="str">
        <f>IFERROR(__xludf.DUMMYFUNCTION("GOOGLETRANSLATE(A8988,""en"",""hy"")"),"Ո՞վ է Միացյալ Նահանգների ներկայիս նախագահը:")</f>
        <v>Ո՞վ է Միացյալ Նահանգների ներկայիս նախագահը:</v>
      </c>
      <c r="D8988" s="6" t="str">
        <f>IFERROR(__xludf.DUMMYFUNCTION("GOOGLETRANSLATE(B8988,""en"",""hy"")"),"Ջո Բայդեն.")</f>
        <v>Ջո Բայդեն.</v>
      </c>
    </row>
    <row r="8989">
      <c r="A8989" s="5" t="s">
        <v>7844</v>
      </c>
      <c r="B8989" s="5" t="s">
        <v>7635</v>
      </c>
      <c r="C8989" s="5" t="str">
        <f>IFERROR(__xludf.DUMMYFUNCTION("GOOGLETRANSLATE(A8989,""en"",""hy"")"),"Ո՞վ էր առաջին մարդը, ով ոտք դրեց լուսնի վրա:")</f>
        <v>Ո՞վ էր առաջին մարդը, ով ոտք դրեց լուսնի վրա:</v>
      </c>
      <c r="D8989" s="6" t="str">
        <f>IFERROR(__xludf.DUMMYFUNCTION("GOOGLETRANSLATE(B8989,""en"",""hy"")"),"Նիլ Արմսթրոնգ.")</f>
        <v>Նիլ Արմսթրոնգ.</v>
      </c>
    </row>
    <row r="8990">
      <c r="A8990" s="5" t="s">
        <v>7452</v>
      </c>
      <c r="B8990" s="5" t="s">
        <v>7631</v>
      </c>
      <c r="C8990" s="5" t="str">
        <f>IFERROR(__xludf.DUMMYFUNCTION("GOOGLETRANSLATE(A8990,""en"",""hy"")"),"Ո՞րն է ոսկու քիմիական նշանը:")</f>
        <v>Ո՞րն է ոսկու քիմիական նշանը:</v>
      </c>
      <c r="D8990" s="6" t="str">
        <f>IFERROR(__xludf.DUMMYFUNCTION("GOOGLETRANSLATE(B8990,""en"",""hy"")"),"Ավ")</f>
        <v>Ավ</v>
      </c>
    </row>
    <row r="8991">
      <c r="A8991" s="5" t="s">
        <v>7469</v>
      </c>
      <c r="B8991" s="5" t="s">
        <v>7470</v>
      </c>
      <c r="C8991" s="5" t="str">
        <f>IFERROR(__xludf.DUMMYFUNCTION("GOOGLETRANSLATE(A8991,""en"",""hy"")"),"Ո՞ր տարում ավարտվեց Երկրորդ համաշխարհային պատերազմը:")</f>
        <v>Ո՞ր տարում ավարտվեց Երկրորդ համաշխարհային պատերազմը:</v>
      </c>
      <c r="D8991" s="6" t="str">
        <f>IFERROR(__xludf.DUMMYFUNCTION("GOOGLETRANSLATE(B8991,""en"",""hy"")"),"Երկրորդ համաշխարհային պատերազմն ավարտվեց 1945 թվականին։")</f>
        <v>Երկրորդ համաշխարհային պատերազմն ավարտվեց 1945 թվականին։</v>
      </c>
    </row>
    <row r="8992">
      <c r="A8992" s="5" t="s">
        <v>7817</v>
      </c>
      <c r="B8992" s="5" t="s">
        <v>7818</v>
      </c>
      <c r="C8992" s="5" t="str">
        <f>IFERROR(__xludf.DUMMYFUNCTION("GOOGLETRANSLATE(A8992,""en"",""hy"")"),"Ո՞րն է Կանադայի ազգային կենդանին:")</f>
        <v>Ո՞րն է Կանադայի ազգային կենդանին:</v>
      </c>
      <c r="D8992" s="6" t="str">
        <f>IFERROR(__xludf.DUMMYFUNCTION("GOOGLETRANSLATE(B8992,""en"",""hy"")"),"Կանադայի ազգային կենդանին կեղևն է:")</f>
        <v>Կանադայի ազգային կենդանին կեղևն է:</v>
      </c>
    </row>
    <row r="8993">
      <c r="A8993" s="5" t="s">
        <v>7463</v>
      </c>
      <c r="B8993" s="5" t="s">
        <v>7464</v>
      </c>
      <c r="C8993" s="5" t="str">
        <f>IFERROR(__xludf.DUMMYFUNCTION("GOOGLETRANSLATE(A8993,""en"",""hy"")"),"Ո՞րն է աշխարհի ամենաբարձր լեռը:")</f>
        <v>Ո՞րն է աշխարհի ամենաբարձր լեռը:</v>
      </c>
      <c r="D8993" s="6" t="str">
        <f>IFERROR(__xludf.DUMMYFUNCTION("GOOGLETRANSLATE(B8993,""en"",""hy"")"),"Էվերեստ լեռ.")</f>
        <v>Էվերեստ լեռ.</v>
      </c>
    </row>
    <row r="8994">
      <c r="A8994" s="5" t="s">
        <v>7674</v>
      </c>
      <c r="B8994" s="5" t="s">
        <v>7675</v>
      </c>
      <c r="C8994" s="5" t="str">
        <f>IFERROR(__xludf.DUMMYFUNCTION("GOOGLETRANSLATE(A8994,""en"",""hy"")"),"Ո՞վ է հունական ծովի աստվածը:")</f>
        <v>Ո՞վ է հունական ծովի աստվածը:</v>
      </c>
      <c r="D8994" s="6" t="str">
        <f>IFERROR(__xludf.DUMMYFUNCTION("GOOGLETRANSLATE(B8994,""en"",""hy"")"),"Պոսեյդոն.")</f>
        <v>Պոսեյդոն.</v>
      </c>
    </row>
    <row r="8995">
      <c r="A8995" s="5" t="s">
        <v>7939</v>
      </c>
      <c r="B8995" s="5" t="s">
        <v>7940</v>
      </c>
      <c r="C8995" s="5" t="str">
        <f>IFERROR(__xludf.DUMMYFUNCTION("GOOGLETRANSLATE(A8995,""en"",""hy"")"),"Քանի՞ մայրցամաք կա աշխարհում:")</f>
        <v>Քանի՞ մայրցամաք կա աշխարհում:</v>
      </c>
      <c r="D8995" s="6" t="str">
        <f>IFERROR(__xludf.DUMMYFUNCTION("GOOGLETRANSLATE(B8995,""en"",""hy"")"),"Աշխարհում կան յոթ մայրցամաքներ։")</f>
        <v>Աշխարհում կան յոթ մայրցամաքներ։</v>
      </c>
    </row>
    <row r="8996">
      <c r="A8996" s="5" t="s">
        <v>7645</v>
      </c>
      <c r="B8996" s="5" t="s">
        <v>8336</v>
      </c>
      <c r="C8996" s="5" t="str">
        <f>IFERROR(__xludf.DUMMYFUNCTION("GOOGLETRANSLATE(A8996,""en"",""hy"")"),"Ո՞րն է Երկրի ամենամեծ օվկիանոսը:")</f>
        <v>Ո՞րն է Երկրի ամենամեծ օվկիանոսը:</v>
      </c>
      <c r="D8996" s="6" t="str">
        <f>IFERROR(__xludf.DUMMYFUNCTION("GOOGLETRANSLATE(B8996,""en"",""hy"")"),"Երկրի ամենամեծ օվկիանոսը Խաղաղ օվկիանոսն է։")</f>
        <v>Երկրի ամենամեծ օվկիանոսը Խաղաղ օվկիանոսն է։</v>
      </c>
    </row>
    <row r="8997">
      <c r="A8997" s="5" t="s">
        <v>8246</v>
      </c>
      <c r="B8997" s="5" t="s">
        <v>7648</v>
      </c>
      <c r="C8997" s="5" t="str">
        <f>IFERROR(__xludf.DUMMYFUNCTION("GOOGLETRANSLATE(A8997,""en"",""hy"")"),"Ո՞վ է նկարել հայտնի «Աստղային գիշերը» արվեստի գործը:")</f>
        <v>Ո՞վ է նկարել հայտնի «Աստղային գիշերը» արվեստի գործը:</v>
      </c>
      <c r="D8997" s="6" t="str">
        <f>IFERROR(__xludf.DUMMYFUNCTION("GOOGLETRANSLATE(B8997,""en"",""hy"")"),"Վինսենթ վան Գոգ.")</f>
        <v>Վինսենթ վան Գոգ.</v>
      </c>
    </row>
    <row r="8998">
      <c r="A8998" s="5" t="s">
        <v>8395</v>
      </c>
      <c r="B8998" s="5" t="s">
        <v>8295</v>
      </c>
      <c r="C8998" s="5" t="str">
        <f>IFERROR(__xludf.DUMMYFUNCTION("GOOGLETRANSLATE(A8998,""en"",""hy"")"),"Ո՞րն է ջրի քիմիական նշանը:")</f>
        <v>Ո՞րն է ջրի քիմիական նշանը:</v>
      </c>
      <c r="D8998" s="6" t="str">
        <f>IFERROR(__xludf.DUMMYFUNCTION("GOOGLETRANSLATE(B8998,""en"",""hy"")"),"H2O")</f>
        <v>H2O</v>
      </c>
    </row>
    <row r="8999">
      <c r="A8999" s="5" t="s">
        <v>7769</v>
      </c>
      <c r="B8999" s="5" t="s">
        <v>8110</v>
      </c>
      <c r="C8999" s="5" t="str">
        <f>IFERROR(__xludf.DUMMYFUNCTION("GOOGLETRANSLATE(A8999,""en"",""hy"")"),"Ո՞վ է Հարրի Փոթերի գրքերի շարքի հեղինակը:")</f>
        <v>Ո՞վ է Հարրի Փոթերի գրքերի շարքի հեղինակը:</v>
      </c>
      <c r="D8999" s="6" t="str">
        <f>IFERROR(__xludf.DUMMYFUNCTION("GOOGLETRANSLATE(B8999,""en"",""hy"")"),"Ջ.Կ. Ռոուլինգ")</f>
        <v>Ջ.Կ. Ռոուլինգ</v>
      </c>
    </row>
    <row r="9000">
      <c r="A9000" s="5" t="s">
        <v>8108</v>
      </c>
      <c r="B9000" s="5" t="s">
        <v>7556</v>
      </c>
      <c r="C9000" s="5" t="str">
        <f>IFERROR(__xludf.DUMMYFUNCTION("GOOGLETRANSLATE(A9000,""en"",""hy"")"),"Ո՞ր հայտնի գիտնականն է մշակել հարաբերականության տեսությունը:")</f>
        <v>Ո՞ր հայտնի գիտնականն է մշակել հարաբերականության տեսությունը:</v>
      </c>
      <c r="D9000" s="6" t="str">
        <f>IFERROR(__xludf.DUMMYFUNCTION("GOOGLETRANSLATE(B9000,""en"",""hy"")"),"Albert Einstein.")</f>
        <v>Albert Einstein.</v>
      </c>
    </row>
    <row r="9001">
      <c r="A9001" s="5" t="s">
        <v>9970</v>
      </c>
      <c r="B9001" s="5" t="s">
        <v>7448</v>
      </c>
      <c r="C9001" s="5" t="str">
        <f>IFERROR(__xludf.DUMMYFUNCTION("GOOGLETRANSLATE(A9001,""en"",""hy"")"),"Ո՞վ է նկարել հայտնի «Վերջին ընթրիքը» գլուխգործոցը։")</f>
        <v>Ո՞վ է նկարել հայտնի «Վերջին ընթրիքը» գլուխգործոցը։</v>
      </c>
      <c r="D9001" s="6" t="str">
        <f>IFERROR(__xludf.DUMMYFUNCTION("GOOGLETRANSLATE(B9001,""en"",""hy"")"),"Լեոնարդո դա Վինչի.")</f>
        <v>Լեոնարդո դա Վինչի.</v>
      </c>
    </row>
    <row r="9002">
      <c r="A9002" s="5" t="s">
        <v>9249</v>
      </c>
      <c r="B9002" s="5" t="s">
        <v>7912</v>
      </c>
      <c r="C9002" s="5" t="str">
        <f>IFERROR(__xludf.DUMMYFUNCTION("GOOGLETRANSLATE(A9002,""en"",""hy"")"),"Ո՞ր մոլորակն է հայտնի որպես «Արեգակնային համակարգի հսկա»:")</f>
        <v>Ո՞ր մոլորակն է հայտնի որպես «Արեգակնային համակարգի հսկա»:</v>
      </c>
      <c r="D9002" s="6" t="str">
        <f>IFERROR(__xludf.DUMMYFUNCTION("GOOGLETRANSLATE(B9002,""en"",""hy"")"),"Յուպիտեր")</f>
        <v>Յուպիտեր</v>
      </c>
    </row>
    <row r="9003">
      <c r="A9003" s="5" t="s">
        <v>7467</v>
      </c>
      <c r="B9003" s="5" t="s">
        <v>7468</v>
      </c>
      <c r="C9003" s="5" t="str">
        <f>IFERROR(__xludf.DUMMYFUNCTION("GOOGLETRANSLATE(A9003,""en"",""hy"")"),"Ո՞րն է Ճապոնիայի արժույթը:")</f>
        <v>Ո՞րն է Ճապոնիայի արժույթը:</v>
      </c>
      <c r="D9003" s="6" t="str">
        <f>IFERROR(__xludf.DUMMYFUNCTION("GOOGLETRANSLATE(B9003,""en"",""hy"")"),"Ճապոնիայի արժույթը ճապոնական իենն է։")</f>
        <v>Ճապոնիայի արժույթը ճապոնական իենն է։</v>
      </c>
    </row>
    <row r="9004">
      <c r="A9004" s="5" t="s">
        <v>7670</v>
      </c>
      <c r="B9004" s="5" t="s">
        <v>9220</v>
      </c>
      <c r="C9004" s="5" t="str">
        <f>IFERROR(__xludf.DUMMYFUNCTION("GOOGLETRANSLATE(A9004,""en"",""hy"")"),"Ո՞րն է աշխարհի ամենաերկար գետը:")</f>
        <v>Ո՞րն է աշխարհի ամենաերկար գետը:</v>
      </c>
      <c r="D9004" s="6" t="str">
        <f>IFERROR(__xludf.DUMMYFUNCTION("GOOGLETRANSLATE(B9004,""en"",""hy"")"),"Աշխարհի ամենաերկար գետը Նեղոսն է։")</f>
        <v>Աշխարհի ամենաերկար գետը Նեղոսն է։</v>
      </c>
    </row>
    <row r="9005">
      <c r="A9005" s="5" t="s">
        <v>8676</v>
      </c>
      <c r="B9005" s="5" t="s">
        <v>8677</v>
      </c>
      <c r="C9005" s="5" t="str">
        <f>IFERROR(__xludf.DUMMYFUNCTION("GOOGLETRANSLATE(A9005,""en"",""hy"")"),"Ո՞րն է շոկոլադի հիմնական բաղադրիչը:")</f>
        <v>Ո՞րն է շոկոլադի հիմնական բաղադրիչը:</v>
      </c>
      <c r="D9005" s="6" t="str">
        <f>IFERROR(__xludf.DUMMYFUNCTION("GOOGLETRANSLATE(B9005,""en"",""hy"")"),"Շոկոլադի հիմնական բաղադրիչը կակաոյի հատիկներն են։")</f>
        <v>Շոկոլադի հիմնական բաղադրիչը կակաոյի հատիկներն են։</v>
      </c>
    </row>
    <row r="9006">
      <c r="A9006" s="5" t="s">
        <v>7640</v>
      </c>
      <c r="B9006" s="5" t="s">
        <v>1016</v>
      </c>
      <c r="C9006" s="5" t="str">
        <f>IFERROR(__xludf.DUMMYFUNCTION("GOOGLETRANSLATE(A9006,""en"",""hy"")"),"Ո՞վ է գրել «Ռոմեո և Ջուլիետ» պիեսը:")</f>
        <v>Ո՞վ է գրել «Ռոմեո և Ջուլիետ» պիեսը:</v>
      </c>
      <c r="D9006" s="6" t="str">
        <f>IFERROR(__xludf.DUMMYFUNCTION("GOOGLETRANSLATE(B9006,""en"",""hy"")"),"Ուիլյամ Շեքսպիր.")</f>
        <v>Ուիլյամ Շեքսպիր.</v>
      </c>
    </row>
    <row r="9007">
      <c r="A9007" s="5" t="s">
        <v>8171</v>
      </c>
      <c r="B9007" s="5" t="s">
        <v>3535</v>
      </c>
      <c r="C9007" s="5" t="str">
        <f>IFERROR(__xludf.DUMMYFUNCTION("GOOGLETRANSLATE(A9007,""en"",""hy"")"),"Ո՞ր երկրում կգտնեք Մեծ արգելախութը:")</f>
        <v>Ո՞ր երկրում կգտնեք Մեծ արգելախութը:</v>
      </c>
      <c r="D9007" s="6" t="str">
        <f>IFERROR(__xludf.DUMMYFUNCTION("GOOGLETRANSLATE(B9007,""en"",""hy"")"),"Ավստրալիա.")</f>
        <v>Ավստրալիա.</v>
      </c>
    </row>
    <row r="9008">
      <c r="A9008" s="5" t="s">
        <v>8115</v>
      </c>
      <c r="B9008" s="5" t="s">
        <v>9278</v>
      </c>
      <c r="C9008" s="5" t="str">
        <f>IFERROR(__xludf.DUMMYFUNCTION("GOOGLETRANSLATE(A9008,""en"",""hy"")"),"Ո՞վ է եղել Միացյալ Թագավորության առաջին կին վարչապետը:")</f>
        <v>Ո՞վ է եղել Միացյալ Թագավորության առաջին կին վարչապետը:</v>
      </c>
      <c r="D9008" s="6" t="str">
        <f>IFERROR(__xludf.DUMMYFUNCTION("GOOGLETRANSLATE(B9008,""en"",""hy"")"),"Մարգարեթ Թետչեր.")</f>
        <v>Մարգարեթ Թետչեր.</v>
      </c>
    </row>
    <row r="9009">
      <c r="A9009" s="5" t="s">
        <v>8125</v>
      </c>
      <c r="B9009" s="5" t="s">
        <v>9971</v>
      </c>
      <c r="C9009" s="5" t="str">
        <f>IFERROR(__xludf.DUMMYFUNCTION("GOOGLETRANSLATE(A9009,""en"",""hy"")"),"Ո՞րն է պինգվինի ամենամեծ տեսակը:")</f>
        <v>Ո՞րն է պինգվինի ամենամեծ տեսակը:</v>
      </c>
      <c r="D9009" s="6" t="str">
        <f>IFERROR(__xludf.DUMMYFUNCTION("GOOGLETRANSLATE(B9009,""en"",""hy"")"),"Պինգվինների ամենամեծ տեսակը կայսեր պինգվինն է:")</f>
        <v>Պինգվինների ամենամեծ տեսակը կայսեր պինգվինն է:</v>
      </c>
    </row>
    <row r="9010">
      <c r="A9010" s="5" t="s">
        <v>8316</v>
      </c>
      <c r="B9010" s="5" t="s">
        <v>8317</v>
      </c>
      <c r="C9010" s="5" t="str">
        <f>IFERROR(__xludf.DUMMYFUNCTION("GOOGLETRANSLATE(A9010,""en"",""hy"")"),"Ո՞վ է հունական պատերազմի աստվածը:")</f>
        <v>Ո՞վ է հունական պատերազմի աստվածը:</v>
      </c>
      <c r="D9010" s="6" t="str">
        <f>IFERROR(__xludf.DUMMYFUNCTION("GOOGLETRANSLATE(B9010,""en"",""hy"")"),"Հունական պատերազմի աստվածը Արեսն է:")</f>
        <v>Հունական պատերազմի աստվածը Արեսն է:</v>
      </c>
    </row>
    <row r="9011">
      <c r="A9011" s="5" t="s">
        <v>7477</v>
      </c>
      <c r="B9011" s="5" t="s">
        <v>7784</v>
      </c>
      <c r="C9011" s="5" t="str">
        <f>IFERROR(__xludf.DUMMYFUNCTION("GOOGLETRANSLATE(A9011,""en"",""hy"")"),"Ո՞ր երկիրն է հայտնի որպես «Ծագող արևի երկիր»:")</f>
        <v>Ո՞ր երկիրն է հայտնի որպես «Ծագող արևի երկիր»:</v>
      </c>
      <c r="D9011" s="6" t="str">
        <f>IFERROR(__xludf.DUMMYFUNCTION("GOOGLETRANSLATE(B9011,""en"",""hy"")"),"Ճապոնիա")</f>
        <v>Ճապոնիա</v>
      </c>
    </row>
    <row r="9012">
      <c r="A9012" s="5" t="s">
        <v>8028</v>
      </c>
      <c r="B9012" s="5" t="s">
        <v>79</v>
      </c>
      <c r="C9012" s="5" t="str">
        <f>IFERROR(__xludf.DUMMYFUNCTION("GOOGLETRANSLATE(A9012,""en"",""hy"")"),"Ո՞րն է Կանադայի ազգային սպորտը:")</f>
        <v>Ո՞րն է Կանադայի ազգային սպորտը:</v>
      </c>
      <c r="D9012" s="6" t="str">
        <f>IFERROR(__xludf.DUMMYFUNCTION("GOOGLETRANSLATE(B9012,""en"",""hy"")"),"Հոկեյ.")</f>
        <v>Հոկեյ.</v>
      </c>
    </row>
    <row r="9013">
      <c r="A9013" s="5" t="s">
        <v>8275</v>
      </c>
      <c r="B9013" s="5" t="s">
        <v>7549</v>
      </c>
      <c r="C9013" s="5" t="str">
        <f>IFERROR(__xludf.DUMMYFUNCTION("GOOGLETRANSLATE(A9013,""en"",""hy"")"),"Ո՞վ է նկարել հայտնի «Մարգարտյա ականջօղով աղջիկը» ստեղծագործությունը:")</f>
        <v>Ո՞վ է նկարել հայտնի «Մարգարտյա ականջօղով աղջիկը» ստեղծագործությունը:</v>
      </c>
      <c r="D9013" s="6" t="str">
        <f>IFERROR(__xludf.DUMMYFUNCTION("GOOGLETRANSLATE(B9013,""en"",""hy"")"),"Յոհաննես Վերմեեր.")</f>
        <v>Յոհաննես Վերմեեր.</v>
      </c>
    </row>
    <row r="9014">
      <c r="A9014" s="5" t="s">
        <v>7592</v>
      </c>
      <c r="B9014" s="5" t="s">
        <v>7593</v>
      </c>
      <c r="C9014" s="5" t="str">
        <f>IFERROR(__xludf.DUMMYFUNCTION("GOOGLETRANSLATE(A9014,""en"",""hy"")"),"Ո՞րն է թթվածնի քիմիական նշանը:")</f>
        <v>Ո՞րն է թթվածնի քիմիական նշանը:</v>
      </c>
      <c r="D9014" s="6" t="str">
        <f>IFERROR(__xludf.DUMMYFUNCTION("GOOGLETRANSLATE(B9014,""en"",""hy"")"),"Թթվածնի քիմիական նշանը O է:")</f>
        <v>Թթվածնի քիմիական նշանը O է:</v>
      </c>
    </row>
    <row r="9015">
      <c r="A9015" s="5" t="s">
        <v>7654</v>
      </c>
      <c r="B9015" s="5" t="s">
        <v>7556</v>
      </c>
      <c r="C9015" s="5" t="str">
        <f>IFERROR(__xludf.DUMMYFUNCTION("GOOGLETRANSLATE(A9015,""en"",""hy"")"),"Ո՞վ է հայտնի որպես «Ժամանակակից ֆիզիկայի հայր»:")</f>
        <v>Ո՞վ է հայտնի որպես «Ժամանակակից ֆիզիկայի հայր»:</v>
      </c>
      <c r="D9015" s="6" t="str">
        <f>IFERROR(__xludf.DUMMYFUNCTION("GOOGLETRANSLATE(B9015,""en"",""hy"")"),"Albert Einstein.")</f>
        <v>Albert Einstein.</v>
      </c>
    </row>
    <row r="9016">
      <c r="A9016" s="5" t="s">
        <v>8974</v>
      </c>
      <c r="B9016" s="5" t="s">
        <v>7512</v>
      </c>
      <c r="C9016" s="5" t="str">
        <f>IFERROR(__xludf.DUMMYFUNCTION("GOOGLETRANSLATE(A9016,""en"",""hy"")"),"Ո՞ր երկրում կգտնեք Գիզայի բուրգերը:")</f>
        <v>Ո՞ր երկրում կգտնեք Գիզայի բուրգերը:</v>
      </c>
      <c r="D9016" s="6" t="str">
        <f>IFERROR(__xludf.DUMMYFUNCTION("GOOGLETRANSLATE(B9016,""en"",""hy"")"),"Եգիպտոս.")</f>
        <v>Եգիպտոս.</v>
      </c>
    </row>
    <row r="9017">
      <c r="A9017" s="5" t="s">
        <v>7513</v>
      </c>
      <c r="B9017" s="5" t="s">
        <v>8337</v>
      </c>
      <c r="C9017" s="5" t="str">
        <f>IFERROR(__xludf.DUMMYFUNCTION("GOOGLETRANSLATE(A9017,""en"",""hy"")"),"Ո՞րն է աշխարհի ամենամեծ անապատը:")</f>
        <v>Ո՞րն է աշխարհի ամենամեծ անապատը:</v>
      </c>
      <c r="D9017" s="6" t="str">
        <f>IFERROR(__xludf.DUMMYFUNCTION("GOOGLETRANSLATE(B9017,""en"",""hy"")"),"Աշխարհի ամենամեծ անապատը Անտարկտիդայի անապատն է։")</f>
        <v>Աշխարհի ամենամեծ անապատը Անտարկտիդայի անապատն է։</v>
      </c>
    </row>
    <row r="9018">
      <c r="A9018" s="5" t="s">
        <v>7443</v>
      </c>
      <c r="B9018" s="5" t="s">
        <v>7444</v>
      </c>
      <c r="C9018" s="5" t="str">
        <f>IFERROR(__xludf.DUMMYFUNCTION("GOOGLETRANSLATE(A9018,""en"",""hy"")"),"Ո՞վ է գրել «1984» վեպը։")</f>
        <v>Ո՞վ է գրել «1984» վեպը։</v>
      </c>
      <c r="D9018" s="6" t="str">
        <f>IFERROR(__xludf.DUMMYFUNCTION("GOOGLETRANSLATE(B9018,""en"",""hy"")"),"Ջորջ Օրուել.")</f>
        <v>Ջորջ Օրուել.</v>
      </c>
    </row>
    <row r="9019">
      <c r="A9019" s="5" t="s">
        <v>8136</v>
      </c>
      <c r="B9019" s="5" t="s">
        <v>9972</v>
      </c>
      <c r="C9019" s="5" t="str">
        <f>IFERROR(__xludf.DUMMYFUNCTION("GOOGLETRANSLATE(A9019,""en"",""hy"")"),"Ո՞րն է Ֆրանսիայի ազգային ծաղիկը:")</f>
        <v>Ո՞րն է Ֆրանսիայի ազգային ծաղիկը:</v>
      </c>
      <c r="D9019" s="6" t="str">
        <f>IFERROR(__xludf.DUMMYFUNCTION("GOOGLETRANSLATE(B9019,""en"",""hy"")"),"Ֆրանսիայի ազգային ծաղիկը շուշանն է (Fleur-de-lis):")</f>
        <v>Ֆրանսիայի ազգային ծաղիկը շուշանն է (Fleur-de-lis):</v>
      </c>
    </row>
    <row r="9020">
      <c r="A9020" s="5" t="s">
        <v>7515</v>
      </c>
      <c r="B9020" s="5" t="s">
        <v>7516</v>
      </c>
      <c r="C9020" s="5" t="str">
        <f>IFERROR(__xludf.DUMMYFUNCTION("GOOGLETRANSLATE(A9020,""en"",""hy"")"),"Ո՞րն է Բրազիլիայի մայրաքաղաքը:")</f>
        <v>Ո՞րն է Բրազիլիայի մայրաքաղաքը:</v>
      </c>
      <c r="D9020" s="6" t="str">
        <f>IFERROR(__xludf.DUMMYFUNCTION("GOOGLETRANSLATE(B9020,""en"",""hy"")"),"Բրազիլիա.")</f>
        <v>Բրազիլիա.</v>
      </c>
    </row>
    <row r="9021">
      <c r="A9021" s="5" t="s">
        <v>9973</v>
      </c>
      <c r="B9021" s="5" t="s">
        <v>9974</v>
      </c>
      <c r="C9021" s="5" t="str">
        <f>IFERROR(__xludf.DUMMYFUNCTION("GOOGLETRANSLATE(A9021,""en"",""hy"")"),"Ո՞վ է «Նարնիայի քրոնիկները» գրքաշարի հեղինակը.")</f>
        <v>Ո՞վ է «Նարնիայի քրոնիկները» գրքաշարի հեղինակը.</v>
      </c>
      <c r="D9021" s="6" t="str">
        <f>IFERROR(__xludf.DUMMYFUNCTION("GOOGLETRANSLATE(B9021,""en"",""hy"")"),"«Նարնիայի քրոնիկները» գրքի հեղինակը Ք.Ս.Լյուիսն է։")</f>
        <v>«Նարնիայի քրոնիկները» գրքի հեղինակը Ք.Ս.Լյուիսն է։</v>
      </c>
    </row>
    <row r="9022">
      <c r="A9022" s="5" t="s">
        <v>9975</v>
      </c>
      <c r="B9022" s="5" t="s">
        <v>7956</v>
      </c>
      <c r="C9022" s="5" t="str">
        <f>IFERROR(__xludf.DUMMYFUNCTION("GOOGLETRANSLATE(A9022,""en"",""hy"")"),"Ո՞ր հայտնի գիտնականն է հայտնաբերել ձգողության օրենքը:")</f>
        <v>Ո՞ր հայտնի գիտնականն է հայտնաբերել ձգողության օրենքը:</v>
      </c>
      <c r="D9022" s="6" t="str">
        <f>IFERROR(__xludf.DUMMYFUNCTION("GOOGLETRANSLATE(B9022,""en"",""hy"")"),"Իսահակ Նյուտոն.")</f>
        <v>Իսահակ Նյուտոն.</v>
      </c>
    </row>
    <row r="9023">
      <c r="A9023" s="5" t="s">
        <v>7809</v>
      </c>
      <c r="B9023" s="5" t="s">
        <v>8061</v>
      </c>
      <c r="C9023" s="5" t="str">
        <f>IFERROR(__xludf.DUMMYFUNCTION("GOOGLETRANSLATE(A9023,""en"",""hy"")"),"Ո՞րն է հելիումի քիմիական նշանը:")</f>
        <v>Ո՞րն է հելիումի քիմիական նշանը:</v>
      </c>
      <c r="D9023" s="6" t="str">
        <f>IFERROR(__xludf.DUMMYFUNCTION("GOOGLETRANSLATE(B9023,""en"",""hy"")"),"Հելիումի քիմիական նշանը Նա է:")</f>
        <v>Հելիումի քիմիական նշանը Նա է:</v>
      </c>
    </row>
    <row r="9024">
      <c r="A9024" s="5" t="s">
        <v>8310</v>
      </c>
      <c r="B9024" s="5" t="s">
        <v>7585</v>
      </c>
      <c r="C9024" s="5" t="str">
        <f>IFERROR(__xludf.DUMMYFUNCTION("GOOGLETRANSLATE(A9024,""en"",""hy"")"),"Ո՞վ է նկարել հայտնի «Ճիչ»-ը:")</f>
        <v>Ո՞վ է նկարել հայտնի «Ճիչ»-ը:</v>
      </c>
      <c r="D9024" s="6" t="str">
        <f>IFERROR(__xludf.DUMMYFUNCTION("GOOGLETRANSLATE(B9024,""en"",""hy"")"),"Էդվարդ Մունկ.")</f>
        <v>Էդվարդ Մունկ.</v>
      </c>
    </row>
    <row r="9025">
      <c r="A9025" s="5" t="s">
        <v>9976</v>
      </c>
      <c r="B9025" s="5" t="s">
        <v>9977</v>
      </c>
      <c r="C9025" s="5" t="str">
        <f>IFERROR(__xludf.DUMMYFUNCTION("GOOGLETRANSLATE(A9025,""en"",""hy"")"),"Ո՞ր երկրում է գտնվում Սթոունհենջը:")</f>
        <v>Ո՞ր երկրում է գտնվում Սթոունհենջը:</v>
      </c>
      <c r="D9025" s="6" t="str">
        <f>IFERROR(__xludf.DUMMYFUNCTION("GOOGLETRANSLATE(B9025,""en"",""hy"")"),"Սթոունհենջը գտնվում է Անգլիայում։")</f>
        <v>Սթոունհենջը գտնվում է Անգլիայում։</v>
      </c>
    </row>
    <row r="9026">
      <c r="A9026" s="5" t="s">
        <v>7480</v>
      </c>
      <c r="B9026" s="5" t="s">
        <v>7481</v>
      </c>
      <c r="C9026" s="5" t="str">
        <f>IFERROR(__xludf.DUMMYFUNCTION("GOOGLETRANSLATE(A9026,""en"",""hy"")"),"Ո՞րն է Միացյալ Նահանգների ազգային թռչունը:")</f>
        <v>Ո՞րն է Միացյալ Նահանգների ազգային թռչունը:</v>
      </c>
      <c r="D9026" s="6" t="str">
        <f>IFERROR(__xludf.DUMMYFUNCTION("GOOGLETRANSLATE(B9026,""en"",""hy"")"),"Միացյալ Նահանգների ազգային թռչունը ճաղատ արծիվն է։")</f>
        <v>Միացյալ Նահանգների ազգային թռչունը ճաղատ արծիվն է։</v>
      </c>
    </row>
    <row r="9027">
      <c r="A9027" s="5" t="s">
        <v>7655</v>
      </c>
      <c r="B9027" s="5" t="s">
        <v>7656</v>
      </c>
      <c r="C9027" s="5" t="str">
        <f>IFERROR(__xludf.DUMMYFUNCTION("GOOGLETRANSLATE(A9027,""en"",""hy"")"),"Ո՞վ է գրել «Ագռավը» բանաստեղծությունը:")</f>
        <v>Ո՞վ է գրել «Ագռավը» բանաստեղծությունը:</v>
      </c>
      <c r="D9027" s="6" t="str">
        <f>IFERROR(__xludf.DUMMYFUNCTION("GOOGLETRANSLATE(B9027,""en"",""hy"")"),"Էդգար Ալան Պո.")</f>
        <v>Էդգար Ալան Պո.</v>
      </c>
    </row>
    <row r="9028">
      <c r="A9028" s="5" t="s">
        <v>8741</v>
      </c>
      <c r="B9028" s="5" t="s">
        <v>8411</v>
      </c>
      <c r="C9028" s="5" t="str">
        <f>IFERROR(__xludf.DUMMYFUNCTION("GOOGLETRANSLATE(A9028,""en"",""hy"")"),"Ո՞րն է բոլոր ժամանակների ամենաշատ եկամուտ ստացած ֆիլմը:")</f>
        <v>Ո՞րն է բոլոր ժամանակների ամենաշատ եկամուտ ստացած ֆիլմը:</v>
      </c>
      <c r="D9028" s="6" t="str">
        <f>IFERROR(__xludf.DUMMYFUNCTION("GOOGLETRANSLATE(B9028,""en"",""hy"")"),"Անձնանշան.")</f>
        <v>Անձնանշան.</v>
      </c>
    </row>
    <row r="9029">
      <c r="A9029" s="5" t="s">
        <v>7536</v>
      </c>
      <c r="B9029" s="5" t="s">
        <v>7870</v>
      </c>
      <c r="C9029" s="5" t="str">
        <f>IFERROR(__xludf.DUMMYFUNCTION("GOOGLETRANSLATE(A9029,""en"",""hy"")"),"Ո՞րն է Ռուսաստանի մայրաքաղաքը:")</f>
        <v>Ո՞րն է Ռուսաստանի մայրաքաղաքը:</v>
      </c>
      <c r="D9029" s="6" t="str">
        <f>IFERROR(__xludf.DUMMYFUNCTION("GOOGLETRANSLATE(B9029,""en"",""hy"")"),"Մոսկվա.")</f>
        <v>Մոսկվա.</v>
      </c>
    </row>
    <row r="9030">
      <c r="A9030" s="5" t="s">
        <v>8679</v>
      </c>
      <c r="B9030" s="5" t="s">
        <v>7541</v>
      </c>
      <c r="C9030" s="5" t="str">
        <f>IFERROR(__xludf.DUMMYFUNCTION("GOOGLETRANSLATE(A9030,""en"",""hy"")"),"Ո՞վ է «Սպանել ծաղրող թռչունին» գրքի հեղինակը.")</f>
        <v>Ո՞վ է «Սպանել ծաղրող թռչունին» գրքի հեղինակը.</v>
      </c>
      <c r="D9030" s="6" t="str">
        <f>IFERROR(__xludf.DUMMYFUNCTION("GOOGLETRANSLATE(B9030,""en"",""hy"")"),"Հարփեր Լի.")</f>
        <v>Հարփեր Լի.</v>
      </c>
    </row>
    <row r="9031">
      <c r="A9031" s="5" t="s">
        <v>9048</v>
      </c>
      <c r="B9031" s="5" t="s">
        <v>7936</v>
      </c>
      <c r="C9031" s="5" t="str">
        <f>IFERROR(__xludf.DUMMYFUNCTION("GOOGLETRANSLATE(A9031,""en"",""hy"")"),"Ո՞ր կենդանին է հայտնի որպես «Ջունգլիների արքա»:")</f>
        <v>Ո՞ր կենդանին է հայտնի որպես «Ջունգլիների արքա»:</v>
      </c>
      <c r="D9031" s="6" t="str">
        <f>IFERROR(__xludf.DUMMYFUNCTION("GOOGLETRANSLATE(B9031,""en"",""hy"")"),"Առյուծը.")</f>
        <v>Առյուծը.</v>
      </c>
    </row>
    <row r="9032">
      <c r="A9032" s="5" t="s">
        <v>7699</v>
      </c>
      <c r="B9032" s="5" t="s">
        <v>7700</v>
      </c>
      <c r="C9032" s="5" t="str">
        <f>IFERROR(__xludf.DUMMYFUNCTION("GOOGLETRANSLATE(A9032,""en"",""hy"")"),"Ո՞րն է ածխածնի քիմիական նշանը:")</f>
        <v>Ո՞րն է ածխածնի քիմիական նշանը:</v>
      </c>
      <c r="D9032" s="6" t="str">
        <f>IFERROR(__xludf.DUMMYFUNCTION("GOOGLETRANSLATE(B9032,""en"",""hy"")"),"Ածխածնի քիմիական նշանը C է:")</f>
        <v>Ածխածնի քիմիական նշանը C է:</v>
      </c>
    </row>
    <row r="9033">
      <c r="A9033" s="5" t="s">
        <v>8264</v>
      </c>
      <c r="B9033" s="5" t="s">
        <v>7832</v>
      </c>
      <c r="C9033" s="5" t="str">
        <f>IFERROR(__xludf.DUMMYFUNCTION("GOOGLETRANSLATE(A9033,""en"",""hy"")"),"Ո՞վ է նկարել հայտնի «Վեներայի ծնունդը» ստեղծագործությունը:")</f>
        <v>Ո՞վ է նկարել հայտնի «Վեներայի ծնունդը» ստեղծագործությունը:</v>
      </c>
      <c r="D9033" s="6" t="str">
        <f>IFERROR(__xludf.DUMMYFUNCTION("GOOGLETRANSLATE(B9033,""en"",""hy"")"),"Սանդրո Բոտիչելի")</f>
        <v>Սանդրո Բոտիչելի</v>
      </c>
    </row>
    <row r="9034">
      <c r="A9034" s="5" t="s">
        <v>8687</v>
      </c>
      <c r="B9034" s="5" t="s">
        <v>8471</v>
      </c>
      <c r="C9034" s="5" t="str">
        <f>IFERROR(__xludf.DUMMYFUNCTION("GOOGLETRANSLATE(A9034,""en"",""hy"")"),"Ո՞ր երկրում կգտնեք հնագույն Մաչու Պիկչու քաղաքը:")</f>
        <v>Ո՞ր երկրում կգտնեք հնագույն Մաչու Պիկչու քաղաքը:</v>
      </c>
      <c r="D9034" s="6" t="str">
        <f>IFERROR(__xludf.DUMMYFUNCTION("GOOGLETRANSLATE(B9034,""en"",""hy"")"),"Պերու.")</f>
        <v>Պերու.</v>
      </c>
    </row>
    <row r="9035">
      <c r="A9035" s="5" t="s">
        <v>8151</v>
      </c>
      <c r="B9035" s="5" t="s">
        <v>8251</v>
      </c>
      <c r="C9035" s="5" t="str">
        <f>IFERROR(__xludf.DUMMYFUNCTION("GOOGLETRANSLATE(A9035,""en"",""hy"")"),"Ո՞րն է Հնդկաստանի ազգային կենդանին:")</f>
        <v>Ո՞րն է Հնդկաստանի ազգային կենդանին:</v>
      </c>
      <c r="D9035" s="6" t="str">
        <f>IFERROR(__xludf.DUMMYFUNCTION("GOOGLETRANSLATE(B9035,""en"",""hy"")"),"Հնդկաստանի ազգային կենդանին բենգալյան վագրն է։")</f>
        <v>Հնդկաստանի ազգային կենդանին բենգալյան վագրն է։</v>
      </c>
    </row>
    <row r="9036">
      <c r="A9036" s="5" t="s">
        <v>8427</v>
      </c>
      <c r="B9036" s="5" t="s">
        <v>9978</v>
      </c>
      <c r="C9036" s="5" t="str">
        <f>IFERROR(__xludf.DUMMYFUNCTION("GOOGLETRANSLATE(A9036,""en"",""hy"")"),"Ո՞վ է եղել գրականության ոլորտում Նոբելյան մրցանակակիր առաջինը:")</f>
        <v>Ո՞վ է եղել գրականության ոլորտում Նոբելյան մրցանակակիր առաջինը:</v>
      </c>
      <c r="D9036" s="6" t="str">
        <f>IFERROR(__xludf.DUMMYFUNCTION("GOOGLETRANSLATE(B9036,""en"",""hy"")"),"Սուլի Պրուդհոմ.")</f>
        <v>Սուլի Պրուդհոմ.</v>
      </c>
    </row>
    <row r="9037">
      <c r="A9037" s="5" t="s">
        <v>8689</v>
      </c>
      <c r="B9037" s="5" t="s">
        <v>9979</v>
      </c>
      <c r="C9037" s="5" t="str">
        <f>IFERROR(__xludf.DUMMYFUNCTION("GOOGLETRANSLATE(A9037,""en"",""hy"")"),"Ո՞րն է բենզինի հիմնական բաղադրիչը:")</f>
        <v>Ո՞րն է բենզինի հիմնական բաղադրիչը:</v>
      </c>
      <c r="D9037" s="6" t="str">
        <f>IFERROR(__xludf.DUMMYFUNCTION("GOOGLETRANSLATE(B9037,""en"",""hy"")"),"Բենզինի հիմնական բաղադրիչը նավթն է։")</f>
        <v>Բենզինի հիմնական բաղադրիչը նավթն է։</v>
      </c>
    </row>
    <row r="9038">
      <c r="A9038" s="5" t="s">
        <v>7890</v>
      </c>
      <c r="B9038" s="5" t="s">
        <v>7661</v>
      </c>
      <c r="C9038" s="5" t="str">
        <f>IFERROR(__xludf.DUMMYFUNCTION("GOOGLETRANSLATE(A9038,""en"",""hy"")"),"Ո՞վ է գրել «Մեծն Գեթսբի» վեպը:")</f>
        <v>Ո՞վ է գրել «Մեծն Գեթսբի» վեպը:</v>
      </c>
      <c r="D9038" s="6" t="str">
        <f>IFERROR(__xludf.DUMMYFUNCTION("GOOGLETRANSLATE(B9038,""en"",""hy"")"),"F. Scott Fitzgerald.")</f>
        <v>F. Scott Fitzgerald.</v>
      </c>
    </row>
    <row r="9039">
      <c r="A9039" s="5" t="s">
        <v>7574</v>
      </c>
      <c r="B9039" s="5" t="s">
        <v>7525</v>
      </c>
      <c r="C9039" s="5" t="str">
        <f>IFERROR(__xludf.DUMMYFUNCTION("GOOGLETRANSLATE(A9039,""en"",""hy"")"),"Ո՞րն է Չինաստանի մայրաքաղաքը:")</f>
        <v>Ո՞րն է Չինաստանի մայրաքաղաքը:</v>
      </c>
      <c r="D9039" s="6" t="str">
        <f>IFERROR(__xludf.DUMMYFUNCTION("GOOGLETRANSLATE(B9039,""en"",""hy"")"),"Պեկին.")</f>
        <v>Պեկին.</v>
      </c>
    </row>
    <row r="9040">
      <c r="A9040" s="5" t="s">
        <v>8325</v>
      </c>
      <c r="B9040" s="5" t="s">
        <v>8326</v>
      </c>
      <c r="C9040" s="5" t="str">
        <f>IFERROR(__xludf.DUMMYFUNCTION("GOOGLETRANSLATE(A9040,""en"",""hy"")"),"Ո՞վ է հունական սիրո և գեղեցկության աստվածուհին:")</f>
        <v>Ո՞վ է հունական սիրո և գեղեցկության աստվածուհին:</v>
      </c>
      <c r="D9040" s="6" t="str">
        <f>IFERROR(__xludf.DUMMYFUNCTION("GOOGLETRANSLATE(B9040,""en"",""hy"")"),"Աֆրոդիտե.")</f>
        <v>Աֆրոդիտե.</v>
      </c>
    </row>
    <row r="9041">
      <c r="A9041" s="5" t="s">
        <v>7509</v>
      </c>
      <c r="B9041" s="5" t="s">
        <v>7684</v>
      </c>
      <c r="C9041" s="5" t="str">
        <f>IFERROR(__xludf.DUMMYFUNCTION("GOOGLETRANSLATE(A9041,""en"",""hy"")"),"Ո՞րն է արծաթի քիմիական նշանը:")</f>
        <v>Ո՞րն է արծաթի քիմիական նշանը:</v>
      </c>
      <c r="D9041" s="6" t="str">
        <f>IFERROR(__xludf.DUMMYFUNCTION("GOOGLETRANSLATE(B9041,""en"",""hy"")"),"Արծաթի քիմիական խորհրդանիշն է Ag.")</f>
        <v>Արծաթի քիմիական խորհրդանիշն է Ag.</v>
      </c>
    </row>
    <row r="9042">
      <c r="A9042" s="5" t="s">
        <v>7744</v>
      </c>
      <c r="B9042" s="5" t="s">
        <v>7745</v>
      </c>
      <c r="C9042" s="5" t="str">
        <f>IFERROR(__xludf.DUMMYFUNCTION("GOOGLETRANSLATE(A9042,""en"",""hy"")"),"Ո՞վ է նկարել հայտնի «Հիշողության համառությունը» ստեղծագործությունը:")</f>
        <v>Ո՞վ է նկարել հայտնի «Հիշողության համառությունը» ստեղծագործությունը:</v>
      </c>
      <c r="D9042" s="6" t="str">
        <f>IFERROR(__xludf.DUMMYFUNCTION("GOOGLETRANSLATE(B9042,""en"",""hy"")"),"Սալվադոր Դալի.")</f>
        <v>Սալվադոր Դալի.</v>
      </c>
    </row>
    <row r="9043">
      <c r="A9043" s="5" t="s">
        <v>7920</v>
      </c>
      <c r="B9043" s="5" t="s">
        <v>7921</v>
      </c>
      <c r="C9043" s="5" t="str">
        <f>IFERROR(__xludf.DUMMYFUNCTION("GOOGLETRANSLATE(A9043,""en"",""hy"")"),"Ո՞ր երկրում է գտնվում Թաջ Մահալը:")</f>
        <v>Ո՞ր երկրում է գտնվում Թաջ Մահալը:</v>
      </c>
      <c r="D9043" s="6" t="str">
        <f>IFERROR(__xludf.DUMMYFUNCTION("GOOGLETRANSLATE(B9043,""en"",""hy"")"),"Հնդկաստան.")</f>
        <v>Հնդկաստան.</v>
      </c>
    </row>
    <row r="9044">
      <c r="A9044" s="5" t="s">
        <v>8161</v>
      </c>
      <c r="B9044" s="5" t="s">
        <v>9980</v>
      </c>
      <c r="C9044" s="5" t="str">
        <f>IFERROR(__xludf.DUMMYFUNCTION("GOOGLETRANSLATE(A9044,""en"",""hy"")"),"Ո՞րն է Ճապոնիայի ազգային ծաղիկը:")</f>
        <v>Ո՞րն է Ճապոնիայի ազգային ծաղիկը:</v>
      </c>
      <c r="D9044" s="6" t="str">
        <f>IFERROR(__xludf.DUMMYFUNCTION("GOOGLETRANSLATE(B9044,""en"",""hy"")"),"Ճապոնիայի ազգային ծաղիկը քրիզանթեմն է։")</f>
        <v>Ճապոնիայի ազգային ծաղիկը քրիզանթեմն է։</v>
      </c>
    </row>
    <row r="9045">
      <c r="A9045" s="5" t="s">
        <v>8792</v>
      </c>
      <c r="B9045" s="5" t="s">
        <v>8407</v>
      </c>
      <c r="C9045" s="5" t="str">
        <f>IFERROR(__xludf.DUMMYFUNCTION("GOOGLETRANSLATE(A9045,""en"",""hy"")"),"Ո՞րն է աշխարհի ամենամեծ կորալային խութ համակարգը:")</f>
        <v>Ո՞րն է աշխարհի ամենամեծ կորալային խութ համակարգը:</v>
      </c>
      <c r="D9045" s="6" t="str">
        <f>IFERROR(__xludf.DUMMYFUNCTION("GOOGLETRANSLATE(B9045,""en"",""hy"")"),"Մեծ արգելախութ.")</f>
        <v>Մեծ արգելախութ.</v>
      </c>
    </row>
    <row r="9046">
      <c r="A9046" s="5" t="s">
        <v>9981</v>
      </c>
      <c r="B9046" s="5" t="s">
        <v>9982</v>
      </c>
      <c r="C9046" s="5" t="str">
        <f>IFERROR(__xludf.DUMMYFUNCTION("GOOGLETRANSLATE(A9046,""en"",""hy"")"),"Ո՞վ է հայտնի որպես «Ամերիկյան հեղափոխության հայր»:")</f>
        <v>Ո՞վ է հայտնի որպես «Ամերիկյան հեղափոխության հայր»:</v>
      </c>
      <c r="D9046" s="6" t="str">
        <f>IFERROR(__xludf.DUMMYFUNCTION("GOOGLETRANSLATE(B9046,""en"",""hy"")"),"Սամուել Ադամս.")</f>
        <v>Սամուել Ադամս.</v>
      </c>
    </row>
    <row r="9047">
      <c r="A9047" s="5" t="s">
        <v>8709</v>
      </c>
      <c r="B9047" s="5" t="s">
        <v>9983</v>
      </c>
      <c r="C9047" s="5" t="str">
        <f>IFERROR(__xludf.DUMMYFUNCTION("GOOGLETRANSLATE(A9047,""en"",""hy"")"),"Ո՞րն է գարեջրի հիմնական բաղադրիչը:")</f>
        <v>Ո՞րն է գարեջրի հիմնական բաղադրիչը:</v>
      </c>
      <c r="D9047" s="6" t="str">
        <f>IFERROR(__xludf.DUMMYFUNCTION("GOOGLETRANSLATE(B9047,""en"",""hy"")"),"Գարեջրի հիմնական բաղադրիչը ջուրն է։")</f>
        <v>Գարեջրի հիմնական բաղադրիչը ջուրն է։</v>
      </c>
    </row>
    <row r="9048">
      <c r="A9048" s="5" t="s">
        <v>8827</v>
      </c>
      <c r="B9048" s="5" t="s">
        <v>7578</v>
      </c>
      <c r="C9048" s="5" t="str">
        <f>IFERROR(__xludf.DUMMYFUNCTION("GOOGLETRANSLATE(A9048,""en"",""hy"")"),"Ո՞վ է գրել «Մոբի Դիկ» վեպը:")</f>
        <v>Ո՞վ է գրել «Մոբի Դիկ» վեպը:</v>
      </c>
      <c r="D9048" s="6" t="str">
        <f>IFERROR(__xludf.DUMMYFUNCTION("GOOGLETRANSLATE(B9048,""en"",""hy"")"),"Հերման Մելվիլ.")</f>
        <v>Հերման Մելվիլ.</v>
      </c>
    </row>
    <row r="9049">
      <c r="A9049" s="5" t="s">
        <v>7589</v>
      </c>
      <c r="B9049" s="5" t="s">
        <v>7545</v>
      </c>
      <c r="C9049" s="5" t="str">
        <f>IFERROR(__xludf.DUMMYFUNCTION("GOOGLETRANSLATE(A9049,""en"",""hy"")"),"Ո՞րն է Իտալիայի մայրաքաղաքը:")</f>
        <v>Ո՞րն է Իտալիայի մայրաքաղաքը:</v>
      </c>
      <c r="D9049" s="6" t="str">
        <f>IFERROR(__xludf.DUMMYFUNCTION("GOOGLETRANSLATE(B9049,""en"",""hy"")"),"Հռոմ.")</f>
        <v>Հռոմ.</v>
      </c>
    </row>
    <row r="9050">
      <c r="A9050" s="5" t="s">
        <v>9250</v>
      </c>
      <c r="B9050" s="5" t="s">
        <v>8602</v>
      </c>
      <c r="C9050" s="5" t="str">
        <f>IFERROR(__xludf.DUMMYFUNCTION("GOOGLETRANSLATE(A9050,""en"",""hy"")"),"Ո՞վ է անդրաշխարհի հունական աստվածը:")</f>
        <v>Ո՞վ է անդրաշխարհի հունական աստվածը:</v>
      </c>
      <c r="D9050" s="6" t="str">
        <f>IFERROR(__xludf.DUMMYFUNCTION("GOOGLETRANSLATE(B9050,""en"",""hy"")"),"Հադես.")</f>
        <v>Հադես.</v>
      </c>
    </row>
    <row r="9051">
      <c r="A9051" s="5" t="s">
        <v>7557</v>
      </c>
      <c r="B9051" s="5" t="s">
        <v>7857</v>
      </c>
      <c r="C9051" s="5" t="str">
        <f>IFERROR(__xludf.DUMMYFUNCTION("GOOGLETRANSLATE(A9051,""en"",""hy"")"),"Ո՞րն է երկաթի քիմիական նշանը:")</f>
        <v>Ո՞րն է երկաթի քիմիական նշանը:</v>
      </c>
      <c r="D9051" s="6" t="str">
        <f>IFERROR(__xludf.DUMMYFUNCTION("GOOGLETRANSLATE(B9051,""en"",""hy"")"),"Երկաթի քիմիական նշանը Fe է:")</f>
        <v>Երկաթի քիմիական նշանը Fe է:</v>
      </c>
    </row>
    <row r="9052">
      <c r="A9052" s="5" t="s">
        <v>8371</v>
      </c>
      <c r="B9052" s="5" t="s">
        <v>7474</v>
      </c>
      <c r="C9052" s="5" t="str">
        <f>IFERROR(__xludf.DUMMYFUNCTION("GOOGLETRANSLATE(A9052,""en"",""hy"")"),"Ո՞վ է նկարել հայտնի «Ադամի ստեղծումը» ստեղծագործությունը:")</f>
        <v>Ո՞վ է նկարել հայտնի «Ադամի ստեղծումը» ստեղծագործությունը:</v>
      </c>
      <c r="D9052" s="6" t="str">
        <f>IFERROR(__xludf.DUMMYFUNCTION("GOOGLETRANSLATE(B9052,""en"",""hy"")"),"Միքելանջելո.")</f>
        <v>Միքելանջելո.</v>
      </c>
    </row>
    <row r="9053">
      <c r="A9053" s="5" t="s">
        <v>9984</v>
      </c>
      <c r="B9053" s="5" t="s">
        <v>9684</v>
      </c>
      <c r="C9053" s="5" t="str">
        <f>IFERROR(__xludf.DUMMYFUNCTION("GOOGLETRANSLATE(A9053,""en"",""hy"")"),"Ո՞ր երկրում կգտնեք Պետրա քաղաքը:")</f>
        <v>Ո՞ր երկրում կգտնեք Պետրա քաղաքը:</v>
      </c>
      <c r="D9053" s="6" t="str">
        <f>IFERROR(__xludf.DUMMYFUNCTION("GOOGLETRANSLATE(B9053,""en"",""hy"")"),"Հորդանան.")</f>
        <v>Հորդանան.</v>
      </c>
    </row>
    <row r="9054">
      <c r="A9054" s="5" t="s">
        <v>8290</v>
      </c>
      <c r="B9054" s="5" t="s">
        <v>8291</v>
      </c>
      <c r="C9054" s="5" t="str">
        <f>IFERROR(__xludf.DUMMYFUNCTION("GOOGLETRANSLATE(A9054,""en"",""hy"")"),"Ո՞րն է Հարավային Աֆրիկայի ազգային կենդանին:")</f>
        <v>Ո՞րն է Հարավային Աֆրիկայի ազգային կենդանին:</v>
      </c>
      <c r="D9054" s="6" t="str">
        <f>IFERROR(__xludf.DUMMYFUNCTION("GOOGLETRANSLATE(B9054,""en"",""hy"")"),"Հարավային Աֆրիկայի ազգային կենդանին սփրինգբոկն է։")</f>
        <v>Հարավային Աֆրիկայի ազգային կենդանին սփրինգբոկն է։</v>
      </c>
    </row>
    <row r="9055">
      <c r="A9055" s="5" t="s">
        <v>9985</v>
      </c>
      <c r="B9055" s="5" t="s">
        <v>9986</v>
      </c>
      <c r="C9055" s="5" t="str">
        <f>IFERROR(__xludf.DUMMYFUNCTION("GOOGLETRANSLATE(A9055,""en"",""hy"")"),"Ո՞վ էր առաջինը, ով արժանացավ Խաղաղության Նոբելյան մրցանակի:")</f>
        <v>Ո՞վ էր առաջինը, ով արժանացավ Խաղաղության Նոբելյան մրցանակի:</v>
      </c>
      <c r="D9055" s="6" t="str">
        <f>IFERROR(__xludf.DUMMYFUNCTION("GOOGLETRANSLATE(B9055,""en"",""hy"")"),"Խաղաղության Նոբելյան մրցանակի դափնեկիր առաջինը Ժան Անրի Դյունանն էր։")</f>
        <v>Խաղաղության Նոբելյան մրցանակի դափնեկիր առաջինը Ժան Անրի Դյունանն էր։</v>
      </c>
    </row>
    <row r="9056">
      <c r="A9056" s="5" t="s">
        <v>9987</v>
      </c>
      <c r="B9056" s="5" t="s">
        <v>9988</v>
      </c>
      <c r="C9056" s="5" t="str">
        <f>IFERROR(__xludf.DUMMYFUNCTION("GOOGLETRANSLATE(A9056,""en"",""hy"")"),"Ո՞րն է արևապաշտպան քսուքի հիմնական բաղադրիչը:")</f>
        <v>Ո՞րն է արևապաշտպան քսուքի հիմնական բաղադրիչը:</v>
      </c>
      <c r="D9056" s="6" t="str">
        <f>IFERROR(__xludf.DUMMYFUNCTION("GOOGLETRANSLATE(B9056,""en"",""hy"")"),"Արևապաշտպան քսուքի հիմնական բաղադրիչը կոչվում է ուլտրամանուշակագույն ֆիլտր:")</f>
        <v>Արևապաշտպան քսուքի հիմնական բաղադրիչը կոչվում է ուլտրամանուշակագույն ֆիլտր:</v>
      </c>
    </row>
    <row r="9057">
      <c r="A9057" s="5" t="s">
        <v>7683</v>
      </c>
      <c r="B9057" s="5" t="s">
        <v>1016</v>
      </c>
      <c r="C9057" s="5" t="str">
        <f>IFERROR(__xludf.DUMMYFUNCTION("GOOGLETRANSLATE(A9057,""en"",""hy"")"),"Ո՞վ է գրել «Համլետ» պիեսը։")</f>
        <v>Ո՞վ է գրել «Համլետ» պիեսը։</v>
      </c>
      <c r="D9057" s="6" t="str">
        <f>IFERROR(__xludf.DUMMYFUNCTION("GOOGLETRANSLATE(B9057,""en"",""hy"")"),"Ուիլյամ Շեքսպիր.")</f>
        <v>Ուիլյամ Շեքսպիր.</v>
      </c>
    </row>
    <row r="9058">
      <c r="A9058" s="5" t="s">
        <v>8934</v>
      </c>
      <c r="B9058" s="5" t="s">
        <v>8935</v>
      </c>
      <c r="C9058" s="5" t="str">
        <f>IFERROR(__xludf.DUMMYFUNCTION("GOOGLETRANSLATE(A9058,""en"",""hy"")"),"Ո՞րն է Հարավային Կորեայի մայրաքաղաքը:")</f>
        <v>Ո՞րն է Հարավային Կորեայի մայրաքաղաքը:</v>
      </c>
      <c r="D9058" s="6" t="str">
        <f>IFERROR(__xludf.DUMMYFUNCTION("GOOGLETRANSLATE(B9058,""en"",""hy"")"),"Սեուլ.")</f>
        <v>Սեուլ.</v>
      </c>
    </row>
    <row r="9059">
      <c r="A9059" s="5" t="s">
        <v>8320</v>
      </c>
      <c r="B9059" s="5" t="s">
        <v>7560</v>
      </c>
      <c r="C9059" s="5" t="str">
        <f>IFERROR(__xludf.DUMMYFUNCTION("GOOGLETRANSLATE(A9059,""en"",""hy"")"),"Ո՞վ է «Աշորայի մեջ բռնողը» գրքի հեղինակը.")</f>
        <v>Ո՞վ է «Աշորայի մեջ բռնողը» գրքի հեղինակը.</v>
      </c>
      <c r="D9059" s="6" t="str">
        <f>IFERROR(__xludf.DUMMYFUNCTION("GOOGLETRANSLATE(B9059,""en"",""hy"")"),"Ջ.Դ.Սելինջեր.")</f>
        <v>Ջ.Դ.Սելինջեր.</v>
      </c>
    </row>
    <row r="9060">
      <c r="A9060" s="5" t="s">
        <v>7665</v>
      </c>
      <c r="B9060" s="5" t="s">
        <v>7666</v>
      </c>
      <c r="C9060" s="5" t="str">
        <f>IFERROR(__xludf.DUMMYFUNCTION("GOOGLETRANSLATE(A9060,""en"",""hy"")"),"Ո՞րն է նատրիումի քիմիական նշանը:")</f>
        <v>Ո՞րն է նատրիումի քիմիական նշանը:</v>
      </c>
      <c r="D9060" s="6" t="str">
        <f>IFERROR(__xludf.DUMMYFUNCTION("GOOGLETRANSLATE(B9060,""en"",""hy"")"),"Նա")</f>
        <v>Նա</v>
      </c>
    </row>
    <row r="9061">
      <c r="A9061" s="5" t="s">
        <v>7709</v>
      </c>
      <c r="B9061" s="5" t="s">
        <v>7710</v>
      </c>
      <c r="C9061" s="5" t="str">
        <f>IFERROR(__xludf.DUMMYFUNCTION("GOOGLETRANSLATE(A9061,""en"",""hy"")"),"Ո՞վ է նկարել հայտնի «Գերնիկա» արվեստի գործը:")</f>
        <v>Ո՞վ է նկարել հայտնի «Գերնիկա» արվեստի գործը:</v>
      </c>
      <c r="D9061" s="6" t="str">
        <f>IFERROR(__xludf.DUMMYFUNCTION("GOOGLETRANSLATE(B9061,""en"",""hy"")"),"Պաբլո Պիկասո.")</f>
        <v>Պաբլո Պիկասո.</v>
      </c>
    </row>
    <row r="9062">
      <c r="A9062" s="5" t="s">
        <v>7993</v>
      </c>
      <c r="B9062" s="5" t="s">
        <v>5818</v>
      </c>
      <c r="C9062" s="5" t="str">
        <f>IFERROR(__xludf.DUMMYFUNCTION("GOOGLETRANSLATE(A9062,""en"",""hy"")"),"Ո՞ր երկրում է գտնվում Ազատության արձանը:")</f>
        <v>Ո՞ր երկրում է գտնվում Ազատության արձանը:</v>
      </c>
      <c r="D9062" s="6" t="str">
        <f>IFERROR(__xludf.DUMMYFUNCTION("GOOGLETRANSLATE(B9062,""en"",""hy"")"),"Միացյալ Նահանգներ.")</f>
        <v>Միացյալ Նահանգներ.</v>
      </c>
    </row>
    <row r="9063">
      <c r="A9063" s="5" t="s">
        <v>8016</v>
      </c>
      <c r="B9063" s="5" t="s">
        <v>8017</v>
      </c>
      <c r="C9063" s="5" t="str">
        <f>IFERROR(__xludf.DUMMYFUNCTION("GOOGLETRANSLATE(A9063,""en"",""hy"")"),"Ո՞րն է Անգլիայի ազգային ծաղիկը:")</f>
        <v>Ո՞րն է Անգլիայի ազգային ծաղիկը:</v>
      </c>
      <c r="D9063" s="6" t="str">
        <f>IFERROR(__xludf.DUMMYFUNCTION("GOOGLETRANSLATE(B9063,""en"",""hy"")"),"Անգլիայի ազգային ծաղիկը վարդն է։")</f>
        <v>Անգլիայի ազգային ծաղիկը վարդն է։</v>
      </c>
    </row>
    <row r="9064">
      <c r="A9064" s="5" t="s">
        <v>9989</v>
      </c>
      <c r="B9064" s="5" t="s">
        <v>9990</v>
      </c>
      <c r="C9064" s="5" t="str">
        <f>IFERROR(__xludf.DUMMYFUNCTION("GOOGLETRANSLATE(A9064,""en"",""hy"")"),"Ո՞րն է աշխարհի ամենամեծ և ամենախորը օվկիանոսի խրամատը:")</f>
        <v>Ո՞րն է աշխարհի ամենամեծ և ամենախորը օվկիանոսի խրամատը:</v>
      </c>
      <c r="D9064" s="6" t="str">
        <f>IFERROR(__xludf.DUMMYFUNCTION("GOOGLETRANSLATE(B9064,""en"",""hy"")"),"Աշխարհի ամենամեծ և ամենախորը օվկիանոսային խրամատը Մարիանյան խրամատն է:")</f>
        <v>Աշխարհի ամենամեծ և ամենախորը օվկիանոսային խրամատը Մարիանյան խրամատն է:</v>
      </c>
    </row>
    <row r="9065">
      <c r="A9065" s="5" t="s">
        <v>9173</v>
      </c>
      <c r="B9065" s="5" t="s">
        <v>9991</v>
      </c>
      <c r="C9065" s="5" t="str">
        <f>IFERROR(__xludf.DUMMYFUNCTION("GOOGLETRANSLATE(A9065,""en"",""hy"")"),"Ո՞վ է հայտնի որպես «բժշկության հայր»:")</f>
        <v>Ո՞վ է հայտնի որպես «բժշկության հայր»:</v>
      </c>
      <c r="D9065" s="6" t="str">
        <f>IFERROR(__xludf.DUMMYFUNCTION("GOOGLETRANSLATE(B9065,""en"",""hy"")"),"Հիպոկրատը հայտնի է որպես «բժշկության հայր»:")</f>
        <v>Հիպոկրատը հայտնի է որպես «բժշկության հայր»:</v>
      </c>
    </row>
    <row r="9066">
      <c r="A9066" s="5" t="s">
        <v>9992</v>
      </c>
      <c r="B9066" s="5" t="s">
        <v>9993</v>
      </c>
      <c r="C9066" s="5" t="str">
        <f>IFERROR(__xludf.DUMMYFUNCTION("GOOGLETRANSLATE(A9066,""en"",""hy"")"),"Ո՞րն է քացախի հիմնական բաղադրիչը:")</f>
        <v>Ո՞րն է քացախի հիմնական բաղադրիչը:</v>
      </c>
      <c r="D9066" s="6" t="str">
        <f>IFERROR(__xludf.DUMMYFUNCTION("GOOGLETRANSLATE(B9066,""en"",""hy"")"),"Քացախաթթու.")</f>
        <v>Քացախաթթու.</v>
      </c>
    </row>
    <row r="9067">
      <c r="A9067" s="5" t="s">
        <v>9152</v>
      </c>
      <c r="B9067" s="5" t="s">
        <v>9994</v>
      </c>
      <c r="C9067" s="5" t="str">
        <f>IFERROR(__xludf.DUMMYFUNCTION("GOOGLETRANSLATE(A9067,""en"",""hy"")"),"Ո՞վ է գրել «Ջեյն Էյր» վեպը:")</f>
        <v>Ո՞վ է գրել «Ջեյն Էյր» վեպը:</v>
      </c>
      <c r="D9067" s="6" t="str">
        <f>IFERROR(__xludf.DUMMYFUNCTION("GOOGLETRANSLATE(B9067,""en"",""hy"")"),"Շառլոտ Բրոնտե.")</f>
        <v>Շառլոտ Բրոնտե.</v>
      </c>
    </row>
    <row r="9068">
      <c r="A9068" s="5" t="s">
        <v>7872</v>
      </c>
      <c r="B9068" s="5" t="s">
        <v>6011</v>
      </c>
      <c r="C9068" s="5" t="str">
        <f>IFERROR(__xludf.DUMMYFUNCTION("GOOGLETRANSLATE(A9068,""en"",""hy"")"),"Ո՞րն է Իսպանիայի մայրաքաղաքը:")</f>
        <v>Ո՞րն է Իսպանիայի մայրաքաղաքը:</v>
      </c>
      <c r="D9068" s="6" t="str">
        <f>IFERROR(__xludf.DUMMYFUNCTION("GOOGLETRANSLATE(B9068,""en"",""hy"")"),"Մադրիդ")</f>
        <v>Մադրիդ</v>
      </c>
    </row>
    <row r="9069">
      <c r="A9069" s="5" t="s">
        <v>8607</v>
      </c>
      <c r="B9069" s="5" t="s">
        <v>8309</v>
      </c>
      <c r="C9069" s="5" t="str">
        <f>IFERROR(__xludf.DUMMYFUNCTION("GOOGLETRANSLATE(A9069,""en"",""hy"")"),"Ո՞վ է հունական իմաստության և պատերազմի աստվածուհին:")</f>
        <v>Ո՞վ է հունական իմաստության և պատերազմի աստվածուհին:</v>
      </c>
      <c r="D9069" s="6" t="str">
        <f>IFERROR(__xludf.DUMMYFUNCTION("GOOGLETRANSLATE(B9069,""en"",""hy"")"),"Աթենա.")</f>
        <v>Աթենա.</v>
      </c>
    </row>
    <row r="9070">
      <c r="A9070" s="5" t="s">
        <v>7875</v>
      </c>
      <c r="B9070" s="5" t="s">
        <v>7876</v>
      </c>
      <c r="C9070" s="5" t="str">
        <f>IFERROR(__xludf.DUMMYFUNCTION("GOOGLETRANSLATE(A9070,""en"",""hy"")"),"Ո՞րն է ազոտի քիմիական նշանը:")</f>
        <v>Ո՞րն է ազոտի քիմիական նշանը:</v>
      </c>
      <c r="D9070" s="6" t="str">
        <f>IFERROR(__xludf.DUMMYFUNCTION("GOOGLETRANSLATE(B9070,""en"",""hy"")"),"Ազոտի քիմիական նշանն է N.")</f>
        <v>Ազոտի քիմիական նշանն է N.</v>
      </c>
    </row>
    <row r="9071">
      <c r="A9071" s="5" t="s">
        <v>8286</v>
      </c>
      <c r="B9071" s="5" t="s">
        <v>9865</v>
      </c>
      <c r="C9071" s="5" t="str">
        <f>IFERROR(__xludf.DUMMYFUNCTION("GOOGLETRANSLATE(A9071,""en"",""hy"")"),"Ո՞վ է նկարել հայտնի «Գիշերային պահակ» արվեստի գործը:")</f>
        <v>Ո՞վ է նկարել հայտնի «Գիշերային պահակ» արվեստի գործը:</v>
      </c>
      <c r="D9071" s="6" t="str">
        <f>IFERROR(__xludf.DUMMYFUNCTION("GOOGLETRANSLATE(B9071,""en"",""hy"")"),"Ռեմբրանդտ վան Ռայն.")</f>
        <v>Ռեմբրանդտ վան Ռայն.</v>
      </c>
    </row>
    <row r="9072">
      <c r="A9072" s="5" t="s">
        <v>9995</v>
      </c>
      <c r="B9072" s="5" t="s">
        <v>9292</v>
      </c>
      <c r="C9072" s="5" t="str">
        <f>IFERROR(__xludf.DUMMYFUNCTION("GOOGLETRANSLATE(A9072,""en"",""hy"")"),"Ո՞ր երկրում կգտնեք հնագույն Անգկոր Վատ քաղաքը:")</f>
        <v>Ո՞ր երկրում կգտնեք հնագույն Անգկոր Վատ քաղաքը:</v>
      </c>
      <c r="D9072" s="6" t="str">
        <f>IFERROR(__xludf.DUMMYFUNCTION("GOOGLETRANSLATE(B9072,""en"",""hy"")"),"Կամբոջա.")</f>
        <v>Կամբոջա.</v>
      </c>
    </row>
    <row r="9073">
      <c r="A9073" s="5" t="s">
        <v>7791</v>
      </c>
      <c r="B9073" s="5" t="s">
        <v>8128</v>
      </c>
      <c r="C9073" s="5" t="str">
        <f>IFERROR(__xludf.DUMMYFUNCTION("GOOGLETRANSLATE(A9073,""en"",""hy"")"),"Ո՞րն է Ավստրալիայի ազգային կենդանին:")</f>
        <v>Ո՞րն է Ավստրալիայի ազգային կենդանին:</v>
      </c>
      <c r="D9073" s="6" t="str">
        <f>IFERROR(__xludf.DUMMYFUNCTION("GOOGLETRANSLATE(B9073,""en"",""hy"")"),"Կենգուրու.")</f>
        <v>Կենգուրու.</v>
      </c>
    </row>
    <row r="9074">
      <c r="A9074" s="5" t="s">
        <v>9996</v>
      </c>
      <c r="B9074" s="5" t="s">
        <v>9997</v>
      </c>
      <c r="C9074" s="5" t="str">
        <f>IFERROR(__xludf.DUMMYFUNCTION("GOOGLETRANSLATE(A9074,""en"",""hy"")"),"Ո՞վ էր առաջինը, ով արժանացավ քիմիայի Նոբելյան մրցանակին:")</f>
        <v>Ո՞վ էր առաջինը, ով արժանացավ քիմիայի Նոբելյան մրցանակին:</v>
      </c>
      <c r="D9074" s="6" t="str">
        <f>IFERROR(__xludf.DUMMYFUNCTION("GOOGLETRANSLATE(B9074,""en"",""hy"")"),"Քիմիայի ոլորտում Նոբելյան մրցանակի դափնեկիր առաջինը Յակոբուս Հենրիկուս Վան Հոֆն էր։")</f>
        <v>Քիմիայի ոլորտում Նոբելյան մրցանակի դափնեկիր առաջինը Յակոբուս Հենրիկուս Վան Հոֆն էր։</v>
      </c>
    </row>
    <row r="9075">
      <c r="A9075" s="5" t="s">
        <v>9998</v>
      </c>
      <c r="B9075" s="5" t="s">
        <v>9999</v>
      </c>
      <c r="C9075" s="5" t="str">
        <f>IFERROR(__xludf.DUMMYFUNCTION("GOOGLETRANSLATE(A9075,""en"",""hy"")"),"Ո՞րն է ասպիրինի հիմնական բաղադրիչը:")</f>
        <v>Ո՞րն է ասպիրինի հիմնական բաղադրիչը:</v>
      </c>
      <c r="D9075" s="6" t="str">
        <f>IFERROR(__xludf.DUMMYFUNCTION("GOOGLETRANSLATE(B9075,""en"",""hy"")"),"Ասպիրինի հիմնական բաղադրիչը ացետիլսալիցիլաթթուն է:")</f>
        <v>Ասպիրինի հիմնական բաղադրիչը ացետիլսալիցիլաթթուն է:</v>
      </c>
    </row>
    <row r="9076">
      <c r="A9076" s="5" t="s">
        <v>7726</v>
      </c>
      <c r="B9076" s="5" t="s">
        <v>1016</v>
      </c>
      <c r="C9076" s="5" t="str">
        <f>IFERROR(__xludf.DUMMYFUNCTION("GOOGLETRANSLATE(A9076,""en"",""hy"")"),"Ո՞վ է գրել «Մակբեթ» պիեսը։")</f>
        <v>Ո՞վ է գրել «Մակբեթ» պիեսը։</v>
      </c>
      <c r="D9076" s="6" t="str">
        <f>IFERROR(__xludf.DUMMYFUNCTION("GOOGLETRANSLATE(B9076,""en"",""hy"")"),"Ուիլյամ Շեքսպիր.")</f>
        <v>Ուիլյամ Շեքսպիր.</v>
      </c>
    </row>
    <row r="9077">
      <c r="A9077" s="5" t="s">
        <v>7780</v>
      </c>
      <c r="B9077" s="5" t="s">
        <v>2951</v>
      </c>
      <c r="C9077" s="5" t="str">
        <f>IFERROR(__xludf.DUMMYFUNCTION("GOOGLETRANSLATE(A9077,""en"",""hy"")"),"Ո՞րն է Կանադայի մայրաքաղաքը:")</f>
        <v>Ո՞րն է Կանադայի մայրաքաղաքը:</v>
      </c>
      <c r="D9077" s="6" t="str">
        <f>IFERROR(__xludf.DUMMYFUNCTION("GOOGLETRANSLATE(B9077,""en"",""hy"")"),"Օտտավա.")</f>
        <v>Օտտավա.</v>
      </c>
    </row>
    <row r="9078">
      <c r="A9078" s="5" t="s">
        <v>10000</v>
      </c>
      <c r="B9078" s="5" t="s">
        <v>7688</v>
      </c>
      <c r="C9078" s="5" t="str">
        <f>IFERROR(__xludf.DUMMYFUNCTION("GOOGLETRANSLATE(A9078,""en"",""hy"")"),"Ո՞վ է «Հոբիթ» գրքի հեղինակը.")</f>
        <v>Ո՞վ է «Հոբիթ» գրքի հեղինակը.</v>
      </c>
      <c r="D9078" s="6" t="str">
        <f>IFERROR(__xludf.DUMMYFUNCTION("GOOGLETRANSLATE(B9078,""en"",""hy"")"),"Ջ.Ռ.Ռ. Թոլքինը")</f>
        <v>Ջ.Ռ.Ռ. Թոլքինը</v>
      </c>
    </row>
    <row r="9079">
      <c r="A9079" s="5" t="s">
        <v>7893</v>
      </c>
      <c r="B9079" s="5" t="s">
        <v>7894</v>
      </c>
      <c r="C9079" s="5" t="str">
        <f>IFERROR(__xludf.DUMMYFUNCTION("GOOGLETRANSLATE(A9079,""en"",""hy"")"),"Ո՞րն է կալիումի քիմիական նշանը:")</f>
        <v>Ո՞րն է կալիումի քիմիական նշանը:</v>
      </c>
      <c r="D9079" s="6" t="str">
        <f>IFERROR(__xludf.DUMMYFUNCTION("GOOGLETRANSLATE(B9079,""en"",""hy"")"),"Կալիումի քիմիական նշանը Կ.")</f>
        <v>Կալիումի քիմիական նշանը Կ.</v>
      </c>
    </row>
    <row r="9080">
      <c r="A9080" s="5" t="s">
        <v>8787</v>
      </c>
      <c r="B9080" s="5" t="s">
        <v>7448</v>
      </c>
      <c r="C9080" s="5" t="str">
        <f>IFERROR(__xludf.DUMMYFUNCTION("GOOGLETRANSLATE(A9080,""en"",""hy"")"),"Ո՞վ է նկարել հայտնի «Մոնա Լիզան» արվեստի գործը:")</f>
        <v>Ո՞վ է նկարել հայտնի «Մոնա Լիզան» արվեստի գործը:</v>
      </c>
      <c r="D9080" s="6" t="str">
        <f>IFERROR(__xludf.DUMMYFUNCTION("GOOGLETRANSLATE(B9080,""en"",""hy"")"),"Լեոնարդո դա Վինչի.")</f>
        <v>Լեոնարդո դա Վինչի.</v>
      </c>
    </row>
    <row r="9081">
      <c r="A9081" s="5" t="s">
        <v>7450</v>
      </c>
      <c r="B9081" s="5" t="s">
        <v>7451</v>
      </c>
      <c r="C9081" s="5" t="str">
        <f>IFERROR(__xludf.DUMMYFUNCTION("GOOGLETRANSLATE(A9081,""en"",""hy"")"),"Ո՞րն է Ավստրալիայի մայրաքաղաքը:")</f>
        <v>Ո՞րն է Ավստրալիայի մայրաքաղաքը:</v>
      </c>
      <c r="D9081" s="6" t="str">
        <f>IFERROR(__xludf.DUMMYFUNCTION("GOOGLETRANSLATE(B9081,""en"",""hy"")"),"Կանբերա.")</f>
        <v>Կանբերա.</v>
      </c>
    </row>
    <row r="9082">
      <c r="A9082" s="5" t="s">
        <v>7849</v>
      </c>
      <c r="B9082" s="5" t="s">
        <v>7541</v>
      </c>
      <c r="C9082" s="5" t="str">
        <f>IFERROR(__xludf.DUMMYFUNCTION("GOOGLETRANSLATE(A9082,""en"",""hy"")"),"Ո՞վ է գրել «Սպանել ծաղրող թռչունին» վեպը:")</f>
        <v>Ո՞վ է գրել «Սպանել ծաղրող թռչունին» վեպը:</v>
      </c>
      <c r="D9082" s="6" t="str">
        <f>IFERROR(__xludf.DUMMYFUNCTION("GOOGLETRANSLATE(B9082,""en"",""hy"")"),"Հարփեր Լի.")</f>
        <v>Հարփեր Լի.</v>
      </c>
    </row>
    <row r="9083">
      <c r="A9083" s="5" t="s">
        <v>8099</v>
      </c>
      <c r="B9083" s="5" t="s">
        <v>8100</v>
      </c>
      <c r="C9083" s="5" t="str">
        <f>IFERROR(__xludf.DUMMYFUNCTION("GOOGLETRANSLATE(A9083,""en"",""hy"")"),"Քանի՞ մոլորակ կա մեր արեգակնային համակարգում:")</f>
        <v>Քանի՞ մոլորակ կա մեր արեգակնային համակարգում:</v>
      </c>
      <c r="D9083" s="6" t="str">
        <f>IFERROR(__xludf.DUMMYFUNCTION("GOOGLETRANSLATE(B9083,""en"",""hy"")"),"Մեր Արեգակնային համակարգում կա ութ մոլորակ:")</f>
        <v>Մեր Արեգակնային համակարգում կա ութ մոլորակ:</v>
      </c>
    </row>
    <row r="9084">
      <c r="A9084" s="5" t="s">
        <v>10001</v>
      </c>
      <c r="B9084" s="5" t="s">
        <v>10002</v>
      </c>
      <c r="C9084" s="5" t="str">
        <f>IFERROR(__xludf.DUMMYFUNCTION("GOOGLETRANSLATE(A9084,""en"",""hy"")"),"Ո՞ր թվականին է պաշտոնապես ավարտվել Երկրորդ համաշխարհային պատերազմը:")</f>
        <v>Ո՞ր թվականին է պաշտոնապես ավարտվել Երկրորդ համաշխարհային պատերազմը:</v>
      </c>
      <c r="D9084" s="6" t="str">
        <f>IFERROR(__xludf.DUMMYFUNCTION("GOOGLETRANSLATE(B9084,""en"",""hy"")"),"Երկրորդ համաշխարհային պատերազմը պաշտոնապես ավարտվեց 1945 թ.")</f>
        <v>Երկրորդ համաշխարհային պատերազմը պաշտոնապես ավարտվեց 1945 թ.</v>
      </c>
    </row>
    <row r="9085">
      <c r="A9085" s="5" t="s">
        <v>10003</v>
      </c>
      <c r="B9085" s="5" t="s">
        <v>7813</v>
      </c>
      <c r="C9085" s="5" t="str">
        <f>IFERROR(__xludf.DUMMYFUNCTION("GOOGLETRANSLATE(A9085,""en"",""hy"")"),"Ո՞ր նշանավոր տեսարժան վայրն է գտնվում Փարիզում, Ֆրանսիա:")</f>
        <v>Ո՞ր նշանավոր տեսարժան վայրն է գտնվում Փարիզում, Ֆրանսիա:</v>
      </c>
      <c r="D9085" s="6" t="str">
        <f>IFERROR(__xludf.DUMMYFUNCTION("GOOGLETRANSLATE(B9085,""en"",""hy"")"),"Էյֆելյան աշտարակ.")</f>
        <v>Էյֆելյան աշտարակ.</v>
      </c>
    </row>
    <row r="9086">
      <c r="A9086" s="5" t="s">
        <v>7452</v>
      </c>
      <c r="B9086" s="5" t="s">
        <v>7453</v>
      </c>
      <c r="C9086" s="5" t="str">
        <f>IFERROR(__xludf.DUMMYFUNCTION("GOOGLETRANSLATE(A9086,""en"",""hy"")"),"Ո՞րն է ոսկու քիմիական նշանը:")</f>
        <v>Ո՞րն է ոսկու քիմիական նշանը:</v>
      </c>
      <c r="D9086" s="6" t="str">
        <f>IFERROR(__xludf.DUMMYFUNCTION("GOOGLETRANSLATE(B9086,""en"",""hy"")"),"Ոսկու քիմիական նշանը Au-ն է:")</f>
        <v>Ոսկու քիմիական նշանը Au-ն է:</v>
      </c>
    </row>
    <row r="9087">
      <c r="A9087" s="5" t="s">
        <v>8246</v>
      </c>
      <c r="B9087" s="5" t="s">
        <v>7648</v>
      </c>
      <c r="C9087" s="5" t="str">
        <f>IFERROR(__xludf.DUMMYFUNCTION("GOOGLETRANSLATE(A9087,""en"",""hy"")"),"Ո՞վ է նկարել հայտնի «Աստղային գիշերը» արվեստի գործը:")</f>
        <v>Ո՞վ է նկարել հայտնի «Աստղային գիշերը» արվեստի գործը:</v>
      </c>
      <c r="D9087" s="6" t="str">
        <f>IFERROR(__xludf.DUMMYFUNCTION("GOOGLETRANSLATE(B9087,""en"",""hy"")"),"Վինսենթ վան Գոգ.")</f>
        <v>Վինսենթ վան Գոգ.</v>
      </c>
    </row>
    <row r="9088">
      <c r="A9088" s="5" t="s">
        <v>8187</v>
      </c>
      <c r="B9088" s="5" t="s">
        <v>8188</v>
      </c>
      <c r="C9088" s="5" t="str">
        <f>IFERROR(__xludf.DUMMYFUNCTION("GOOGLETRANSLATE(A9088,""en"",""hy"")"),"Քանի՞ խցիկ ունի մարդու սիրտը:")</f>
        <v>Քանի՞ խցիկ ունի մարդու սիրտը:</v>
      </c>
      <c r="D9088" s="6" t="str">
        <f>IFERROR(__xludf.DUMMYFUNCTION("GOOGLETRANSLATE(B9088,""en"",""hy"")"),"Մարդու սիրտն ունի չորս խցիկ.")</f>
        <v>Մարդու սիրտն ունի չորս խցիկ.</v>
      </c>
    </row>
    <row r="9089">
      <c r="A9089" s="5" t="s">
        <v>7842</v>
      </c>
      <c r="B9089" s="5" t="s">
        <v>7671</v>
      </c>
      <c r="C9089" s="5" t="str">
        <f>IFERROR(__xludf.DUMMYFUNCTION("GOOGLETRANSLATE(A9089,""en"",""hy"")"),"Ո՞րն է աշխարհի ամենաերկար գետը:")</f>
        <v>Ո՞րն է աշխարհի ամենաերկար գետը:</v>
      </c>
      <c r="D9089" s="6" t="str">
        <f>IFERROR(__xludf.DUMMYFUNCTION("GOOGLETRANSLATE(B9089,""en"",""hy"")"),"Նեղոս գետ.")</f>
        <v>Նեղոս գետ.</v>
      </c>
    </row>
    <row r="9090">
      <c r="A9090" s="5" t="s">
        <v>7461</v>
      </c>
      <c r="B9090" s="5" t="s">
        <v>7639</v>
      </c>
      <c r="C9090" s="5" t="str">
        <f>IFERROR(__xludf.DUMMYFUNCTION("GOOGLETRANSLATE(A9090,""en"",""hy"")"),"Ո՞րն է մարդու մարմնի ամենամեծ օրգանը:")</f>
        <v>Ո՞րն է մարդու մարմնի ամենամեծ օրգանը:</v>
      </c>
      <c r="D9090" s="6" t="str">
        <f>IFERROR(__xludf.DUMMYFUNCTION("GOOGLETRANSLATE(B9090,""en"",""hy"")"),"Մարդու մարմնի ամենամեծ օրգանը մաշկն է։")</f>
        <v>Մարդու մարմնի ամենամեծ օրգանը մաշկն է։</v>
      </c>
    </row>
    <row r="9091">
      <c r="A9091" s="5" t="s">
        <v>7844</v>
      </c>
      <c r="B9091" s="5" t="s">
        <v>7635</v>
      </c>
      <c r="C9091" s="5" t="str">
        <f>IFERROR(__xludf.DUMMYFUNCTION("GOOGLETRANSLATE(A9091,""en"",""hy"")"),"Ո՞վ էր առաջին մարդը, ով ոտք դրեց լուսնի վրա:")</f>
        <v>Ո՞վ էր առաջին մարդը, ով ոտք դրեց լուսնի վրա:</v>
      </c>
      <c r="D9091" s="6" t="str">
        <f>IFERROR(__xludf.DUMMYFUNCTION("GOOGLETRANSLATE(B9091,""en"",""hy"")"),"Նիլ Արմսթրոնգ.")</f>
        <v>Նիլ Արմսթրոնգ.</v>
      </c>
    </row>
    <row r="9092">
      <c r="A9092" s="5" t="s">
        <v>10004</v>
      </c>
      <c r="B9092" s="5" t="s">
        <v>10005</v>
      </c>
      <c r="C9092" s="5" t="str">
        <f>IFERROR(__xludf.DUMMYFUNCTION("GOOGLETRANSLATE(A9092,""en"",""hy"")"),"Ո՞ր մարզաձևով է հայտնի Կրիշտիանու Ռոնալդուն:")</f>
        <v>Ո՞ր մարզաձևով է հայտնի Կրիշտիանու Ռոնալդուն:</v>
      </c>
      <c r="D9092" s="6" t="str">
        <f>IFERROR(__xludf.DUMMYFUNCTION("GOOGLETRANSLATE(B9092,""en"",""hy"")"),"Ֆուտբոլ / Ֆուտբոլ")</f>
        <v>Ֆուտբոլ / Ֆուտբոլ</v>
      </c>
    </row>
    <row r="9093">
      <c r="A9093" s="5" t="s">
        <v>7769</v>
      </c>
      <c r="B9093" s="5" t="s">
        <v>7486</v>
      </c>
      <c r="C9093" s="5" t="str">
        <f>IFERROR(__xludf.DUMMYFUNCTION("GOOGLETRANSLATE(A9093,""en"",""hy"")"),"Ո՞վ է Հարրի Փոթերի գրքերի շարքի հեղինակը:")</f>
        <v>Ո՞վ է Հարրի Փոթերի գրքերի շարքի հեղինակը:</v>
      </c>
      <c r="D9093" s="6" t="str">
        <f>IFERROR(__xludf.DUMMYFUNCTION("GOOGLETRANSLATE(B9093,""en"",""hy"")"),"Ջ.Կ. Ռոուլինգ.")</f>
        <v>Ջ.Կ. Ռոուլինգ.</v>
      </c>
    </row>
    <row r="9094">
      <c r="A9094" s="5" t="s">
        <v>10006</v>
      </c>
      <c r="B9094" s="7">
        <v>1776.0</v>
      </c>
      <c r="C9094" s="5" t="str">
        <f>IFERROR(__xludf.DUMMYFUNCTION("GOOGLETRANSLATE(A9094,""en"",""hy"")"),"Ո՞ր տարում Միացյալ Նահանգները անկախացավ Մեծ Բրիտանիայից.")</f>
        <v>Ո՞ր տարում Միացյալ Նահանգները անկախացավ Մեծ Բրիտանիայից.</v>
      </c>
      <c r="D9094" s="6" t="str">
        <f>IFERROR(__xludf.DUMMYFUNCTION("GOOGLETRANSLATE(B9094,""en"",""hy"")"),"1776 թ")</f>
        <v>1776 թ</v>
      </c>
    </row>
    <row r="9095">
      <c r="A9095" s="5" t="s">
        <v>7839</v>
      </c>
      <c r="B9095" s="5" t="s">
        <v>7753</v>
      </c>
      <c r="C9095" s="5" t="str">
        <f>IFERROR(__xludf.DUMMYFUNCTION("GOOGLETRANSLATE(A9095,""en"",""hy"")"),"Ո՞րն է Ճապոնիայի մայրաքաղաքը:")</f>
        <v>Ո՞րն է Ճապոնիայի մայրաքաղաքը:</v>
      </c>
      <c r="D9095" s="6" t="str">
        <f>IFERROR(__xludf.DUMMYFUNCTION("GOOGLETRANSLATE(B9095,""en"",""hy"")"),"Տոկիո.")</f>
        <v>Տոկիո.</v>
      </c>
    </row>
    <row r="9096">
      <c r="A9096" s="5" t="s">
        <v>7734</v>
      </c>
      <c r="B9096" s="5" t="s">
        <v>7448</v>
      </c>
      <c r="C9096" s="5" t="str">
        <f>IFERROR(__xludf.DUMMYFUNCTION("GOOGLETRANSLATE(A9096,""en"",""hy"")"),"Ո՞վ է նկարել հայտնի «Մոնա Լիզա» ստեղծագործությունը:")</f>
        <v>Ո՞վ է նկարել հայտնի «Մոնա Լիզա» ստեղծագործությունը:</v>
      </c>
      <c r="D9096" s="6" t="str">
        <f>IFERROR(__xludf.DUMMYFUNCTION("GOOGLETRANSLATE(B9096,""en"",""hy"")"),"Լեոնարդո դա Վինչի.")</f>
        <v>Լեոնարդո դա Վինչի.</v>
      </c>
    </row>
    <row r="9097">
      <c r="A9097" s="5" t="s">
        <v>8124</v>
      </c>
      <c r="B9097" s="5" t="s">
        <v>8600</v>
      </c>
      <c r="C9097" s="5" t="str">
        <f>IFERROR(__xludf.DUMMYFUNCTION("GOOGLETRANSLATE(A9097,""en"",""hy"")"),"Ո՞րն է ամենամեծ մայրցամաքը ըստ ցամաքային տարածքի:")</f>
        <v>Ո՞րն է ամենամեծ մայրցամաքը ըստ ցամաքային տարածքի:</v>
      </c>
      <c r="D9097" s="6" t="str">
        <f>IFERROR(__xludf.DUMMYFUNCTION("GOOGLETRANSLATE(B9097,""en"",""hy"")"),"Ասիա")</f>
        <v>Ասիա</v>
      </c>
    </row>
    <row r="9098">
      <c r="A9098" s="5" t="s">
        <v>7927</v>
      </c>
      <c r="B9098" s="5" t="s">
        <v>8163</v>
      </c>
      <c r="C9098" s="5" t="str">
        <f>IFERROR(__xludf.DUMMYFUNCTION("GOOGLETRANSLATE(A9098,""en"",""hy"")"),"Քանի՞ խաղացող կա բասկետբոլի թիմում:")</f>
        <v>Քանի՞ խաղացող կա բասկետբոլի թիմում:</v>
      </c>
      <c r="D9098" s="6" t="str">
        <f>IFERROR(__xludf.DUMMYFUNCTION("GOOGLETRANSLATE(B9098,""en"",""hy"")"),"Բասկետբոլի թիմում 5 խաղացող կա։")</f>
        <v>Բասկետբոլի թիմում 5 խաղացող կա։</v>
      </c>
    </row>
    <row r="9099">
      <c r="A9099" s="5" t="s">
        <v>7463</v>
      </c>
      <c r="B9099" s="5" t="s">
        <v>7464</v>
      </c>
      <c r="C9099" s="5" t="str">
        <f>IFERROR(__xludf.DUMMYFUNCTION("GOOGLETRANSLATE(A9099,""en"",""hy"")"),"Ո՞րն է աշխարհի ամենաբարձր լեռը:")</f>
        <v>Ո՞րն է աշխարհի ամենաբարձր լեռը:</v>
      </c>
      <c r="D9099" s="6" t="str">
        <f>IFERROR(__xludf.DUMMYFUNCTION("GOOGLETRANSLATE(B9099,""en"",""hy"")"),"Էվերեստ լեռ.")</f>
        <v>Էվերեստ լեռ.</v>
      </c>
    </row>
    <row r="9100">
      <c r="A9100" s="5" t="s">
        <v>7504</v>
      </c>
      <c r="B9100" s="5" t="s">
        <v>7505</v>
      </c>
      <c r="C9100" s="5" t="str">
        <f>IFERROR(__xludf.DUMMYFUNCTION("GOOGLETRANSLATE(A9100,""en"",""hy"")"),"Ո՞վ է Միացյալ Նահանգների ներկայիս նախագահը:")</f>
        <v>Ո՞վ է Միացյալ Նահանգների ներկայիս նախագահը:</v>
      </c>
      <c r="D9100" s="6" t="str">
        <f>IFERROR(__xludf.DUMMYFUNCTION("GOOGLETRANSLATE(B9100,""en"",""hy"")"),"Ջո Բայդեն.")</f>
        <v>Ջո Բայդեն.</v>
      </c>
    </row>
    <row r="9101">
      <c r="A9101" s="5" t="s">
        <v>10007</v>
      </c>
      <c r="B9101" s="5" t="s">
        <v>7478</v>
      </c>
      <c r="C9101" s="5" t="str">
        <f>IFERROR(__xludf.DUMMYFUNCTION("GOOGLETRANSLATE(A9101,""en"",""hy"")"),"Ո՞ր երկիրն է հայտնի որպես ծագող արևի երկիր:")</f>
        <v>Ո՞ր երկիրն է հայտնի որպես ծագող արևի երկիր:</v>
      </c>
      <c r="D9101" s="6" t="str">
        <f>IFERROR(__xludf.DUMMYFUNCTION("GOOGLETRANSLATE(B9101,""en"",""hy"")"),"Ճապոնիա.")</f>
        <v>Ճապոնիա.</v>
      </c>
    </row>
    <row r="9102">
      <c r="A9102" s="5" t="s">
        <v>7592</v>
      </c>
      <c r="B9102" s="5" t="s">
        <v>7593</v>
      </c>
      <c r="C9102" s="5" t="str">
        <f>IFERROR(__xludf.DUMMYFUNCTION("GOOGLETRANSLATE(A9102,""en"",""hy"")"),"Ո՞րն է թթվածնի քիմիական նշանը:")</f>
        <v>Ո՞րն է թթվածնի քիմիական նշանը:</v>
      </c>
      <c r="D9102" s="6" t="str">
        <f>IFERROR(__xludf.DUMMYFUNCTION("GOOGLETRANSLATE(B9102,""en"",""hy"")"),"Թթվածնի քիմիական նշանը O է:")</f>
        <v>Թթվածնի քիմիական նշանը O է:</v>
      </c>
    </row>
    <row r="9103">
      <c r="A9103" s="5" t="s">
        <v>7698</v>
      </c>
      <c r="B9103" s="5" t="s">
        <v>7630</v>
      </c>
      <c r="C9103" s="5" t="str">
        <f>IFERROR(__xludf.DUMMYFUNCTION("GOOGLETRANSLATE(A9103,""en"",""hy"")"),"Ո՞վ է գրել «Հպարտություն և նախապաշարմունք» վեպը:")</f>
        <v>Ո՞վ է գրել «Հպարտություն և նախապաշարմունք» վեպը:</v>
      </c>
      <c r="D9103" s="6" t="str">
        <f>IFERROR(__xludf.DUMMYFUNCTION("GOOGLETRANSLATE(B9103,""en"",""hy"")"),"Ջեյն Օսթին.")</f>
        <v>Ջեյն Օսթին.</v>
      </c>
    </row>
    <row r="9104">
      <c r="A9104" s="5" t="s">
        <v>7455</v>
      </c>
      <c r="B9104" s="5" t="s">
        <v>7646</v>
      </c>
      <c r="C9104" s="5" t="str">
        <f>IFERROR(__xludf.DUMMYFUNCTION("GOOGLETRANSLATE(A9104,""en"",""hy"")"),"Ո՞րն է աշխարհի ամենամեծ օվկիանոսը:")</f>
        <v>Ո՞րն է աշխարհի ամենամեծ օվկիանոսը:</v>
      </c>
      <c r="D9104" s="6" t="str">
        <f>IFERROR(__xludf.DUMMYFUNCTION("GOOGLETRANSLATE(B9104,""en"",""hy"")"),"Խաղաղ օվկիանոս.")</f>
        <v>Խաղաղ օվկիանոս.</v>
      </c>
    </row>
    <row r="9105">
      <c r="A9105" s="5" t="s">
        <v>8914</v>
      </c>
      <c r="B9105" s="5" t="s">
        <v>7576</v>
      </c>
      <c r="C9105" s="5" t="str">
        <f>IFERROR(__xludf.DUMMYFUNCTION("GOOGLETRANSLATE(A9105,""en"",""hy"")"),"Քանի՞ գույն կա ծիածանի մեջ:")</f>
        <v>Քանի՞ գույն կա ծիածանի մեջ:</v>
      </c>
      <c r="D9105" s="6" t="str">
        <f>IFERROR(__xludf.DUMMYFUNCTION("GOOGLETRANSLATE(B9105,""en"",""hy"")"),"Ծիածանի մեջ յոթ գույն կա:")</f>
        <v>Ծիածանի մեջ յոթ գույն կա:</v>
      </c>
    </row>
    <row r="9106">
      <c r="A9106" s="5" t="s">
        <v>7791</v>
      </c>
      <c r="B9106" s="5" t="s">
        <v>8128</v>
      </c>
      <c r="C9106" s="5" t="str">
        <f>IFERROR(__xludf.DUMMYFUNCTION("GOOGLETRANSLATE(A9106,""en"",""hy"")"),"Ո՞րն է Ավստրալիայի ազգային կենդանին:")</f>
        <v>Ո՞րն է Ավստրալիայի ազգային կենդանին:</v>
      </c>
      <c r="D9106" s="6" t="str">
        <f>IFERROR(__xludf.DUMMYFUNCTION("GOOGLETRANSLATE(B9106,""en"",""hy"")"),"Կենգուրու.")</f>
        <v>Կենգուրու.</v>
      </c>
    </row>
    <row r="9107">
      <c r="A9107" s="5" t="s">
        <v>7789</v>
      </c>
      <c r="B9107" s="5" t="s">
        <v>8405</v>
      </c>
      <c r="C9107" s="5" t="str">
        <f>IFERROR(__xludf.DUMMYFUNCTION("GOOGLETRANSLATE(A9107,""en"",""hy"")"),"Ո՞վ է հունական ամպրոպի աստվածը:")</f>
        <v>Ո՞վ է հունական ամպրոպի աստվածը:</v>
      </c>
      <c r="D9107" s="6" t="str">
        <f>IFERROR(__xludf.DUMMYFUNCTION("GOOGLETRANSLATE(B9107,""en"",""hy"")"),"Զևս.")</f>
        <v>Զևս.</v>
      </c>
    </row>
    <row r="9108">
      <c r="A9108" s="5" t="s">
        <v>7449</v>
      </c>
      <c r="B9108" s="5" t="s">
        <v>7343</v>
      </c>
      <c r="C9108" s="5" t="str">
        <f>IFERROR(__xludf.DUMMYFUNCTION("GOOGLETRANSLATE(A9108,""en"",""hy"")"),"Ո՞րն է աշխարհի ամենամեծ երկիրը ցամաքային տարածքով:")</f>
        <v>Ո՞րն է աշխարհի ամենամեծ երկիրը ցամաքային տարածքով:</v>
      </c>
      <c r="D9108" s="6" t="str">
        <f>IFERROR(__xludf.DUMMYFUNCTION("GOOGLETRANSLATE(B9108,""en"",""hy"")"),"Ռուսաստան.")</f>
        <v>Ռուսաստան.</v>
      </c>
    </row>
    <row r="9109">
      <c r="A9109" s="5" t="s">
        <v>8327</v>
      </c>
      <c r="B9109" s="5" t="s">
        <v>7837</v>
      </c>
      <c r="C9109" s="5" t="str">
        <f>IFERROR(__xludf.DUMMYFUNCTION("GOOGLETRANSLATE(A9109,""en"",""hy"")"),"Ո՞ր թվականին սկսվեց Առաջին համաշխարհային պատերազմը:")</f>
        <v>Ո՞ր թվականին սկսվեց Առաջին համաշխարհային պատերազմը:</v>
      </c>
      <c r="D9109" s="6" t="str">
        <f>IFERROR(__xludf.DUMMYFUNCTION("GOOGLETRANSLATE(B9109,""en"",""hy"")"),"Առաջին համաշխարհային պատերազմը սկսվել է 1914 թ.")</f>
        <v>Առաջին համաշխարհային պատերազմը սկսվել է 1914 թ.</v>
      </c>
    </row>
    <row r="9110">
      <c r="A9110" s="5" t="s">
        <v>7589</v>
      </c>
      <c r="B9110" s="5" t="s">
        <v>7545</v>
      </c>
      <c r="C9110" s="5" t="str">
        <f>IFERROR(__xludf.DUMMYFUNCTION("GOOGLETRANSLATE(A9110,""en"",""hy"")"),"Ո՞րն է Իտալիայի մայրաքաղաքը:")</f>
        <v>Ո՞րն է Իտալիայի մայրաքաղաքը:</v>
      </c>
      <c r="D9110" s="6" t="str">
        <f>IFERROR(__xludf.DUMMYFUNCTION("GOOGLETRANSLATE(B9110,""en"",""hy"")"),"Հռոմ.")</f>
        <v>Հռոմ.</v>
      </c>
    </row>
    <row r="9111">
      <c r="A9111" s="5" t="s">
        <v>8310</v>
      </c>
      <c r="B9111" s="5" t="s">
        <v>7585</v>
      </c>
      <c r="C9111" s="5" t="str">
        <f>IFERROR(__xludf.DUMMYFUNCTION("GOOGLETRANSLATE(A9111,""en"",""hy"")"),"Ո՞վ է նկարել հայտնի «Ճիչ»-ը:")</f>
        <v>Ո՞վ է նկարել հայտնի «Ճիչ»-ը:</v>
      </c>
      <c r="D9111" s="6" t="str">
        <f>IFERROR(__xludf.DUMMYFUNCTION("GOOGLETRANSLATE(B9111,""en"",""hy"")"),"Էդվարդ Մունկ.")</f>
        <v>Էդվարդ Մունկ.</v>
      </c>
    </row>
    <row r="9112">
      <c r="A9112" s="5" t="s">
        <v>8106</v>
      </c>
      <c r="B9112" s="5" t="s">
        <v>7916</v>
      </c>
      <c r="C9112" s="5" t="str">
        <f>IFERROR(__xludf.DUMMYFUNCTION("GOOGLETRANSLATE(A9112,""en"",""hy"")"),"Քանի՞ ոսկոր կա մարդու մարմնում:")</f>
        <v>Քանի՞ ոսկոր կա մարդու մարմնում:</v>
      </c>
      <c r="D9112" s="6" t="str">
        <f>IFERROR(__xludf.DUMMYFUNCTION("GOOGLETRANSLATE(B9112,""en"",""hy"")"),"Մարդու մարմնում կա 206 ոսկոր։")</f>
        <v>Մարդու մարմնում կա 206 ոսկոր։</v>
      </c>
    </row>
    <row r="9113">
      <c r="A9113" s="5" t="s">
        <v>7845</v>
      </c>
      <c r="B9113" s="5" t="s">
        <v>3533</v>
      </c>
      <c r="C9113" s="5" t="str">
        <f>IFERROR(__xludf.DUMMYFUNCTION("GOOGLETRANSLATE(A9113,""en"",""hy"")"),"Ո՞րն է Բրազիլիայի պաշտոնական լեզուն:")</f>
        <v>Ո՞րն է Բրազիլիայի պաշտոնական լեզուն:</v>
      </c>
      <c r="D9113" s="6" t="str">
        <f>IFERROR(__xludf.DUMMYFUNCTION("GOOGLETRANSLATE(B9113,""en"",""hy"")"),"Բրազիլիայի պաշտոնական լեզուն պորտուգալերենն է։")</f>
        <v>Բրազիլիայի պաշտոնական լեզուն պորտուգալերենն է։</v>
      </c>
    </row>
    <row r="9114">
      <c r="A9114" s="5" t="s">
        <v>8306</v>
      </c>
      <c r="B9114" s="5" t="s">
        <v>7444</v>
      </c>
      <c r="C9114" s="5" t="str">
        <f>IFERROR(__xludf.DUMMYFUNCTION("GOOGLETRANSLATE(A9114,""en"",""hy"")"),"Ո՞վ է «1984» գրքի հեղինակը.")</f>
        <v>Ո՞վ է «1984» գրքի հեղինակը.</v>
      </c>
      <c r="D9114" s="6" t="str">
        <f>IFERROR(__xludf.DUMMYFUNCTION("GOOGLETRANSLATE(B9114,""en"",""hy"")"),"Ջորջ Օրուել.")</f>
        <v>Ջորջ Օրուել.</v>
      </c>
    </row>
    <row r="9115">
      <c r="A9115" s="5" t="s">
        <v>7850</v>
      </c>
      <c r="B9115" s="5" t="s">
        <v>7851</v>
      </c>
      <c r="C9115" s="5" t="str">
        <f>IFERROR(__xludf.DUMMYFUNCTION("GOOGLETRANSLATE(A9115,""en"",""hy"")"),"Ո՞րն է մեր արեգակնային համակարգի ամենափոքր մոլորակը:")</f>
        <v>Ո՞րն է մեր արեգակնային համակարգի ամենափոքր մոլորակը:</v>
      </c>
      <c r="D9115" s="6" t="str">
        <f>IFERROR(__xludf.DUMMYFUNCTION("GOOGLETRANSLATE(B9115,""en"",""hy"")"),"Մեր Արեգակնային համակարգի ամենափոքր մոլորակը Մերկուրին է:")</f>
        <v>Մեր Արեգակնային համակարգի ամենափոքր մոլորակը Մերկուրին է:</v>
      </c>
    </row>
    <row r="9116">
      <c r="A9116" s="5" t="s">
        <v>10008</v>
      </c>
      <c r="B9116" s="5" t="s">
        <v>2641</v>
      </c>
      <c r="C9116" s="5" t="str">
        <f>IFERROR(__xludf.DUMMYFUNCTION("GOOGLETRANSLATE(A9116,""en"",""hy"")"),"Ո՞ր երկիրն է հայտնի տպագրական մեքենայի գյուտով:")</f>
        <v>Ո՞ր երկիրն է հայտնի տպագրական մեքենայի գյուտով:</v>
      </c>
      <c r="D9116" s="6" t="str">
        <f>IFERROR(__xludf.DUMMYFUNCTION("GOOGLETRANSLATE(B9116,""en"",""hy"")"),"Գերմանիա.")</f>
        <v>Գերմանիա.</v>
      </c>
    </row>
    <row r="9117">
      <c r="A9117" s="5" t="s">
        <v>8023</v>
      </c>
      <c r="B9117" s="5" t="s">
        <v>8109</v>
      </c>
      <c r="C9117" s="5" t="str">
        <f>IFERROR(__xludf.DUMMYFUNCTION("GOOGLETRANSLATE(A9117,""en"",""hy"")"),"Ո՞րն է աշխարհի ամենաբարձր կենդանին:")</f>
        <v>Ո՞րն է աշխարհի ամենաբարձր կենդանին:</v>
      </c>
      <c r="D9117" s="6" t="str">
        <f>IFERROR(__xludf.DUMMYFUNCTION("GOOGLETRANSLATE(B9117,""en"",""hy"")"),"Ընձուղտ.")</f>
        <v>Ընձուղտ.</v>
      </c>
    </row>
    <row r="9118">
      <c r="A9118" s="5" t="s">
        <v>7699</v>
      </c>
      <c r="B9118" s="5" t="s">
        <v>7700</v>
      </c>
      <c r="C9118" s="5" t="str">
        <f>IFERROR(__xludf.DUMMYFUNCTION("GOOGLETRANSLATE(A9118,""en"",""hy"")"),"Ո՞րն է ածխածնի քիմիական նշանը:")</f>
        <v>Ո՞րն է ածխածնի քիմիական նշանը:</v>
      </c>
      <c r="D9118" s="6" t="str">
        <f>IFERROR(__xludf.DUMMYFUNCTION("GOOGLETRANSLATE(B9118,""en"",""hy"")"),"Ածխածնի քիմիական նշանը C է:")</f>
        <v>Ածխածնի քիմիական նշանը C է:</v>
      </c>
    </row>
    <row r="9119">
      <c r="A9119" s="5" t="s">
        <v>8325</v>
      </c>
      <c r="B9119" s="5" t="s">
        <v>9474</v>
      </c>
      <c r="C9119" s="5" t="str">
        <f>IFERROR(__xludf.DUMMYFUNCTION("GOOGLETRANSLATE(A9119,""en"",""hy"")"),"Ո՞վ է հունական սիրո և գեղեցկության աստվածուհին:")</f>
        <v>Ո՞վ է հունական սիրո և գեղեցկության աստվածուհին:</v>
      </c>
      <c r="D9119" s="6" t="str">
        <f>IFERROR(__xludf.DUMMYFUNCTION("GOOGLETRANSLATE(B9119,""en"",""hy"")"),"Աֆրոդիտե")</f>
        <v>Աֆրոդիտե</v>
      </c>
    </row>
    <row r="9120">
      <c r="A9120" s="5" t="s">
        <v>7552</v>
      </c>
      <c r="B9120" s="5" t="s">
        <v>7181</v>
      </c>
      <c r="C9120" s="5" t="str">
        <f>IFERROR(__xludf.DUMMYFUNCTION("GOOGLETRANSLATE(A9120,""en"",""hy"")"),"Ո՞ր երկիրն է հայտնի Մեծ արգելախութով:")</f>
        <v>Ո՞ր երկիրն է հայտնի Մեծ արգելախութով:</v>
      </c>
      <c r="D9120" s="6" t="str">
        <f>IFERROR(__xludf.DUMMYFUNCTION("GOOGLETRANSLATE(B9120,""en"",""hy"")"),"Ավստրալիա")</f>
        <v>Ավստրալիա</v>
      </c>
    </row>
    <row r="9121">
      <c r="A9121" s="5" t="s">
        <v>7640</v>
      </c>
      <c r="B9121" s="5" t="s">
        <v>1016</v>
      </c>
      <c r="C9121" s="5" t="str">
        <f>IFERROR(__xludf.DUMMYFUNCTION("GOOGLETRANSLATE(A9121,""en"",""hy"")"),"Ո՞վ է գրել «Ռոմեո և Ջուլիետ» պիեսը:")</f>
        <v>Ո՞վ է գրել «Ռոմեո և Ջուլիետ» պիեսը:</v>
      </c>
      <c r="D9121" s="6" t="str">
        <f>IFERROR(__xludf.DUMMYFUNCTION("GOOGLETRANSLATE(B9121,""en"",""hy"")"),"Ուիլյամ Շեքսպիր.")</f>
        <v>Ուիլյամ Շեքսպիր.</v>
      </c>
    </row>
    <row r="9122">
      <c r="A9122" s="5" t="s">
        <v>7513</v>
      </c>
      <c r="B9122" s="5" t="s">
        <v>8337</v>
      </c>
      <c r="C9122" s="5" t="str">
        <f>IFERROR(__xludf.DUMMYFUNCTION("GOOGLETRANSLATE(A9122,""en"",""hy"")"),"Ո՞րն է աշխարհի ամենամեծ անապատը:")</f>
        <v>Ո՞րն է աշխարհի ամենամեծ անապատը:</v>
      </c>
      <c r="D9122" s="6" t="str">
        <f>IFERROR(__xludf.DUMMYFUNCTION("GOOGLETRANSLATE(B9122,""en"",""hy"")"),"Աշխարհի ամենամեծ անապատը Անտարկտիդայի անապատն է։")</f>
        <v>Աշխարհի ամենամեծ անապատը Անտարկտիդայի անապատն է։</v>
      </c>
    </row>
    <row r="9123">
      <c r="A9123" s="5" t="s">
        <v>9120</v>
      </c>
      <c r="B9123" s="5" t="s">
        <v>9121</v>
      </c>
      <c r="C9123" s="5" t="str">
        <f>IFERROR(__xludf.DUMMYFUNCTION("GOOGLETRANSLATE(A9123,""en"",""hy"")"),"Քանի՞ շերտ կա ամերիկյան դրոշի վրա:")</f>
        <v>Քանի՞ շերտ կա ամերիկյան դրոշի վրա:</v>
      </c>
      <c r="D9123" s="6" t="str">
        <f>IFERROR(__xludf.DUMMYFUNCTION("GOOGLETRANSLATE(B9123,""en"",""hy"")"),"Ամերիկյան դրոշի վրա կա 13 գծեր։")</f>
        <v>Ամերիկյան դրոշի վրա կա 13 գծեր։</v>
      </c>
    </row>
    <row r="9124">
      <c r="A9124" s="5" t="s">
        <v>7515</v>
      </c>
      <c r="B9124" s="5" t="s">
        <v>7516</v>
      </c>
      <c r="C9124" s="5" t="str">
        <f>IFERROR(__xludf.DUMMYFUNCTION("GOOGLETRANSLATE(A9124,""en"",""hy"")"),"Ո՞րն է Բրազիլիայի մայրաքաղաքը:")</f>
        <v>Ո՞րն է Բրազիլիայի մայրաքաղաքը:</v>
      </c>
      <c r="D9124" s="6" t="str">
        <f>IFERROR(__xludf.DUMMYFUNCTION("GOOGLETRANSLATE(B9124,""en"",""hy"")"),"Բրազիլիա.")</f>
        <v>Բրազիլիա.</v>
      </c>
    </row>
    <row r="9125">
      <c r="A9125" s="5" t="s">
        <v>8123</v>
      </c>
      <c r="B9125" s="5" t="s">
        <v>7448</v>
      </c>
      <c r="C9125" s="5" t="str">
        <f>IFERROR(__xludf.DUMMYFUNCTION("GOOGLETRANSLATE(A9125,""en"",""hy"")"),"Ո՞վ է նկարել հայտնի «Վերջին ընթրիքը» ստեղծագործությունը:")</f>
        <v>Ո՞վ է նկարել հայտնի «Վերջին ընթրիքը» ստեղծագործությունը:</v>
      </c>
      <c r="D9125" s="6" t="str">
        <f>IFERROR(__xludf.DUMMYFUNCTION("GOOGLETRANSLATE(B9125,""en"",""hy"")"),"Լեոնարդո դա Վինչի.")</f>
        <v>Լեոնարդո դա Վինչի.</v>
      </c>
    </row>
    <row r="9126">
      <c r="A9126" s="5" t="s">
        <v>8408</v>
      </c>
      <c r="B9126" s="5" t="s">
        <v>8409</v>
      </c>
      <c r="C9126" s="5" t="str">
        <f>IFERROR(__xludf.DUMMYFUNCTION("GOOGLETRANSLATE(A9126,""en"",""hy"")"),"Քանի՞ ոտք ունի սարդը:")</f>
        <v>Քանի՞ ոտք ունի սարդը:</v>
      </c>
      <c r="D9126" s="6" t="str">
        <f>IFERROR(__xludf.DUMMYFUNCTION("GOOGLETRANSLATE(B9126,""en"",""hy"")"),"Սարդն ունի ութ ոտք:")</f>
        <v>Սարդն ունի ութ ոտք:</v>
      </c>
    </row>
    <row r="9127">
      <c r="A9127" s="5" t="s">
        <v>8025</v>
      </c>
      <c r="B9127" s="5" t="s">
        <v>8026</v>
      </c>
      <c r="C9127" s="5" t="str">
        <f>IFERROR(__xludf.DUMMYFUNCTION("GOOGLETRANSLATE(A9127,""en"",""hy"")"),"Ո՞րն է Չինաստանի պաշտոնական լեզուն:")</f>
        <v>Ո՞րն է Չինաստանի պաշտոնական լեզուն:</v>
      </c>
      <c r="D9127" s="6" t="str">
        <f>IFERROR(__xludf.DUMMYFUNCTION("GOOGLETRANSLATE(B9127,""en"",""hy"")"),"Չինաստանի պաշտոնական լեզուն մանդարին չինարենն է։")</f>
        <v>Չինաստանի պաշտոնական լեզուն մանդարին չինարենն է։</v>
      </c>
    </row>
    <row r="9128">
      <c r="A9128" s="5" t="s">
        <v>8320</v>
      </c>
      <c r="B9128" s="5" t="s">
        <v>8273</v>
      </c>
      <c r="C9128" s="5" t="str">
        <f>IFERROR(__xludf.DUMMYFUNCTION("GOOGLETRANSLATE(A9128,""en"",""hy"")"),"Ո՞վ է «Աշորայի մեջ բռնողը» գրքի հեղինակը.")</f>
        <v>Ո՞վ է «Աշորայի մեջ բռնողը» գրքի հեղինակը.</v>
      </c>
      <c r="D9128" s="6" t="str">
        <f>IFERROR(__xludf.DUMMYFUNCTION("GOOGLETRANSLATE(B9128,""en"",""hy"")"),"Ջ.Դ.Սելինջեր")</f>
        <v>Ջ.Դ.Սելինջեր</v>
      </c>
    </row>
    <row r="9129">
      <c r="A9129" s="5" t="s">
        <v>7546</v>
      </c>
      <c r="B9129" s="5" t="s">
        <v>7736</v>
      </c>
      <c r="C9129" s="5" t="str">
        <f>IFERROR(__xludf.DUMMYFUNCTION("GOOGLETRANSLATE(A9129,""en"",""hy"")"),"Ո՞րն է աշխարհի ամենաարագ ցամաքային կենդանին:")</f>
        <v>Ո՞րն է աշխարհի ամենաարագ ցամաքային կենդանին:</v>
      </c>
      <c r="D9129" s="6" t="str">
        <f>IFERROR(__xludf.DUMMYFUNCTION("GOOGLETRANSLATE(B9129,""en"",""hy"")"),"Cheetah.")</f>
        <v>Cheetah.</v>
      </c>
    </row>
    <row r="9130">
      <c r="A9130" s="5" t="s">
        <v>7665</v>
      </c>
      <c r="B9130" s="5" t="s">
        <v>7781</v>
      </c>
      <c r="C9130" s="5" t="str">
        <f>IFERROR(__xludf.DUMMYFUNCTION("GOOGLETRANSLATE(A9130,""en"",""hy"")"),"Ո՞րն է նատրիումի քիմիական նշանը:")</f>
        <v>Ո՞րն է նատրիումի քիմիական նշանը:</v>
      </c>
      <c r="D9130" s="6" t="str">
        <f>IFERROR(__xludf.DUMMYFUNCTION("GOOGLETRANSLATE(B9130,""en"",""hy"")"),"Նատրիումի քիմիական նշանը Na է:")</f>
        <v>Նատրիումի քիմիական նշանը Na է:</v>
      </c>
    </row>
    <row r="9131">
      <c r="A9131" s="5" t="s">
        <v>8028</v>
      </c>
      <c r="B9131" s="5" t="s">
        <v>79</v>
      </c>
      <c r="C9131" s="5" t="str">
        <f>IFERROR(__xludf.DUMMYFUNCTION("GOOGLETRANSLATE(A9131,""en"",""hy"")"),"Ո՞րն է Կանադայի ազգային սպորտը:")</f>
        <v>Ո՞րն է Կանադայի ազգային սպորտը:</v>
      </c>
      <c r="D9131" s="6" t="str">
        <f>IFERROR(__xludf.DUMMYFUNCTION("GOOGLETRANSLATE(B9131,""en"",""hy"")"),"Հոկեյ.")</f>
        <v>Հոկեյ.</v>
      </c>
    </row>
    <row r="9132">
      <c r="A9132" s="5" t="s">
        <v>7534</v>
      </c>
      <c r="B9132" s="5" t="s">
        <v>7535</v>
      </c>
      <c r="C9132" s="5" t="str">
        <f>IFERROR(__xludf.DUMMYFUNCTION("GOOGLETRANSLATE(A9132,""en"",""hy"")"),"Ո՞վ է հորինել հեռախոսը:")</f>
        <v>Ո՞վ է հորինել հեռախոսը:</v>
      </c>
      <c r="D9132" s="6" t="str">
        <f>IFERROR(__xludf.DUMMYFUNCTION("GOOGLETRANSLATE(B9132,""en"",""hy"")"),"Ալեքսանդր Գրեհեմ Բել.")</f>
        <v>Ալեքսանդր Գրեհեմ Բել.</v>
      </c>
    </row>
    <row r="9133">
      <c r="A9133" s="5" t="s">
        <v>9385</v>
      </c>
      <c r="B9133" s="5" t="s">
        <v>9386</v>
      </c>
      <c r="C9133" s="5" t="str">
        <f>IFERROR(__xludf.DUMMYFUNCTION("GOOGLETRANSLATE(A9133,""en"",""hy"")"),"Քանի՞ սիմֆոնիա է հեղինակել Լյուդվիգ վան Բեթհովենը:")</f>
        <v>Քանի՞ սիմֆոնիա է հեղինակել Լյուդվիգ վան Բեթհովենը:</v>
      </c>
      <c r="D9133" s="6" t="str">
        <f>IFERROR(__xludf.DUMMYFUNCTION("GOOGLETRANSLATE(B9133,""en"",""hy"")"),"Բեթհովենը ստեղծել է 9 սիմֆոնիա։")</f>
        <v>Բեթհովենը ստեղծել է 9 սիմֆոնիա։</v>
      </c>
    </row>
    <row r="9134">
      <c r="A9134" s="5" t="s">
        <v>8031</v>
      </c>
      <c r="B9134" s="5" t="s">
        <v>8268</v>
      </c>
      <c r="C9134" s="5" t="str">
        <f>IFERROR(__xludf.DUMMYFUNCTION("GOOGLETRANSLATE(A9134,""en"",""hy"")"),"Ո՞րն է աշխարհի ամենամեծ թռչունը:")</f>
        <v>Ո՞րն է աշխարհի ամենամեծ թռչունը:</v>
      </c>
      <c r="D9134" s="6" t="str">
        <f>IFERROR(__xludf.DUMMYFUNCTION("GOOGLETRANSLATE(B9134,""en"",""hy"")"),"Աշխարհի ամենամեծ թռչունը ջայլամն է։")</f>
        <v>Աշխարհի ամենամեծ թռչունը ջայլամն է։</v>
      </c>
    </row>
    <row r="9135">
      <c r="A9135" s="5" t="s">
        <v>7536</v>
      </c>
      <c r="B9135" s="5" t="s">
        <v>7870</v>
      </c>
      <c r="C9135" s="5" t="str">
        <f>IFERROR(__xludf.DUMMYFUNCTION("GOOGLETRANSLATE(A9135,""en"",""hy"")"),"Ո՞րն է Ռուսաստանի մայրաքաղաքը:")</f>
        <v>Ո՞րն է Ռուսաստանի մայրաքաղաքը:</v>
      </c>
      <c r="D9135" s="6" t="str">
        <f>IFERROR(__xludf.DUMMYFUNCTION("GOOGLETRANSLATE(B9135,""en"",""hy"")"),"Մոսկվա.")</f>
        <v>Մոսկվա.</v>
      </c>
    </row>
    <row r="9136">
      <c r="A9136" s="5" t="s">
        <v>7744</v>
      </c>
      <c r="B9136" s="5" t="s">
        <v>8218</v>
      </c>
      <c r="C9136" s="5" t="str">
        <f>IFERROR(__xludf.DUMMYFUNCTION("GOOGLETRANSLATE(A9136,""en"",""hy"")"),"Ո՞վ է նկարել հայտնի «Հիշողության համառությունը» ստեղծագործությունը:")</f>
        <v>Ո՞վ է նկարել հայտնի «Հիշողության համառությունը» ստեղծագործությունը:</v>
      </c>
      <c r="D9136" s="6" t="str">
        <f>IFERROR(__xludf.DUMMYFUNCTION("GOOGLETRANSLATE(B9136,""en"",""hy"")"),"Սալվադոր Դալի")</f>
        <v>Սալվադոր Դալի</v>
      </c>
    </row>
    <row r="9137">
      <c r="A9137" s="5" t="s">
        <v>10009</v>
      </c>
      <c r="B9137" s="5" t="s">
        <v>10010</v>
      </c>
      <c r="C9137" s="5" t="str">
        <f>IFERROR(__xludf.DUMMYFUNCTION("GOOGLETRANSLATE(A9137,""en"",""hy"")"),"Ո՞րն է աշխարհի ամենամեծ ջրվեժը ըստ ծավալի:")</f>
        <v>Ո՞րն է աշխարհի ամենամեծ ջրվեժը ըստ ծավալի:</v>
      </c>
      <c r="D9137" s="6" t="str">
        <f>IFERROR(__xludf.DUMMYFUNCTION("GOOGLETRANSLATE(B9137,""en"",""hy"")"),"Ծավալով աշխարհում ամենամեծ ջրվեժը Վենեսուելայում գտնվող Անխել ջրվեժն է:")</f>
        <v>Ծավալով աշխարհում ամենամեծ ջրվեժը Վենեսուելայում գտնվող Անխել ջրվեժն է:</v>
      </c>
    </row>
    <row r="9138">
      <c r="A9138" s="5" t="s">
        <v>7557</v>
      </c>
      <c r="B9138" s="5" t="s">
        <v>7558</v>
      </c>
      <c r="C9138" s="5" t="str">
        <f>IFERROR(__xludf.DUMMYFUNCTION("GOOGLETRANSLATE(A9138,""en"",""hy"")"),"Ո՞րն է երկաթի քիմիական նշանը:")</f>
        <v>Ո՞րն է երկաթի քիմիական նշանը:</v>
      </c>
      <c r="D9138" s="6" t="str">
        <f>IFERROR(__xludf.DUMMYFUNCTION("GOOGLETRANSLATE(B9138,""en"",""hy"")"),"Ֆե")</f>
        <v>Ֆե</v>
      </c>
    </row>
    <row r="9139">
      <c r="A9139" s="5" t="s">
        <v>7674</v>
      </c>
      <c r="B9139" s="5" t="s">
        <v>7675</v>
      </c>
      <c r="C9139" s="5" t="str">
        <f>IFERROR(__xludf.DUMMYFUNCTION("GOOGLETRANSLATE(A9139,""en"",""hy"")"),"Ո՞վ է հունական ծովի աստվածը:")</f>
        <v>Ո՞վ է հունական ծովի աստվածը:</v>
      </c>
      <c r="D9139" s="6" t="str">
        <f>IFERROR(__xludf.DUMMYFUNCTION("GOOGLETRANSLATE(B9139,""en"",""hy"")"),"Պոսեյդոն.")</f>
        <v>Պոսեյդոն.</v>
      </c>
    </row>
    <row r="9140">
      <c r="A9140" s="5" t="s">
        <v>7872</v>
      </c>
      <c r="B9140" s="5" t="s">
        <v>1307</v>
      </c>
      <c r="C9140" s="5" t="str">
        <f>IFERROR(__xludf.DUMMYFUNCTION("GOOGLETRANSLATE(A9140,""en"",""hy"")"),"Ո՞րն է Իսպանիայի մայրաքաղաքը:")</f>
        <v>Ո՞րն է Իսպանիայի մայրաքաղաքը:</v>
      </c>
      <c r="D9140" s="6" t="str">
        <f>IFERROR(__xludf.DUMMYFUNCTION("GOOGLETRANSLATE(B9140,""en"",""hy"")"),"Մադրիդ.")</f>
        <v>Մադրիդ.</v>
      </c>
    </row>
    <row r="9141">
      <c r="A9141" s="5" t="s">
        <v>10011</v>
      </c>
      <c r="B9141" s="5" t="s">
        <v>10012</v>
      </c>
      <c r="C9141" s="5" t="str">
        <f>IFERROR(__xludf.DUMMYFUNCTION("GOOGLETRANSLATE(A9141,""en"",""hy"")"),"Քանի՞ Օսկար է շահել «Տիտանիկ» ֆիլմը.")</f>
        <v>Քանի՞ Օսկար է շահել «Տիտանիկ» ֆիլմը.</v>
      </c>
      <c r="D9141" s="6" t="str">
        <f>IFERROR(__xludf.DUMMYFUNCTION("GOOGLETRANSLATE(B9141,""en"",""hy"")"),"«Տիտանիկը» արժանացել է 11 Օսկարի։")</f>
        <v>«Տիտանիկը» արժանացել է 11 Օսկարի։</v>
      </c>
    </row>
    <row r="9142">
      <c r="A9142" s="5" t="s">
        <v>7761</v>
      </c>
      <c r="B9142" s="5" t="s">
        <v>7762</v>
      </c>
      <c r="C9142" s="5" t="str">
        <f>IFERROR(__xludf.DUMMYFUNCTION("GOOGLETRANSLATE(A9142,""en"",""hy"")"),"Ո՞րն է ջրածնի քիմիական նշանը:")</f>
        <v>Ո՞րն է ջրածնի քիմիական նշանը:</v>
      </c>
      <c r="D9142" s="6" t="str">
        <f>IFERROR(__xludf.DUMMYFUNCTION("GOOGLETRANSLATE(B9142,""en"",""hy"")"),"Հ")</f>
        <v>Հ</v>
      </c>
    </row>
    <row r="9143">
      <c r="A9143" s="5" t="s">
        <v>9973</v>
      </c>
      <c r="B9143" s="5" t="s">
        <v>7906</v>
      </c>
      <c r="C9143" s="5" t="str">
        <f>IFERROR(__xludf.DUMMYFUNCTION("GOOGLETRANSLATE(A9143,""en"",""hy"")"),"Ո՞վ է «Նարնիայի քրոնիկները» գրքաշարի հեղինակը.")</f>
        <v>Ո՞վ է «Նարնիայի քրոնիկները» գրքաշարի հեղինակը.</v>
      </c>
      <c r="D9143" s="6" t="str">
        <f>IFERROR(__xludf.DUMMYFUNCTION("GOOGLETRANSLATE(B9143,""en"",""hy"")"),"C.S. Լյուիս.")</f>
        <v>C.S. Լյուիս.</v>
      </c>
    </row>
    <row r="9144">
      <c r="A9144" s="5" t="s">
        <v>7506</v>
      </c>
      <c r="B9144" s="5" t="s">
        <v>7507</v>
      </c>
      <c r="C9144" s="5" t="str">
        <f>IFERROR(__xludf.DUMMYFUNCTION("GOOGLETRANSLATE(A9144,""en"",""hy"")"),"Ո՞րն է աշխարհի ամենափոքր երկիրը:")</f>
        <v>Ո՞րն է աշխարհի ամենափոքր երկիրը:</v>
      </c>
      <c r="D9144" s="6" t="str">
        <f>IFERROR(__xludf.DUMMYFUNCTION("GOOGLETRANSLATE(B9144,""en"",""hy"")"),"Քաղաք Վատիկան.")</f>
        <v>Քաղաք Վատիկան.</v>
      </c>
    </row>
    <row r="9145">
      <c r="A9145" s="5" t="s">
        <v>7946</v>
      </c>
      <c r="B9145" s="5" t="s">
        <v>8111</v>
      </c>
      <c r="C9145" s="5" t="str">
        <f>IFERROR(__xludf.DUMMYFUNCTION("GOOGLETRANSLATE(A9145,""en"",""hy"")"),"Քանի՞ խաղացող կա ֆուտբոլային թիմում:")</f>
        <v>Քանի՞ խաղացող կա ֆուտբոլային թիմում:</v>
      </c>
      <c r="D9145" s="6" t="str">
        <f>IFERROR(__xludf.DUMMYFUNCTION("GOOGLETRANSLATE(B9145,""en"",""hy"")"),"Ֆուտբոլային թիմում կա 11 խաղացող։")</f>
        <v>Ֆուտբոլային թիմում կա 11 խաղացող։</v>
      </c>
    </row>
    <row r="9146">
      <c r="A9146" s="5" t="s">
        <v>8016</v>
      </c>
      <c r="B9146" s="5" t="s">
        <v>8017</v>
      </c>
      <c r="C9146" s="5" t="str">
        <f>IFERROR(__xludf.DUMMYFUNCTION("GOOGLETRANSLATE(A9146,""en"",""hy"")"),"Ո՞րն է Անգլիայի ազգային ծաղիկը:")</f>
        <v>Ո՞րն է Անգլիայի ազգային ծաղիկը:</v>
      </c>
      <c r="D9146" s="6" t="str">
        <f>IFERROR(__xludf.DUMMYFUNCTION("GOOGLETRANSLATE(B9146,""en"",""hy"")"),"Անգլիայի ազգային ծաղիկը վարդն է։")</f>
        <v>Անգլիայի ազգային ծաղիկը վարդն է։</v>
      </c>
    </row>
    <row r="9147">
      <c r="A9147" s="5" t="s">
        <v>8308</v>
      </c>
      <c r="B9147" s="5" t="s">
        <v>8309</v>
      </c>
      <c r="C9147" s="5" t="str">
        <f>IFERROR(__xludf.DUMMYFUNCTION("GOOGLETRANSLATE(A9147,""en"",""hy"")"),"Ո՞վ է հունական իմաստության աստվածուհին:")</f>
        <v>Ո՞վ է հունական իմաստության աստվածուհին:</v>
      </c>
      <c r="D9147" s="6" t="str">
        <f>IFERROR(__xludf.DUMMYFUNCTION("GOOGLETRANSLATE(B9147,""en"",""hy"")"),"Աթենա.")</f>
        <v>Աթենա.</v>
      </c>
    </row>
    <row r="9148">
      <c r="A9148" s="5" t="s">
        <v>7574</v>
      </c>
      <c r="B9148" s="5" t="s">
        <v>7525</v>
      </c>
      <c r="C9148" s="5" t="str">
        <f>IFERROR(__xludf.DUMMYFUNCTION("GOOGLETRANSLATE(A9148,""en"",""hy"")"),"Ո՞րն է Չինաստանի մայրաքաղաքը:")</f>
        <v>Ո՞րն է Չինաստանի մայրաքաղաքը:</v>
      </c>
      <c r="D9148" s="6" t="str">
        <f>IFERROR(__xludf.DUMMYFUNCTION("GOOGLETRANSLATE(B9148,""en"",""hy"")"),"Պեկին.")</f>
        <v>Պեկին.</v>
      </c>
    </row>
    <row r="9149">
      <c r="A9149" s="5" t="s">
        <v>7709</v>
      </c>
      <c r="B9149" s="5" t="s">
        <v>9424</v>
      </c>
      <c r="C9149" s="5" t="str">
        <f>IFERROR(__xludf.DUMMYFUNCTION("GOOGLETRANSLATE(A9149,""en"",""hy"")"),"Ո՞վ է նկարել հայտնի «Գերնիկա» արվեստի գործը:")</f>
        <v>Ո՞վ է նկարել հայտնի «Գերնիկա» արվեստի գործը:</v>
      </c>
      <c r="D9149" s="6" t="str">
        <f>IFERROR(__xludf.DUMMYFUNCTION("GOOGLETRANSLATE(B9149,""en"",""hy"")"),"Պաբլո Պիկասո")</f>
        <v>Պաբլո Պիկասո</v>
      </c>
    </row>
    <row r="9150">
      <c r="A9150" s="5" t="s">
        <v>7949</v>
      </c>
      <c r="B9150" s="5" t="s">
        <v>7950</v>
      </c>
      <c r="C9150" s="5" t="str">
        <f>IFERROR(__xludf.DUMMYFUNCTION("GOOGLETRANSLATE(A9150,""en"",""hy"")"),"Քանի՞ ատամ ունի մեծահասակ մարդը:")</f>
        <v>Քանի՞ ատամ ունի մեծահասակ մարդը:</v>
      </c>
      <c r="D9150" s="6" t="str">
        <f>IFERROR(__xludf.DUMMYFUNCTION("GOOGLETRANSLATE(B9150,""en"",""hy"")"),"Մեծահասակ մարդը սովորաբար ունի 32 ատամ:")</f>
        <v>Մեծահասակ մարդը սովորաբար ունի 32 ատամ:</v>
      </c>
    </row>
    <row r="9151">
      <c r="A9151" s="5" t="s">
        <v>7509</v>
      </c>
      <c r="B9151" s="5" t="s">
        <v>7684</v>
      </c>
      <c r="C9151" s="5" t="str">
        <f>IFERROR(__xludf.DUMMYFUNCTION("GOOGLETRANSLATE(A9151,""en"",""hy"")"),"Ո՞րն է արծաթի քիմիական նշանը:")</f>
        <v>Ո՞րն է արծաթի քիմիական նշանը:</v>
      </c>
      <c r="D9151" s="6" t="str">
        <f>IFERROR(__xludf.DUMMYFUNCTION("GOOGLETRANSLATE(B9151,""en"",""hy"")"),"Արծաթի քիմիական խորհրդանիշն է Ag.")</f>
        <v>Արծաթի քիմիական խորհրդանիշն է Ag.</v>
      </c>
    </row>
    <row r="9152">
      <c r="A9152" s="5" t="s">
        <v>8263</v>
      </c>
      <c r="B9152" s="5" t="s">
        <v>7661</v>
      </c>
      <c r="C9152" s="5" t="str">
        <f>IFERROR(__xludf.DUMMYFUNCTION("GOOGLETRANSLATE(A9152,""en"",""hy"")"),"Ո՞վ է «Մեծն Գեթսբի» գրքի հեղինակը.")</f>
        <v>Ո՞վ է «Մեծն Գեթսբի» գրքի հեղինակը.</v>
      </c>
      <c r="D9152" s="6" t="str">
        <f>IFERROR(__xludf.DUMMYFUNCTION("GOOGLETRANSLATE(B9152,""en"",""hy"")"),"F. Scott Fitzgerald.")</f>
        <v>F. Scott Fitzgerald.</v>
      </c>
    </row>
    <row r="9153">
      <c r="A9153" s="5" t="s">
        <v>8059</v>
      </c>
      <c r="B9153" s="5" t="s">
        <v>10013</v>
      </c>
      <c r="C9153" s="5" t="str">
        <f>IFERROR(__xludf.DUMMYFUNCTION("GOOGLETRANSLATE(A9153,""en"",""hy"")"),"Ո՞րն է աշխարհի ամենամեծ ձուկը:")</f>
        <v>Ո՞րն է աշխարհի ամենամեծ ձուկը:</v>
      </c>
      <c r="D9153" s="6" t="str">
        <f>IFERROR(__xludf.DUMMYFUNCTION("GOOGLETRANSLATE(B9153,""en"",""hy"")"),"Կապույտ կետը աշխարհի ամենամեծ ձուկն է:")</f>
        <v>Կապույտ կետը աշխարհի ամենամեծ ձուկն է:</v>
      </c>
    </row>
    <row r="9154">
      <c r="A9154" s="5" t="s">
        <v>7780</v>
      </c>
      <c r="B9154" s="5" t="s">
        <v>2951</v>
      </c>
      <c r="C9154" s="5" t="str">
        <f>IFERROR(__xludf.DUMMYFUNCTION("GOOGLETRANSLATE(A9154,""en"",""hy"")"),"Ո՞րն է Կանադայի մայրաքաղաքը:")</f>
        <v>Ո՞րն է Կանադայի մայրաքաղաքը:</v>
      </c>
      <c r="D9154" s="6" t="str">
        <f>IFERROR(__xludf.DUMMYFUNCTION("GOOGLETRANSLATE(B9154,""en"",""hy"")"),"Օտտավա.")</f>
        <v>Օտտավա.</v>
      </c>
    </row>
    <row r="9155">
      <c r="A9155" s="5" t="s">
        <v>9940</v>
      </c>
      <c r="B9155" s="5" t="s">
        <v>8038</v>
      </c>
      <c r="C9155" s="5" t="str">
        <f>IFERROR(__xludf.DUMMYFUNCTION("GOOGLETRANSLATE(A9155,""en"",""hy"")"),"Ո՞վ է հորինել «Սիմֆոնիա թիվ 9» սիմֆոնիան:")</f>
        <v>Ո՞վ է հորինել «Սիմֆոնիա թիվ 9» սիմֆոնիան:</v>
      </c>
      <c r="D9155" s="6" t="str">
        <f>IFERROR(__xludf.DUMMYFUNCTION("GOOGLETRANSLATE(B9155,""en"",""hy"")"),"Լյուդվիգ վան Բեթհովեն.")</f>
        <v>Լյուդվիգ վան Բեթհովեն.</v>
      </c>
    </row>
    <row r="9156">
      <c r="A9156" s="5" t="s">
        <v>7691</v>
      </c>
      <c r="B9156" s="5" t="s">
        <v>7692</v>
      </c>
      <c r="C9156" s="5" t="str">
        <f>IFERROR(__xludf.DUMMYFUNCTION("GOOGLETRANSLATE(A9156,""en"",""hy"")"),"Ո՞րն է Աֆրիկայի ամենամեծ լիճը:")</f>
        <v>Ո՞րն է Աֆրիկայի ամենամեծ լիճը:</v>
      </c>
      <c r="D9156" s="6" t="str">
        <f>IFERROR(__xludf.DUMMYFUNCTION("GOOGLETRANSLATE(B9156,""en"",""hy"")"),"Վիկտորիա լիճ.")</f>
        <v>Վիկտորիա լիճ.</v>
      </c>
    </row>
    <row r="9157">
      <c r="A9157" s="5" t="s">
        <v>10014</v>
      </c>
      <c r="B9157" s="5" t="s">
        <v>10015</v>
      </c>
      <c r="C9157" s="5" t="str">
        <f>IFERROR(__xludf.DUMMYFUNCTION("GOOGLETRANSLATE(A9157,""en"",""hy"")"),"Քանի՞ տարր կա պարբերական աղյուսակում:")</f>
        <v>Քանի՞ տարր կա պարբերական աղյուսակում:</v>
      </c>
      <c r="D9157" s="6" t="str">
        <f>IFERROR(__xludf.DUMMYFUNCTION("GOOGLETRANSLATE(B9157,""en"",""hy"")"),"Պարբերական աղյուսակում կա 118 տարր:")</f>
        <v>Պարբերական աղյուսակում կա 118 տարր:</v>
      </c>
    </row>
    <row r="9158">
      <c r="A9158" s="5" t="s">
        <v>9250</v>
      </c>
      <c r="B9158" s="5" t="s">
        <v>8602</v>
      </c>
      <c r="C9158" s="5" t="str">
        <f>IFERROR(__xludf.DUMMYFUNCTION("GOOGLETRANSLATE(A9158,""en"",""hy"")"),"Ո՞վ է անդրաշխարհի հունական աստվածը:")</f>
        <v>Ո՞վ է անդրաշխարհի հունական աստվածը:</v>
      </c>
      <c r="D9158" s="6" t="str">
        <f>IFERROR(__xludf.DUMMYFUNCTION("GOOGLETRANSLATE(B9158,""en"",""hy"")"),"Հադես.")</f>
        <v>Հադես.</v>
      </c>
    </row>
    <row r="9159">
      <c r="A9159" s="5" t="s">
        <v>7903</v>
      </c>
      <c r="B9159" s="5" t="s">
        <v>8261</v>
      </c>
      <c r="C9159" s="5" t="str">
        <f>IFERROR(__xludf.DUMMYFUNCTION("GOOGLETRANSLATE(A9159,""en"",""hy"")"),"Ո՞րն է Մեքսիկայի մայրաքաղաքը:")</f>
        <v>Ո՞րն է Մեքսիկայի մայրաքաղաքը:</v>
      </c>
      <c r="D9159" s="6" t="str">
        <f>IFERROR(__xludf.DUMMYFUNCTION("GOOGLETRANSLATE(B9159,""en"",""hy"")"),"Մեխիկո Սիթի.")</f>
        <v>Մեխիկո Սիթի.</v>
      </c>
    </row>
    <row r="9160">
      <c r="A9160" s="5" t="s">
        <v>8318</v>
      </c>
      <c r="B9160" s="5" t="s">
        <v>7549</v>
      </c>
      <c r="C9160" s="5" t="str">
        <f>IFERROR(__xludf.DUMMYFUNCTION("GOOGLETRANSLATE(A9160,""en"",""hy"")"),"Ո՞վ է նկարել հայտնի «Մարգարտյա ականջօղով աղջիկը» ստեղծագործությունը:")</f>
        <v>Ո՞վ է նկարել հայտնի «Մարգարտյա ականջօղով աղջիկը» ստեղծագործությունը:</v>
      </c>
      <c r="D9160" s="6" t="str">
        <f>IFERROR(__xludf.DUMMYFUNCTION("GOOGLETRANSLATE(B9160,""en"",""hy"")"),"Յոհաննես Վերմեեր.")</f>
        <v>Յոհաննես Վերմեեր.</v>
      </c>
    </row>
    <row r="9161">
      <c r="A9161" s="5" t="s">
        <v>8180</v>
      </c>
      <c r="B9161" s="5" t="s">
        <v>7826</v>
      </c>
      <c r="C9161" s="5" t="str">
        <f>IFERROR(__xludf.DUMMYFUNCTION("GOOGLETRANSLATE(A9161,""en"",""hy"")"),"Ո՞րն է մարդու մարմնի ամենաերկար ոսկորը:")</f>
        <v>Ո՞րն է մարդու մարմնի ամենաերկար ոսկորը:</v>
      </c>
      <c r="D9161" s="6" t="str">
        <f>IFERROR(__xludf.DUMMYFUNCTION("GOOGLETRANSLATE(B9161,""en"",""hy"")"),"Ֆեմուրը.")</f>
        <v>Ֆեմուրը.</v>
      </c>
    </row>
    <row r="9162">
      <c r="A9162" s="5" t="s">
        <v>7875</v>
      </c>
      <c r="B9162" s="5" t="s">
        <v>9828</v>
      </c>
      <c r="C9162" s="5" t="str">
        <f>IFERROR(__xludf.DUMMYFUNCTION("GOOGLETRANSLATE(A9162,""en"",""hy"")"),"Ո՞րն է ազոտի քիմիական նշանը:")</f>
        <v>Ո՞րն է ազոտի քիմիական նշանը:</v>
      </c>
      <c r="D9162" s="6" t="str">
        <f>IFERROR(__xludf.DUMMYFUNCTION("GOOGLETRANSLATE(B9162,""en"",""hy"")"),"Ն")</f>
        <v>Ն</v>
      </c>
    </row>
    <row r="9163">
      <c r="A9163" s="5" t="s">
        <v>8370</v>
      </c>
      <c r="B9163" s="5" t="s">
        <v>7688</v>
      </c>
      <c r="C9163" s="5" t="str">
        <f>IFERROR(__xludf.DUMMYFUNCTION("GOOGLETRANSLATE(A9163,""en"",""hy"")"),"Ո՞վ է «Մատանիների տիրակալը» գրքի հեղինակը.")</f>
        <v>Ո՞վ է «Մատանիների տիրակալը» գրքի հեղինակը.</v>
      </c>
      <c r="D9163" s="6" t="str">
        <f>IFERROR(__xludf.DUMMYFUNCTION("GOOGLETRANSLATE(B9163,""en"",""hy"")"),"Ջ.Ռ.Ռ. Թոլքինը")</f>
        <v>Ջ.Ռ.Ռ. Թոլքինը</v>
      </c>
    </row>
    <row r="9164">
      <c r="A9164" s="5" t="s">
        <v>7526</v>
      </c>
      <c r="B9164" s="5" t="s">
        <v>8117</v>
      </c>
      <c r="C9164" s="5" t="str">
        <f>IFERROR(__xludf.DUMMYFUNCTION("GOOGLETRANSLATE(A9164,""en"",""hy"")"),"Ո՞րն է աշխարհի ամենամեծ կղզին:")</f>
        <v>Ո՞րն է աշխարհի ամենամեծ կղզին:</v>
      </c>
      <c r="D9164" s="6" t="str">
        <f>IFERROR(__xludf.DUMMYFUNCTION("GOOGLETRANSLATE(B9164,""en"",""hy"")"),"Գրենլանդիա")</f>
        <v>Գրենլանդիա</v>
      </c>
    </row>
    <row r="9165">
      <c r="A9165" s="5" t="s">
        <v>7502</v>
      </c>
      <c r="B9165" s="5" t="s">
        <v>7503</v>
      </c>
      <c r="C9165" s="5" t="str">
        <f>IFERROR(__xludf.DUMMYFUNCTION("GOOGLETRANSLATE(A9165,""en"",""hy"")"),"Քանի՞ կողմ ունի վեցանկյունը:")</f>
        <v>Քանի՞ կողմ ունի վեցանկյունը:</v>
      </c>
      <c r="D9165" s="6" t="str">
        <f>IFERROR(__xludf.DUMMYFUNCTION("GOOGLETRANSLATE(B9165,""en"",""hy"")"),"Վեցանկյունն ունի վեց կողմ:")</f>
        <v>Վեցանկյունն ունի վեց կողմ:</v>
      </c>
    </row>
    <row r="9166">
      <c r="A9166" s="5" t="s">
        <v>8136</v>
      </c>
      <c r="B9166" s="5" t="s">
        <v>10016</v>
      </c>
      <c r="C9166" s="5" t="str">
        <f>IFERROR(__xludf.DUMMYFUNCTION("GOOGLETRANSLATE(A9166,""en"",""hy"")"),"Ո՞րն է Ֆրանսիայի ազգային ծաղիկը:")</f>
        <v>Ո՞րն է Ֆրանսիայի ազգային ծաղիկը:</v>
      </c>
      <c r="D9166" s="6" t="str">
        <f>IFERROR(__xludf.DUMMYFUNCTION("GOOGLETRANSLATE(B9166,""en"",""hy"")"),"Ֆրանսիայի ազգային ծաղիկը շուշանն է։")</f>
        <v>Ֆրանսիայի ազգային ծաղիկը շուշանն է։</v>
      </c>
    </row>
    <row r="9167">
      <c r="A9167" s="5" t="s">
        <v>9937</v>
      </c>
      <c r="B9167" s="5" t="s">
        <v>9938</v>
      </c>
      <c r="C9167" s="5" t="str">
        <f>IFERROR(__xludf.DUMMYFUNCTION("GOOGLETRANSLATE(A9167,""en"",""hy"")"),"Ո՞վ է հունական արևի աստվածը:")</f>
        <v>Ո՞վ է հունական արևի աստվածը:</v>
      </c>
      <c r="D9167" s="6" t="str">
        <f>IFERROR(__xludf.DUMMYFUNCTION("GOOGLETRANSLATE(B9167,""en"",""hy"")"),"Արեգակի հունական աստվածը Ապոլոնն է:")</f>
        <v>Արեգակի հունական աստվածը Ապոլոնն է:</v>
      </c>
    </row>
    <row r="9168">
      <c r="A9168" s="5" t="s">
        <v>7626</v>
      </c>
      <c r="B9168" s="5" t="s">
        <v>6980</v>
      </c>
      <c r="C9168" s="5" t="str">
        <f>IFERROR(__xludf.DUMMYFUNCTION("GOOGLETRANSLATE(A9168,""en"",""hy"")"),"Ո՞րն է Գերմանիայի մայրաքաղաքը:")</f>
        <v>Ո՞րն է Գերմանիայի մայրաքաղաքը:</v>
      </c>
      <c r="D9168" s="6" t="str">
        <f>IFERROR(__xludf.DUMMYFUNCTION("GOOGLETRANSLATE(B9168,""en"",""hy"")"),"Բեռլին")</f>
        <v>Բեռլին</v>
      </c>
    </row>
    <row r="9169">
      <c r="A9169" s="5" t="s">
        <v>8264</v>
      </c>
      <c r="B9169" s="5" t="s">
        <v>7832</v>
      </c>
      <c r="C9169" s="5" t="str">
        <f>IFERROR(__xludf.DUMMYFUNCTION("GOOGLETRANSLATE(A9169,""en"",""hy"")"),"Ո՞վ է նկարել հայտնի «Վեներայի ծնունդը» ստեղծագործությունը:")</f>
        <v>Ո՞վ է նկարել հայտնի «Վեներայի ծնունդը» ստեղծագործությունը:</v>
      </c>
      <c r="D9169" s="6" t="str">
        <f>IFERROR(__xludf.DUMMYFUNCTION("GOOGLETRANSLATE(B9169,""en"",""hy"")"),"Սանդրո Բոտիչելի")</f>
        <v>Սանդրո Բոտիչելի</v>
      </c>
    </row>
    <row r="9170">
      <c r="A9170" s="5" t="s">
        <v>10017</v>
      </c>
      <c r="B9170" s="5" t="s">
        <v>10018</v>
      </c>
      <c r="C9170" s="5" t="str">
        <f>IFERROR(__xludf.DUMMYFUNCTION("GOOGLETRANSLATE(A9170,""en"",""hy"")"),"Քանի՞ աչք ունի մեղուն:")</f>
        <v>Քանի՞ աչք ունի մեղուն:</v>
      </c>
      <c r="D9170" s="6" t="str">
        <f>IFERROR(__xludf.DUMMYFUNCTION("GOOGLETRANSLATE(B9170,""en"",""hy"")"),"Մեղուն հինգ աչք ունի։")</f>
        <v>Մեղուն հինգ աչք ունի։</v>
      </c>
    </row>
    <row r="9171">
      <c r="A9171" s="5" t="s">
        <v>7809</v>
      </c>
      <c r="B9171" s="5" t="s">
        <v>8061</v>
      </c>
      <c r="C9171" s="5" t="str">
        <f>IFERROR(__xludf.DUMMYFUNCTION("GOOGLETRANSLATE(A9171,""en"",""hy"")"),"Ո՞րն է հելիումի քիմիական նշանը:")</f>
        <v>Ո՞րն է հելիումի քիմիական նշանը:</v>
      </c>
      <c r="D9171" s="6" t="str">
        <f>IFERROR(__xludf.DUMMYFUNCTION("GOOGLETRANSLATE(B9171,""en"",""hy"")"),"Հելիումի քիմիական նշանը Նա է:")</f>
        <v>Հելիումի քիմիական նշանը Նա է:</v>
      </c>
    </row>
    <row r="9172">
      <c r="A9172" s="5" t="s">
        <v>10019</v>
      </c>
      <c r="B9172" s="5" t="s">
        <v>7578</v>
      </c>
      <c r="C9172" s="5" t="str">
        <f>IFERROR(__xludf.DUMMYFUNCTION("GOOGLETRANSLATE(A9172,""en"",""hy"")"),"Ո՞վ է «Մոբի-Դիկ» գրքի հեղինակը։")</f>
        <v>Ո՞վ է «Մոբի-Դիկ» գրքի հեղինակը։</v>
      </c>
      <c r="D9172" s="6" t="str">
        <f>IFERROR(__xludf.DUMMYFUNCTION("GOOGLETRANSLATE(B9172,""en"",""hy"")"),"Հերման Մելվիլ.")</f>
        <v>Հերման Մելվիլ.</v>
      </c>
    </row>
    <row r="9173">
      <c r="A9173" s="5" t="s">
        <v>10020</v>
      </c>
      <c r="B9173" s="5" t="s">
        <v>10021</v>
      </c>
      <c r="C9173" s="5" t="str">
        <f>IFERROR(__xludf.DUMMYFUNCTION("GOOGLETRANSLATE(A9173,""en"",""hy"")"),"Ինչպե՞ս է կոչվում օվկիանոսի ամենախորը հատվածը:")</f>
        <v>Ինչպե՞ս է կոչվում օվկիանոսի ամենախորը հատվածը:</v>
      </c>
      <c r="D9173" s="6" t="str">
        <f>IFERROR(__xludf.DUMMYFUNCTION("GOOGLETRANSLATE(B9173,""en"",""hy"")"),"Օվկիանոսի ամենախոր հատվածը կոչվում է Մարիանյան խրամատ:")</f>
        <v>Օվկիանոսի ամենախոր հատվածը կոչվում է Մարիանյան խրամատ:</v>
      </c>
    </row>
    <row r="9174">
      <c r="A9174" s="5" t="s">
        <v>7553</v>
      </c>
      <c r="B9174" s="5" t="s">
        <v>7554</v>
      </c>
      <c r="C9174" s="5" t="str">
        <f>IFERROR(__xludf.DUMMYFUNCTION("GOOGLETRANSLATE(A9174,""en"",""hy"")"),"Ո՞րն է Հարավային Աֆրիկայի մայրաքաղաքը:")</f>
        <v>Ո՞րն է Հարավային Աֆրիկայի մայրաքաղաքը:</v>
      </c>
      <c r="D9174" s="6" t="str">
        <f>IFERROR(__xludf.DUMMYFUNCTION("GOOGLETRANSLATE(B9174,""en"",""hy"")"),"Պրետորիա.")</f>
        <v>Պրետորիա.</v>
      </c>
    </row>
    <row r="9175">
      <c r="A9175" s="5" t="s">
        <v>8897</v>
      </c>
      <c r="B9175" s="5" t="s">
        <v>10022</v>
      </c>
      <c r="C9175" s="5" t="str">
        <f>IFERROR(__xludf.DUMMYFUNCTION("GOOGLETRANSLATE(A9175,""en"",""hy"")"),"Ո՞վ է հորինել «Սիմֆոնիա թիվ 5» սիմֆոնիան:")</f>
        <v>Ո՞վ է հորինել «Սիմֆոնիա թիվ 5» սիմֆոնիան:</v>
      </c>
      <c r="D9175" s="6" t="str">
        <f>IFERROR(__xludf.DUMMYFUNCTION("GOOGLETRANSLATE(B9175,""en"",""hy"")"),"Լյուդվիգ վան Բեթհովեն")</f>
        <v>Լյուդվիգ վան Բեթհովեն</v>
      </c>
    </row>
    <row r="9176">
      <c r="A9176" s="5" t="s">
        <v>9184</v>
      </c>
      <c r="B9176" s="5" t="s">
        <v>9185</v>
      </c>
      <c r="C9176" s="5" t="str">
        <f>IFERROR(__xludf.DUMMYFUNCTION("GOOGLETRANSLATE(A9176,""en"",""hy"")"),"Ո՞րն է Հյուսիսային Ամերիկայի ամենամեծ լիճը:")</f>
        <v>Ո՞րն է Հյուսիսային Ամերիկայի ամենամեծ լիճը:</v>
      </c>
      <c r="D9176" s="6" t="str">
        <f>IFERROR(__xludf.DUMMYFUNCTION("GOOGLETRANSLATE(B9176,""en"",""hy"")"),"Հյուսիսային Ամերիկայի ամենամեծ լիճը Սուպերիոր լիճն է։")</f>
        <v>Հյուսիսային Ամերիկայի ամենամեծ լիճը Սուպերիոր լիճն է։</v>
      </c>
    </row>
    <row r="9177">
      <c r="A9177" s="5" t="s">
        <v>7964</v>
      </c>
      <c r="B9177" s="5" t="s">
        <v>9423</v>
      </c>
      <c r="C9177" s="5" t="str">
        <f>IFERROR(__xludf.DUMMYFUNCTION("GOOGLETRANSLATE(A9177,""en"",""hy"")"),"Քանի՞ խաղացող կա բեյսբոլի թիմում:")</f>
        <v>Քանի՞ խաղացող կա բեյսբոլի թիմում:</v>
      </c>
      <c r="D9177" s="6" t="str">
        <f>IFERROR(__xludf.DUMMYFUNCTION("GOOGLETRANSLATE(B9177,""en"",""hy"")"),"Բեյսբոլի թիմում ինը խաղացող կա:")</f>
        <v>Բեյսբոլի թիմում ինը խաղացող կա:</v>
      </c>
    </row>
    <row r="9178">
      <c r="A9178" s="5" t="s">
        <v>7817</v>
      </c>
      <c r="B9178" s="5" t="s">
        <v>7818</v>
      </c>
      <c r="C9178" s="5" t="str">
        <f>IFERROR(__xludf.DUMMYFUNCTION("GOOGLETRANSLATE(A9178,""en"",""hy"")"),"Ո՞րն է Կանադայի ազգային կենդանին:")</f>
        <v>Ո՞րն է Կանադայի ազգային կենդանին:</v>
      </c>
      <c r="D9178" s="6" t="str">
        <f>IFERROR(__xludf.DUMMYFUNCTION("GOOGLETRANSLATE(B9178,""en"",""hy"")"),"Կանադայի ազգային կենդանին կեղևն է:")</f>
        <v>Կանադայի ազգային կենդանին կեղևն է:</v>
      </c>
    </row>
    <row r="9179">
      <c r="A9179" s="5" t="s">
        <v>10023</v>
      </c>
      <c r="B9179" s="5" t="s">
        <v>10024</v>
      </c>
      <c r="C9179" s="5" t="str">
        <f>IFERROR(__xludf.DUMMYFUNCTION("GOOGLETRANSLATE(A9179,""en"",""hy"")"),"Ո՞վ է հունական որսի աստվածուհին:")</f>
        <v>Ո՞վ է հունական որսի աստվածուհին:</v>
      </c>
      <c r="D9179" s="6" t="str">
        <f>IFERROR(__xludf.DUMMYFUNCTION("GOOGLETRANSLATE(B9179,""en"",""hy"")"),"Արտեմիս.")</f>
        <v>Արտեմիս.</v>
      </c>
    </row>
    <row r="9180">
      <c r="A9180" s="5" t="s">
        <v>7893</v>
      </c>
      <c r="B9180" s="5" t="s">
        <v>7894</v>
      </c>
      <c r="C9180" s="5" t="str">
        <f>IFERROR(__xludf.DUMMYFUNCTION("GOOGLETRANSLATE(A9180,""en"",""hy"")"),"Ո՞րն է կալիումի քիմիական նշանը:")</f>
        <v>Ո՞րն է կալիումի քիմիական նշանը:</v>
      </c>
      <c r="D9180" s="6" t="str">
        <f>IFERROR(__xludf.DUMMYFUNCTION("GOOGLETRANSLATE(B9180,""en"",""hy"")"),"Կալիումի քիմիական նշանը Կ.")</f>
        <v>Կալիումի քիմիական նշանը Կ.</v>
      </c>
    </row>
    <row r="9181">
      <c r="A9181" s="5" t="s">
        <v>7780</v>
      </c>
      <c r="B9181" s="5" t="s">
        <v>3628</v>
      </c>
      <c r="C9181" s="5" t="str">
        <f>IFERROR(__xludf.DUMMYFUNCTION("GOOGLETRANSLATE(A9181,""en"",""hy"")"),"Ո՞րն է Կանադայի մայրաքաղաքը:")</f>
        <v>Ո՞րն է Կանադայի մայրաքաղաքը:</v>
      </c>
      <c r="D9181" s="6" t="str">
        <f>IFERROR(__xludf.DUMMYFUNCTION("GOOGLETRANSLATE(B9181,""en"",""hy"")"),"Կանադայի մայրաքաղաքը Օտտավան է։")</f>
        <v>Կանադայի մայրաքաղաքը Օտտավան է։</v>
      </c>
    </row>
    <row r="9182">
      <c r="A9182" s="5" t="s">
        <v>8876</v>
      </c>
      <c r="B9182" s="5" t="s">
        <v>7486</v>
      </c>
      <c r="C9182" s="5" t="str">
        <f>IFERROR(__xludf.DUMMYFUNCTION("GOOGLETRANSLATE(A9182,""en"",""hy"")"),"Ո՞վ է գրել Հարրի Փոթերի շարքը:")</f>
        <v>Ո՞վ է գրել Հարրի Փոթերի շարքը:</v>
      </c>
      <c r="D9182" s="6" t="str">
        <f>IFERROR(__xludf.DUMMYFUNCTION("GOOGLETRANSLATE(B9182,""en"",""hy"")"),"Ջ.Կ. Ռոուլինգ.")</f>
        <v>Ջ.Կ. Ռոուլինգ.</v>
      </c>
    </row>
    <row r="9183">
      <c r="A9183" s="5" t="s">
        <v>7461</v>
      </c>
      <c r="B9183" s="5" t="s">
        <v>7639</v>
      </c>
      <c r="C9183" s="5" t="str">
        <f>IFERROR(__xludf.DUMMYFUNCTION("GOOGLETRANSLATE(A9183,""en"",""hy"")"),"Ո՞րն է մարդու մարմնի ամենամեծ օրգանը:")</f>
        <v>Ո՞րն է մարդու մարմնի ամենամեծ օրգանը:</v>
      </c>
      <c r="D9183" s="6" t="str">
        <f>IFERROR(__xludf.DUMMYFUNCTION("GOOGLETRANSLATE(B9183,""en"",""hy"")"),"Մարդու մարմնի ամենամեծ օրգանը մաշկն է։")</f>
        <v>Մարդու մարմնի ամենամեծ օրգանը մաշկն է։</v>
      </c>
    </row>
    <row r="9184">
      <c r="A9184" s="5" t="s">
        <v>7637</v>
      </c>
      <c r="B9184" s="5" t="s">
        <v>7638</v>
      </c>
      <c r="C9184" s="5" t="str">
        <f>IFERROR(__xludf.DUMMYFUNCTION("GOOGLETRANSLATE(A9184,""en"",""hy"")"),"Ո՞րն է թթվածին տարրի խորհրդանիշը:")</f>
        <v>Ո՞րն է թթվածին տարրի խորհրդանիշը:</v>
      </c>
      <c r="D9184" s="6" t="str">
        <f>IFERROR(__xludf.DUMMYFUNCTION("GOOGLETRANSLATE(B9184,""en"",""hy"")"),"Թթվածին տարրի խորհրդանիշն է «O»:")</f>
        <v>Թթվածին տարրի խորհրդանիշն է «O»:</v>
      </c>
    </row>
    <row r="9185">
      <c r="A9185" s="5" t="s">
        <v>8518</v>
      </c>
      <c r="B9185" s="5" t="s">
        <v>8201</v>
      </c>
      <c r="C9185" s="5" t="str">
        <f>IFERROR(__xludf.DUMMYFUNCTION("GOOGLETRANSLATE(A9185,""en"",""hy"")"),"Ո՞ր երկրում են ծագել Օլիմպիական խաղերը:")</f>
        <v>Ո՞ր երկրում են ծագել Օլիմպիական խաղերը:</v>
      </c>
      <c r="D9185" s="6" t="str">
        <f>IFERROR(__xludf.DUMMYFUNCTION("GOOGLETRANSLATE(B9185,""en"",""hy"")"),"Հունաստան.")</f>
        <v>Հունաստան.</v>
      </c>
    </row>
    <row r="9186">
      <c r="A9186" s="5" t="s">
        <v>8105</v>
      </c>
      <c r="B9186" s="5" t="s">
        <v>7635</v>
      </c>
      <c r="C9186" s="5" t="str">
        <f>IFERROR(__xludf.DUMMYFUNCTION("GOOGLETRANSLATE(A9186,""en"",""hy"")"),"Ո՞վ էր առաջին մարդը, ով քայլեց լուսնի վրա:")</f>
        <v>Ո՞վ էր առաջին մարդը, ով քայլեց լուսնի վրա:</v>
      </c>
      <c r="D9186" s="6" t="str">
        <f>IFERROR(__xludf.DUMMYFUNCTION("GOOGLETRANSLATE(B9186,""en"",""hy"")"),"Նիլ Արմսթրոնգ.")</f>
        <v>Նիլ Արմսթրոնգ.</v>
      </c>
    </row>
    <row r="9187">
      <c r="A9187" s="5" t="s">
        <v>7632</v>
      </c>
      <c r="B9187" s="5" t="s">
        <v>7912</v>
      </c>
      <c r="C9187" s="5" t="str">
        <f>IFERROR(__xludf.DUMMYFUNCTION("GOOGLETRANSLATE(A9187,""en"",""hy"")"),"Ո՞րն է մեր արեգակնային համակարգի ամենամեծ մոլորակը:")</f>
        <v>Ո՞րն է մեր արեգակնային համակարգի ամենամեծ մոլորակը:</v>
      </c>
      <c r="D9187" s="6" t="str">
        <f>IFERROR(__xludf.DUMMYFUNCTION("GOOGLETRANSLATE(B9187,""en"",""hy"")"),"Յուպիտեր")</f>
        <v>Յուպիտեր</v>
      </c>
    </row>
    <row r="9188">
      <c r="A9188" s="5" t="s">
        <v>8241</v>
      </c>
      <c r="B9188" s="5" t="s">
        <v>7448</v>
      </c>
      <c r="C9188" s="5" t="str">
        <f>IFERROR(__xludf.DUMMYFUNCTION("GOOGLETRANSLATE(A9188,""en"",""hy"")"),"Ո՞ր նկարիչն է նկարել Մոնա Լիզան:")</f>
        <v>Ո՞ր նկարիչն է նկարել Մոնա Լիզան:</v>
      </c>
      <c r="D9188" s="6" t="str">
        <f>IFERROR(__xludf.DUMMYFUNCTION("GOOGLETRANSLATE(B9188,""en"",""hy"")"),"Լեոնարդո դա Վինչի.")</f>
        <v>Լեոնարդո դա Վինչի.</v>
      </c>
    </row>
    <row r="9189">
      <c r="A9189" s="5" t="s">
        <v>7939</v>
      </c>
      <c r="B9189" s="5" t="s">
        <v>9951</v>
      </c>
      <c r="C9189" s="5" t="str">
        <f>IFERROR(__xludf.DUMMYFUNCTION("GOOGLETRANSLATE(A9189,""en"",""hy"")"),"Քանի՞ մայրցամաք կա աշխարհում:")</f>
        <v>Քանի՞ մայրցամաք կա աշխարհում:</v>
      </c>
      <c r="D9189" s="6" t="str">
        <f>IFERROR(__xludf.DUMMYFUNCTION("GOOGLETRANSLATE(B9189,""en"",""hy"")"),"Աշխարհում կա 7 մայրցամաք.")</f>
        <v>Աշխարհում կա 7 մայրցամաք.</v>
      </c>
    </row>
    <row r="9190">
      <c r="A9190" s="5" t="s">
        <v>7483</v>
      </c>
      <c r="B9190" s="5" t="s">
        <v>7641</v>
      </c>
      <c r="C9190" s="5" t="str">
        <f>IFERROR(__xludf.DUMMYFUNCTION("GOOGLETRANSLATE(A9190,""en"",""hy"")"),"Ո՞րն է ջրի քիմիական բանաձևը:")</f>
        <v>Ո՞րն է ջրի քիմիական բանաձևը:</v>
      </c>
      <c r="D9190" s="6" t="str">
        <f>IFERROR(__xludf.DUMMYFUNCTION("GOOGLETRANSLATE(B9190,""en"",""hy"")"),"Ջրի քիմիական բանաձևը H2O է:")</f>
        <v>Ջրի քիմիական բանաձևը H2O է:</v>
      </c>
    </row>
    <row r="9191">
      <c r="A9191" s="5" t="s">
        <v>7479</v>
      </c>
      <c r="B9191" s="5" t="s">
        <v>1996</v>
      </c>
      <c r="C9191" s="5" t="str">
        <f>IFERROR(__xludf.DUMMYFUNCTION("GOOGLETRANSLATE(A9191,""en"",""hy"")"),"Ո՞վ է Միացյալ Թագավորության ներկայիս վարչապետը:")</f>
        <v>Ո՞վ է Միացյալ Թագավորության ներկայիս վարչապետը:</v>
      </c>
      <c r="D9191" s="6" t="str">
        <f>IFERROR(__xludf.DUMMYFUNCTION("GOOGLETRANSLATE(B9191,""en"",""hy"")"),"Բորիս Ջոնսոն.")</f>
        <v>Բորիս Ջոնսոն.</v>
      </c>
    </row>
    <row r="9192">
      <c r="A9192" s="5" t="s">
        <v>7463</v>
      </c>
      <c r="B9192" s="5" t="s">
        <v>7464</v>
      </c>
      <c r="C9192" s="5" t="str">
        <f>IFERROR(__xludf.DUMMYFUNCTION("GOOGLETRANSLATE(A9192,""en"",""hy"")"),"Ո՞րն է աշխարհի ամենաբարձր լեռը:")</f>
        <v>Ո՞րն է աշխարհի ամենաբարձր լեռը:</v>
      </c>
      <c r="D9192" s="6" t="str">
        <f>IFERROR(__xludf.DUMMYFUNCTION("GOOGLETRANSLATE(B9192,""en"",""hy"")"),"Էվերեստ լեռ.")</f>
        <v>Էվերեստ լեռ.</v>
      </c>
    </row>
    <row r="9193">
      <c r="A9193" s="5" t="s">
        <v>10025</v>
      </c>
      <c r="B9193" s="5" t="s">
        <v>10026</v>
      </c>
      <c r="C9193" s="5" t="str">
        <f>IFERROR(__xludf.DUMMYFUNCTION("GOOGLETRANSLATE(A9193,""en"",""hy"")"),"Աֆրիկյան ո՞ր երկիրն էր նախկինում հայտնի որպես Ռոդեզիա:")</f>
        <v>Աֆրիկյան ո՞ր երկիրն էր նախկինում հայտնի որպես Ռոդեզիա:</v>
      </c>
      <c r="D9193" s="6" t="str">
        <f>IFERROR(__xludf.DUMMYFUNCTION("GOOGLETRANSLATE(B9193,""en"",""hy"")"),"Զիմբաբվե.")</f>
        <v>Զիմբաբվե.</v>
      </c>
    </row>
    <row r="9194">
      <c r="A9194" s="5" t="s">
        <v>7534</v>
      </c>
      <c r="B9194" s="5" t="s">
        <v>7535</v>
      </c>
      <c r="C9194" s="5" t="str">
        <f>IFERROR(__xludf.DUMMYFUNCTION("GOOGLETRANSLATE(A9194,""en"",""hy"")"),"Ո՞վ է հորինել հեռախոսը:")</f>
        <v>Ո՞վ է հորինել հեռախոսը:</v>
      </c>
      <c r="D9194" s="6" t="str">
        <f>IFERROR(__xludf.DUMMYFUNCTION("GOOGLETRANSLATE(B9194,""en"",""hy"")"),"Ալեքսանդր Գրեհեմ Բել.")</f>
        <v>Ալեքսանդր Գրեհեմ Բել.</v>
      </c>
    </row>
    <row r="9195">
      <c r="A9195" s="5" t="s">
        <v>8414</v>
      </c>
      <c r="B9195" s="5" t="s">
        <v>8163</v>
      </c>
      <c r="C9195" s="5" t="str">
        <f>IFERROR(__xludf.DUMMYFUNCTION("GOOGLETRANSLATE(A9195,""en"",""hy"")"),"Քանի՞ խաղացող կա բասկետբոլի թիմում:")</f>
        <v>Քանի՞ խաղացող կա բասկետբոլի թիմում:</v>
      </c>
      <c r="D9195" s="6" t="str">
        <f>IFERROR(__xludf.DUMMYFUNCTION("GOOGLETRANSLATE(B9195,""en"",""hy"")"),"Բասկետբոլի թիմում 5 խաղացող կա։")</f>
        <v>Բասկետբոլի թիմում 5 խաղացող կա։</v>
      </c>
    </row>
    <row r="9196">
      <c r="A9196" s="5" t="s">
        <v>8372</v>
      </c>
      <c r="B9196" s="5" t="s">
        <v>10027</v>
      </c>
      <c r="C9196" s="5" t="str">
        <f>IFERROR(__xludf.DUMMYFUNCTION("GOOGLETRANSLATE(A9196,""en"",""hy"")"),"Ո՞րն է Ճապոնիայի ազգային կենդանին:")</f>
        <v>Ո՞րն է Ճապոնիայի ազգային կենդանին:</v>
      </c>
      <c r="D9196" s="6" t="str">
        <f>IFERROR(__xludf.DUMMYFUNCTION("GOOGLETRANSLATE(B9196,""en"",""hy"")"),"Ճապոնիայի ազգային կենդանին կանաչ փասիանն է (Phasianus versicolor):")</f>
        <v>Ճապոնիայի ազգային կենդանին կանաչ փասիանն է (Phasianus versicolor):</v>
      </c>
    </row>
    <row r="9197">
      <c r="A9197" s="5" t="s">
        <v>7452</v>
      </c>
      <c r="B9197" s="5" t="s">
        <v>7453</v>
      </c>
      <c r="C9197" s="5" t="str">
        <f>IFERROR(__xludf.DUMMYFUNCTION("GOOGLETRANSLATE(A9197,""en"",""hy"")"),"Ո՞րն է ոսկու քիմիական նշանը:")</f>
        <v>Ո՞րն է ոսկու քիմիական նշանը:</v>
      </c>
      <c r="D9197" s="6" t="str">
        <f>IFERROR(__xludf.DUMMYFUNCTION("GOOGLETRANSLATE(B9197,""en"",""hy"")"),"Ոսկու քիմիական նշանը Au-ն է:")</f>
        <v>Ոսկու քիմիական նշանը Au-ն է:</v>
      </c>
    </row>
    <row r="9198">
      <c r="A9198" s="5" t="s">
        <v>7698</v>
      </c>
      <c r="B9198" s="5" t="s">
        <v>7466</v>
      </c>
      <c r="C9198" s="5" t="str">
        <f>IFERROR(__xludf.DUMMYFUNCTION("GOOGLETRANSLATE(A9198,""en"",""hy"")"),"Ո՞վ է գրել «Հպարտություն և նախապաշարմունք» վեպը:")</f>
        <v>Ո՞վ է գրել «Հպարտություն և նախապաշարմունք» վեպը:</v>
      </c>
      <c r="D9198" s="6" t="str">
        <f>IFERROR(__xludf.DUMMYFUNCTION("GOOGLETRANSLATE(B9198,""en"",""hy"")"),"Ջեյն Օսթին")</f>
        <v>Ջեյն Օսթին</v>
      </c>
    </row>
    <row r="9199">
      <c r="A9199" s="5" t="s">
        <v>8643</v>
      </c>
      <c r="B9199" s="5" t="s">
        <v>7712</v>
      </c>
      <c r="C9199" s="5" t="str">
        <f>IFERROR(__xludf.DUMMYFUNCTION("GOOGLETRANSLATE(A9199,""en"",""hy"")"),"Ո՞ր քաղաքն է հայտնի որպես «Մեծ խնձոր»:")</f>
        <v>Ո՞ր քաղաքն է հայտնի որպես «Մեծ խնձոր»:</v>
      </c>
      <c r="D9199" s="6" t="str">
        <f>IFERROR(__xludf.DUMMYFUNCTION("GOOGLETRANSLATE(B9199,""en"",""hy"")"),"Նյու Յորք քաղաք.")</f>
        <v>Նյու Յորք քաղաք.</v>
      </c>
    </row>
    <row r="9200">
      <c r="A9200" s="5" t="s">
        <v>7885</v>
      </c>
      <c r="B9200" s="5" t="s">
        <v>5553</v>
      </c>
      <c r="C9200" s="5" t="str">
        <f>IFERROR(__xludf.DUMMYFUNCTION("GOOGLETRANSLATE(A9200,""en"",""hy"")"),"Ո՞րն է Հարավային Աֆրիկայի արժույթը:")</f>
        <v>Ո՞րն է Հարավային Աֆրիկայի արժույթը:</v>
      </c>
      <c r="D9200" s="6" t="str">
        <f>IFERROR(__xludf.DUMMYFUNCTION("GOOGLETRANSLATE(B9200,""en"",""hy"")"),"Հարավային Աֆրիկայի արժույթը հարավաֆրիկյան ռանդն է։")</f>
        <v>Հարավային Աֆրիկայի արժույթը հարավաֆրիկյան ռանդն է։</v>
      </c>
    </row>
    <row r="9201">
      <c r="A9201" s="5" t="s">
        <v>7469</v>
      </c>
      <c r="B9201" s="7">
        <v>1945.0</v>
      </c>
      <c r="C9201" s="5" t="str">
        <f>IFERROR(__xludf.DUMMYFUNCTION("GOOGLETRANSLATE(A9201,""en"",""hy"")"),"Ո՞ր տարում ավարտվեց Երկրորդ համաշխարհային պատերազմը:")</f>
        <v>Ո՞ր տարում ավարտվեց Երկրորդ համաշխարհային պատերազմը:</v>
      </c>
      <c r="D9201" s="6" t="str">
        <f>IFERROR(__xludf.DUMMYFUNCTION("GOOGLETRANSLATE(B9201,""en"",""hy"")"),"1945 թ")</f>
        <v>1945 թ</v>
      </c>
    </row>
    <row r="9202">
      <c r="A9202" s="5" t="s">
        <v>7504</v>
      </c>
      <c r="B9202" s="5" t="s">
        <v>7505</v>
      </c>
      <c r="C9202" s="5" t="str">
        <f>IFERROR(__xludf.DUMMYFUNCTION("GOOGLETRANSLATE(A9202,""en"",""hy"")"),"Ո՞վ է Միացյալ Նահանգների ներկայիս նախագահը:")</f>
        <v>Ո՞վ է Միացյալ Նահանգների ներկայիս նախագահը:</v>
      </c>
      <c r="D9202" s="6" t="str">
        <f>IFERROR(__xludf.DUMMYFUNCTION("GOOGLETRANSLATE(B9202,""en"",""hy"")"),"Ջո Բայդեն.")</f>
        <v>Ջո Բայդեն.</v>
      </c>
    </row>
    <row r="9203">
      <c r="A9203" s="5" t="s">
        <v>8062</v>
      </c>
      <c r="B9203" s="5" t="s">
        <v>8063</v>
      </c>
      <c r="C9203" s="5" t="str">
        <f>IFERROR(__xludf.DUMMYFUNCTION("GOOGLETRANSLATE(A9203,""en"",""hy"")"),"Քանի՞ խաղացող կա ֆուտբոլային թիմում:")</f>
        <v>Քանի՞ խաղացող կա ֆուտբոլային թիմում:</v>
      </c>
      <c r="D9203" s="6" t="str">
        <f>IFERROR(__xludf.DUMMYFUNCTION("GOOGLETRANSLATE(B9203,""en"",""hy"")"),"Ֆուտբոլային թիմում կա 11 խաղացող։")</f>
        <v>Ֆուտբոլային թիմում կա 11 խաղացող։</v>
      </c>
    </row>
    <row r="9204">
      <c r="A9204" s="5" t="s">
        <v>7645</v>
      </c>
      <c r="B9204" s="5" t="s">
        <v>7646</v>
      </c>
      <c r="C9204" s="5" t="str">
        <f>IFERROR(__xludf.DUMMYFUNCTION("GOOGLETRANSLATE(A9204,""en"",""hy"")"),"Ո՞րն է Երկրի ամենամեծ օվկիանոսը:")</f>
        <v>Ո՞րն է Երկրի ամենամեծ օվկիանոսը:</v>
      </c>
      <c r="D9204" s="6" t="str">
        <f>IFERROR(__xludf.DUMMYFUNCTION("GOOGLETRANSLATE(B9204,""en"",""hy"")"),"Խաղաղ օվկիանոս.")</f>
        <v>Խաղաղ օվկիանոս.</v>
      </c>
    </row>
    <row r="9205">
      <c r="A9205" s="5" t="s">
        <v>8246</v>
      </c>
      <c r="B9205" s="5" t="s">
        <v>7492</v>
      </c>
      <c r="C9205" s="5" t="str">
        <f>IFERROR(__xludf.DUMMYFUNCTION("GOOGLETRANSLATE(A9205,""en"",""hy"")"),"Ո՞վ է նկարել հայտնի «Աստղային գիշերը» արվեստի գործը:")</f>
        <v>Ո՞վ է նկարել հայտնի «Աստղային գիշերը» արվեստի գործը:</v>
      </c>
      <c r="D9205" s="6" t="str">
        <f>IFERROR(__xludf.DUMMYFUNCTION("GOOGLETRANSLATE(B9205,""en"",""hy"")"),"Վինսենթ վան Գոգ")</f>
        <v>Վինսենթ վան Գոգ</v>
      </c>
    </row>
    <row r="9206">
      <c r="A9206" s="5" t="s">
        <v>7842</v>
      </c>
      <c r="B9206" s="5" t="s">
        <v>7671</v>
      </c>
      <c r="C9206" s="5" t="str">
        <f>IFERROR(__xludf.DUMMYFUNCTION("GOOGLETRANSLATE(A9206,""en"",""hy"")"),"Ո՞րն է աշխարհի ամենաերկար գետը:")</f>
        <v>Ո՞րն է աշխարհի ամենաերկար գետը:</v>
      </c>
      <c r="D9206" s="6" t="str">
        <f>IFERROR(__xludf.DUMMYFUNCTION("GOOGLETRANSLATE(B9206,""en"",""hy"")"),"Նեղոս գետ.")</f>
        <v>Նեղոս գետ.</v>
      </c>
    </row>
    <row r="9207">
      <c r="A9207" s="5" t="s">
        <v>7779</v>
      </c>
      <c r="B9207" s="5" t="s">
        <v>8590</v>
      </c>
      <c r="C9207" s="5" t="str">
        <f>IFERROR(__xludf.DUMMYFUNCTION("GOOGLETRANSLATE(A9207,""en"",""hy"")"),"Ո՞ր մոլորակն է հայտնի որպես «Կարմիր մոլորակ»:")</f>
        <v>Ո՞ր մոլորակն է հայտնի որպես «Կարմիր մոլորակ»:</v>
      </c>
      <c r="D9207" s="6" t="str">
        <f>IFERROR(__xludf.DUMMYFUNCTION("GOOGLETRANSLATE(B9207,""en"",""hy"")"),"Մարս")</f>
        <v>Մարս</v>
      </c>
    </row>
    <row r="9208">
      <c r="A9208" s="5" t="s">
        <v>7644</v>
      </c>
      <c r="B9208" s="5" t="s">
        <v>7541</v>
      </c>
      <c r="C9208" s="5" t="str">
        <f>IFERROR(__xludf.DUMMYFUNCTION("GOOGLETRANSLATE(A9208,""en"",""hy"")"),"Ո՞վ է «Սպանել ծաղրող թռչունին» գրքի հեղինակը.")</f>
        <v>Ո՞վ է «Սպանել ծաղրող թռչունին» գրքի հեղինակը.</v>
      </c>
      <c r="D9208" s="6" t="str">
        <f>IFERROR(__xludf.DUMMYFUNCTION("GOOGLETRANSLATE(B9208,""en"",""hy"")"),"Հարփեր Լի.")</f>
        <v>Հարփեր Լի.</v>
      </c>
    </row>
    <row r="9209">
      <c r="A9209" s="5" t="s">
        <v>7845</v>
      </c>
      <c r="B9209" s="5" t="s">
        <v>3533</v>
      </c>
      <c r="C9209" s="5" t="str">
        <f>IFERROR(__xludf.DUMMYFUNCTION("GOOGLETRANSLATE(A9209,""en"",""hy"")"),"Ո՞րն է Բրազիլիայի պաշտոնական լեզուն:")</f>
        <v>Ո՞րն է Բրազիլիայի պաշտոնական լեզուն:</v>
      </c>
      <c r="D9209" s="6" t="str">
        <f>IFERROR(__xludf.DUMMYFUNCTION("GOOGLETRANSLATE(B9209,""en"",""hy"")"),"Բրազիլիայի պաշտոնական լեզուն պորտուգալերենն է։")</f>
        <v>Բրազիլիայի պաշտոնական լեզուն պորտուգալերենն է։</v>
      </c>
    </row>
    <row r="9210">
      <c r="A9210" s="5" t="s">
        <v>7665</v>
      </c>
      <c r="B9210" s="5" t="s">
        <v>7781</v>
      </c>
      <c r="C9210" s="5" t="str">
        <f>IFERROR(__xludf.DUMMYFUNCTION("GOOGLETRANSLATE(A9210,""en"",""hy"")"),"Ո՞րն է նատրիումի քիմիական նշանը:")</f>
        <v>Ո՞րն է նատրիումի քիմիական նշանը:</v>
      </c>
      <c r="D9210" s="6" t="str">
        <f>IFERROR(__xludf.DUMMYFUNCTION("GOOGLETRANSLATE(B9210,""en"",""hy"")"),"Նատրիումի քիմիական նշանը Na է:")</f>
        <v>Նատրիումի քիմիական նշանը Na է:</v>
      </c>
    </row>
    <row r="9211">
      <c r="A9211" s="5" t="s">
        <v>8051</v>
      </c>
      <c r="B9211" s="5" t="s">
        <v>8052</v>
      </c>
      <c r="C9211" s="5" t="str">
        <f>IFERROR(__xludf.DUMMYFUNCTION("GOOGLETRANSLATE(A9211,""en"",""hy"")"),"Ո՞վ է Microsoft-ի հիմնադիրը:")</f>
        <v>Ո՞վ է Microsoft-ի հիմնադիրը:</v>
      </c>
      <c r="D9211" s="6" t="str">
        <f>IFERROR(__xludf.DUMMYFUNCTION("GOOGLETRANSLATE(B9211,""en"",""hy"")"),"Բիլ Գեյթս.")</f>
        <v>Բիլ Գեյթս.</v>
      </c>
    </row>
    <row r="9212">
      <c r="A9212" s="5" t="s">
        <v>8245</v>
      </c>
      <c r="B9212" s="5" t="s">
        <v>9874</v>
      </c>
      <c r="C9212" s="5" t="str">
        <f>IFERROR(__xludf.DUMMYFUNCTION("GOOGLETRANSLATE(A9212,""en"",""hy"")"),"Ո՞ր քաղաքում է գտնվում Էյֆելյան աշտարակը:")</f>
        <v>Ո՞ր քաղաքում է գտնվում Էյֆելյան աշտարակը:</v>
      </c>
      <c r="D9212" s="6" t="str">
        <f>IFERROR(__xludf.DUMMYFUNCTION("GOOGLETRANSLATE(B9212,""en"",""hy"")"),"Էյֆելյան աշտարակը գտնվում է Փարիզում։")</f>
        <v>Էյֆելյան աշտարակը գտնվում է Փարիզում։</v>
      </c>
    </row>
    <row r="9213">
      <c r="A9213" s="5" t="s">
        <v>7471</v>
      </c>
      <c r="B9213" s="5" t="s">
        <v>7472</v>
      </c>
      <c r="C9213" s="5" t="str">
        <f>IFERROR(__xludf.DUMMYFUNCTION("GOOGLETRANSLATE(A9213,""en"",""hy"")"),"Ո՞րն է Երկրի ամենամեծ կենդանին:")</f>
        <v>Ո՞րն է Երկրի ամենամեծ կենդանին:</v>
      </c>
      <c r="D9213" s="6" t="str">
        <f>IFERROR(__xludf.DUMMYFUNCTION("GOOGLETRANSLATE(B9213,""en"",""hy"")"),"Կապույտ կետը.")</f>
        <v>Կապույտ կետը.</v>
      </c>
    </row>
    <row r="9214">
      <c r="A9214" s="5" t="s">
        <v>7588</v>
      </c>
      <c r="B9214" s="5" t="s">
        <v>1958</v>
      </c>
      <c r="C9214" s="5" t="str">
        <f>IFERROR(__xludf.DUMMYFUNCTION("GOOGLETRANSLATE(A9214,""en"",""hy"")"),"Ո՞ր երկիրն է հայտնի իր կակաչներով:")</f>
        <v>Ո՞ր երկիրն է հայտնի իր կակաչներով:</v>
      </c>
      <c r="D9214" s="6" t="str">
        <f>IFERROR(__xludf.DUMMYFUNCTION("GOOGLETRANSLATE(B9214,""en"",""hy"")"),"Նիդեռլանդներ.")</f>
        <v>Նիդեռլանդներ.</v>
      </c>
    </row>
    <row r="9215">
      <c r="A9215" s="5" t="s">
        <v>10028</v>
      </c>
      <c r="B9215" s="5" t="s">
        <v>10029</v>
      </c>
      <c r="C9215" s="5" t="str">
        <f>IFERROR(__xludf.DUMMYFUNCTION("GOOGLETRANSLATE(A9215,""en"",""hy"")"),"Ո՞վ է արժանացել ֆիզիկայի Նոբելյան մրցանակին 2020 թվականին:")</f>
        <v>Ո՞վ է արժանացել ֆիզիկայի Նոբելյան մրցանակին 2020 թվականին:</v>
      </c>
      <c r="D9215" s="6" t="str">
        <f>IFERROR(__xludf.DUMMYFUNCTION("GOOGLETRANSLATE(B9215,""en"",""hy"")"),"Ռոջեր Պենրոուզ, Ռայնհարդ Գենզել և Անդրեա Գեզ:")</f>
        <v>Ռոջեր Պենրոուզ, Ռայնհարդ Գենզել և Անդրեա Գեզ:</v>
      </c>
    </row>
    <row r="9216">
      <c r="A9216" s="5" t="s">
        <v>7513</v>
      </c>
      <c r="B9216" s="5" t="s">
        <v>7783</v>
      </c>
      <c r="C9216" s="5" t="str">
        <f>IFERROR(__xludf.DUMMYFUNCTION("GOOGLETRANSLATE(A9216,""en"",""hy"")"),"Ո՞րն է աշխարհի ամենամեծ անապատը:")</f>
        <v>Ո՞րն է աշխարհի ամենամեծ անապատը:</v>
      </c>
      <c r="D9216" s="6" t="str">
        <f>IFERROR(__xludf.DUMMYFUNCTION("GOOGLETRANSLATE(B9216,""en"",""hy"")"),"Սահարա անապատ.")</f>
        <v>Սահարա անապատ.</v>
      </c>
    </row>
    <row r="9217">
      <c r="A9217" s="5" t="s">
        <v>10030</v>
      </c>
      <c r="B9217" s="5" t="s">
        <v>2790</v>
      </c>
      <c r="C9217" s="5" t="str">
        <f>IFERROR(__xludf.DUMMYFUNCTION("GOOGLETRANSLATE(A9217,""en"",""hy"")"),"Ո՞ր երկիրն է հայտնի Մեծ պարիսպով:")</f>
        <v>Ո՞ր երկիրն է հայտնի Մեծ պարիսպով:</v>
      </c>
      <c r="D9217" s="6" t="str">
        <f>IFERROR(__xludf.DUMMYFUNCTION("GOOGLETRANSLATE(B9217,""en"",""hy"")"),"Չինաստան.")</f>
        <v>Չինաստան.</v>
      </c>
    </row>
    <row r="9218">
      <c r="A9218" s="5" t="s">
        <v>7528</v>
      </c>
      <c r="B9218" s="5" t="s">
        <v>9231</v>
      </c>
      <c r="C9218" s="5" t="str">
        <f>IFERROR(__xludf.DUMMYFUNCTION("GOOGLETRANSLATE(A9218,""en"",""hy"")"),"Ո՞վ է Գերմանիայի ներկայիս կանցլերը:")</f>
        <v>Ո՞վ է Գերմանիայի ներկայիս կանցլերը:</v>
      </c>
      <c r="D9218" s="6" t="str">
        <f>IFERROR(__xludf.DUMMYFUNCTION("GOOGLETRANSLATE(B9218,""en"",""hy"")"),"Գերմանիայի ներկայիս կանցլերն Անգելա Մերկելն է։")</f>
        <v>Գերմանիայի ներկայիս կանցլերն Անգելա Մերկելն է։</v>
      </c>
    </row>
    <row r="9219">
      <c r="A9219" s="5" t="s">
        <v>7589</v>
      </c>
      <c r="B9219" s="5" t="s">
        <v>7545</v>
      </c>
      <c r="C9219" s="5" t="str">
        <f>IFERROR(__xludf.DUMMYFUNCTION("GOOGLETRANSLATE(A9219,""en"",""hy"")"),"Ո՞րն է Իտալիայի մայրաքաղաքը:")</f>
        <v>Ո՞րն է Իտալիայի մայրաքաղաքը:</v>
      </c>
      <c r="D9219" s="6" t="str">
        <f>IFERROR(__xludf.DUMMYFUNCTION("GOOGLETRANSLATE(B9219,""en"",""hy"")"),"Հռոմ.")</f>
        <v>Հռոմ.</v>
      </c>
    </row>
    <row r="9220">
      <c r="A9220" s="5" t="s">
        <v>8300</v>
      </c>
      <c r="B9220" s="5" t="s">
        <v>8301</v>
      </c>
      <c r="C9220" s="5" t="str">
        <f>IFERROR(__xludf.DUMMYFUNCTION("GOOGLETRANSLATE(A9220,""en"",""hy"")"),"Ո՞ր մոլորակն է ամենամոտն արեգակին:")</f>
        <v>Ո՞ր մոլորակն է ամենամոտն արեգակին:</v>
      </c>
      <c r="D9220" s="6" t="str">
        <f>IFERROR(__xludf.DUMMYFUNCTION("GOOGLETRANSLATE(B9220,""en"",""hy"")"),"Մերկուրի.")</f>
        <v>Մերկուրի.</v>
      </c>
    </row>
    <row r="9221">
      <c r="A9221" s="5" t="s">
        <v>8108</v>
      </c>
      <c r="B9221" s="5" t="s">
        <v>7556</v>
      </c>
      <c r="C9221" s="5" t="str">
        <f>IFERROR(__xludf.DUMMYFUNCTION("GOOGLETRANSLATE(A9221,""en"",""hy"")"),"Ո՞ր հայտնի գիտնականն է մշակել հարաբերականության տեսությունը:")</f>
        <v>Ո՞ր հայտնի գիտնականն է մշակել հարաբերականության տեսությունը:</v>
      </c>
      <c r="D9221" s="6" t="str">
        <f>IFERROR(__xludf.DUMMYFUNCTION("GOOGLETRANSLATE(B9221,""en"",""hy"")"),"Albert Einstein.")</f>
        <v>Albert Einstein.</v>
      </c>
    </row>
    <row r="9222">
      <c r="A9222" s="5" t="s">
        <v>7640</v>
      </c>
      <c r="B9222" s="5" t="s">
        <v>1016</v>
      </c>
      <c r="C9222" s="5" t="str">
        <f>IFERROR(__xludf.DUMMYFUNCTION("GOOGLETRANSLATE(A9222,""en"",""hy"")"),"Ո՞վ է գրել «Ռոմեո և Ջուլիետ» պիեսը:")</f>
        <v>Ո՞վ է գրել «Ռոմեո և Ջուլիետ» պիեսը:</v>
      </c>
      <c r="D9222" s="6" t="str">
        <f>IFERROR(__xludf.DUMMYFUNCTION("GOOGLETRANSLATE(B9222,""en"",""hy"")"),"Ուիլյամ Շեքսպիր.")</f>
        <v>Ուիլյամ Շեքսպիր.</v>
      </c>
    </row>
    <row r="9223">
      <c r="A9223" s="5" t="s">
        <v>7960</v>
      </c>
      <c r="B9223" s="5" t="s">
        <v>10031</v>
      </c>
      <c r="C9223" s="5" t="str">
        <f>IFERROR(__xludf.DUMMYFUNCTION("GOOGLETRANSLATE(A9223,""en"",""hy"")"),"Ո՞ր տարում է խորտակվել Տիտանիկը:")</f>
        <v>Ո՞ր տարում է խորտակվել Տիտանիկը:</v>
      </c>
      <c r="D9223" s="6" t="str">
        <f>IFERROR(__xludf.DUMMYFUNCTION("GOOGLETRANSLATE(B9223,""en"",""hy"")"),"Տիտանիկը խորտակվեց 1912 թվականին։")</f>
        <v>Տիտանիկը խորտակվեց 1912 թվականին։</v>
      </c>
    </row>
    <row r="9224">
      <c r="A9224" s="5" t="s">
        <v>7467</v>
      </c>
      <c r="B9224" s="5" t="s">
        <v>7766</v>
      </c>
      <c r="C9224" s="5" t="str">
        <f>IFERROR(__xludf.DUMMYFUNCTION("GOOGLETRANSLATE(A9224,""en"",""hy"")"),"Ո՞րն է Ճապոնիայի արժույթը:")</f>
        <v>Ո՞րն է Ճապոնիայի արժույթը:</v>
      </c>
      <c r="D9224" s="6" t="str">
        <f>IFERROR(__xludf.DUMMYFUNCTION("GOOGLETRANSLATE(B9224,""en"",""hy"")"),"Ճապոնիայի արժույթը ճապոնական իենն է։")</f>
        <v>Ճապոնիայի արժույթը ճապոնական իենն է։</v>
      </c>
    </row>
    <row r="9225">
      <c r="A9225" s="5" t="s">
        <v>7575</v>
      </c>
      <c r="B9225" s="5" t="s">
        <v>7576</v>
      </c>
      <c r="C9225" s="5" t="str">
        <f>IFERROR(__xludf.DUMMYFUNCTION("GOOGLETRANSLATE(A9225,""en"",""hy"")"),"Քանի՞ գույն կա ծիածանի մեջ:")</f>
        <v>Քանի՞ գույն կա ծիածանի մեջ:</v>
      </c>
      <c r="D9225" s="6" t="str">
        <f>IFERROR(__xludf.DUMMYFUNCTION("GOOGLETRANSLATE(B9225,""en"",""hy"")"),"Ծիածանի մեջ յոթ գույն կա:")</f>
        <v>Ծիածանի մեջ յոթ գույն կա:</v>
      </c>
    </row>
    <row r="9226">
      <c r="A9226" s="5" t="s">
        <v>7473</v>
      </c>
      <c r="B9226" s="5" t="s">
        <v>7474</v>
      </c>
      <c r="C9226" s="5" t="str">
        <f>IFERROR(__xludf.DUMMYFUNCTION("GOOGLETRANSLATE(A9226,""en"",""hy"")"),"Ո՞վ է նկարել Սիքստինյան կապելլայի առաստաղը:")</f>
        <v>Ո՞վ է նկարել Սիքստինյան կապելլայի առաստաղը:</v>
      </c>
      <c r="D9226" s="6" t="str">
        <f>IFERROR(__xludf.DUMMYFUNCTION("GOOGLETRANSLATE(B9226,""en"",""hy"")"),"Միքելանջելո.")</f>
        <v>Միքելանջելո.</v>
      </c>
    </row>
    <row r="9227">
      <c r="A9227" s="5" t="s">
        <v>7480</v>
      </c>
      <c r="B9227" s="5" t="s">
        <v>7481</v>
      </c>
      <c r="C9227" s="5" t="str">
        <f>IFERROR(__xludf.DUMMYFUNCTION("GOOGLETRANSLATE(A9227,""en"",""hy"")"),"Ո՞րն է Միացյալ Նահանգների ազգային թռչունը:")</f>
        <v>Ո՞րն է Միացյալ Նահանգների ազգային թռչունը:</v>
      </c>
      <c r="D9227" s="6" t="str">
        <f>IFERROR(__xludf.DUMMYFUNCTION("GOOGLETRANSLATE(B9227,""en"",""hy"")"),"Միացյալ Նահանգների ազգային թռչունը ճաղատ արծիվն է։")</f>
        <v>Միացյալ Նահանգների ազգային թռչունը ճաղատ արծիվն է։</v>
      </c>
    </row>
    <row r="9228">
      <c r="A9228" s="5" t="s">
        <v>7915</v>
      </c>
      <c r="B9228" s="5" t="s">
        <v>7916</v>
      </c>
      <c r="C9228" s="5" t="str">
        <f>IFERROR(__xludf.DUMMYFUNCTION("GOOGLETRANSLATE(A9228,""en"",""hy"")"),"Քանի՞ ոսկոր կա մարդու մարմնում:")</f>
        <v>Քանի՞ ոսկոր կա մարդու մարմնում:</v>
      </c>
      <c r="D9228" s="6" t="str">
        <f>IFERROR(__xludf.DUMMYFUNCTION("GOOGLETRANSLATE(B9228,""en"",""hy"")"),"Մարդու մարմնում կա 206 ոսկոր։")</f>
        <v>Մարդու մարմնում կա 206 ոսկոր։</v>
      </c>
    </row>
    <row r="9229">
      <c r="A9229" s="5" t="s">
        <v>7672</v>
      </c>
      <c r="B9229" s="5" t="s">
        <v>7673</v>
      </c>
      <c r="C9229" s="5" t="str">
        <f>IFERROR(__xludf.DUMMYFUNCTION("GOOGLETRANSLATE(A9229,""en"",""hy"")"),"Ո՞րն է Հարավային Ամերիկայի ամենամեծ երկիրը:")</f>
        <v>Ո՞րն է Հարավային Ամերիկայի ամենամեծ երկիրը:</v>
      </c>
      <c r="D9229" s="6" t="str">
        <f>IFERROR(__xludf.DUMMYFUNCTION("GOOGLETRANSLATE(B9229,""en"",""hy"")"),"Բրազիլիա.")</f>
        <v>Բրազիլիա.</v>
      </c>
    </row>
    <row r="9230">
      <c r="A9230" s="5" t="s">
        <v>9360</v>
      </c>
      <c r="B9230" s="5" t="s">
        <v>8355</v>
      </c>
      <c r="C9230" s="5" t="str">
        <f>IFERROR(__xludf.DUMMYFUNCTION("GOOGLETRANSLATE(A9230,""en"",""hy"")"),"Ո՞վ է «1984»-ի հեղինակը.")</f>
        <v>Ո՞վ է «1984»-ի հեղինակը.</v>
      </c>
      <c r="D9230" s="6" t="str">
        <f>IFERROR(__xludf.DUMMYFUNCTION("GOOGLETRANSLATE(B9230,""en"",""hy"")"),"Ջորջ Օրուել")</f>
        <v>Ջորջ Օրուել</v>
      </c>
    </row>
    <row r="9231">
      <c r="A9231" s="5" t="s">
        <v>7920</v>
      </c>
      <c r="B9231" s="5" t="s">
        <v>7921</v>
      </c>
      <c r="C9231" s="5" t="str">
        <f>IFERROR(__xludf.DUMMYFUNCTION("GOOGLETRANSLATE(A9231,""en"",""hy"")"),"Ո՞ր երկրում է գտնվում Թաջ Մահալը:")</f>
        <v>Ո՞ր երկրում է գտնվում Թաջ Մահալը:</v>
      </c>
      <c r="D9231" s="6" t="str">
        <f>IFERROR(__xludf.DUMMYFUNCTION("GOOGLETRANSLATE(B9231,""en"",""hy"")"),"Հնդկաստան.")</f>
        <v>Հնդկաստան.</v>
      </c>
    </row>
    <row r="9232">
      <c r="A9232" s="5" t="s">
        <v>8025</v>
      </c>
      <c r="B9232" s="5" t="s">
        <v>10032</v>
      </c>
      <c r="C9232" s="5" t="str">
        <f>IFERROR(__xludf.DUMMYFUNCTION("GOOGLETRANSLATE(A9232,""en"",""hy"")"),"Ո՞րն է Չինաստանի պաշտոնական լեզուն:")</f>
        <v>Ո՞րն է Չինաստանի պաշտոնական լեզուն:</v>
      </c>
      <c r="D9232" s="6" t="str">
        <f>IFERROR(__xludf.DUMMYFUNCTION("GOOGLETRANSLATE(B9232,""en"",""hy"")"),"Չինաստանի պաշտոնական լեզուն ստանդարտ մանդարինն է։")</f>
        <v>Չինաստանի պաշտոնական լեզուն ստանդարտ մանդարինն է։</v>
      </c>
    </row>
    <row r="9233">
      <c r="A9233" s="5" t="s">
        <v>7557</v>
      </c>
      <c r="B9233" s="5" t="s">
        <v>7558</v>
      </c>
      <c r="C9233" s="5" t="str">
        <f>IFERROR(__xludf.DUMMYFUNCTION("GOOGLETRANSLATE(A9233,""en"",""hy"")"),"Ո՞րն է երկաթի քիմիական նշանը:")</f>
        <v>Ո՞րն է երկաթի քիմիական նշանը:</v>
      </c>
      <c r="D9233" s="6" t="str">
        <f>IFERROR(__xludf.DUMMYFUNCTION("GOOGLETRANSLATE(B9233,""en"",""hy"")"),"Ֆե")</f>
        <v>Ֆե</v>
      </c>
    </row>
    <row r="9234">
      <c r="A9234" s="5" t="s">
        <v>10033</v>
      </c>
      <c r="B9234" s="5" t="s">
        <v>7853</v>
      </c>
      <c r="C9234" s="5" t="str">
        <f>IFERROR(__xludf.DUMMYFUNCTION("GOOGLETRANSLATE(A9234,""en"",""hy"")"),"Ո՞վ է Միացյալ Թագավորության ներկայիս թագուհին:")</f>
        <v>Ո՞վ է Միացյալ Թագավորության ներկայիս թագուհին:</v>
      </c>
      <c r="D9234" s="6" t="str">
        <f>IFERROR(__xludf.DUMMYFUNCTION("GOOGLETRANSLATE(B9234,""en"",""hy"")"),"Եղիսաբեթ II թագուհին.")</f>
        <v>Եղիսաբեթ II թագուհին.</v>
      </c>
    </row>
    <row r="9235">
      <c r="A9235" s="5" t="s">
        <v>8181</v>
      </c>
      <c r="B9235" s="5" t="s">
        <v>8100</v>
      </c>
      <c r="C9235" s="5" t="str">
        <f>IFERROR(__xludf.DUMMYFUNCTION("GOOGLETRANSLATE(A9235,""en"",""hy"")"),"Քանի՞ մոլորակ կա մեր արեգակնային համակարգում:")</f>
        <v>Քանի՞ մոլորակ կա մեր արեգակնային համակարգում:</v>
      </c>
      <c r="D9235" s="6" t="str">
        <f>IFERROR(__xludf.DUMMYFUNCTION("GOOGLETRANSLATE(B9235,""en"",""hy"")"),"Մեր Արեգակնային համակարգում կա ութ մոլորակ:")</f>
        <v>Մեր Արեգակնային համակարգում կա ութ մոլորակ:</v>
      </c>
    </row>
    <row r="9236">
      <c r="A9236" s="5" t="s">
        <v>7773</v>
      </c>
      <c r="B9236" s="5" t="s">
        <v>8253</v>
      </c>
      <c r="C9236" s="5" t="str">
        <f>IFERROR(__xludf.DUMMYFUNCTION("GOOGLETRANSLATE(A9236,""en"",""hy"")"),"Ո՞վ է հայտնաբերել պենիցիլինը:")</f>
        <v>Ո՞վ է հայտնաբերել պենիցիլինը:</v>
      </c>
      <c r="D9236" s="6" t="str">
        <f>IFERROR(__xludf.DUMMYFUNCTION("GOOGLETRANSLATE(B9236,""en"",""hy"")"),"Ալեքսանդր Ֆլեմինգ.")</f>
        <v>Ալեքսանդր Ֆլեմինգ.</v>
      </c>
    </row>
    <row r="9237">
      <c r="A9237" s="5" t="s">
        <v>7450</v>
      </c>
      <c r="B9237" s="5" t="s">
        <v>7451</v>
      </c>
      <c r="C9237" s="5" t="str">
        <f>IFERROR(__xludf.DUMMYFUNCTION("GOOGLETRANSLATE(A9237,""en"",""hy"")"),"Ո՞րն է Ավստրալիայի մայրաքաղաքը:")</f>
        <v>Ո՞րն է Ավստրալիայի մայրաքաղաքը:</v>
      </c>
      <c r="D9237" s="6" t="str">
        <f>IFERROR(__xludf.DUMMYFUNCTION("GOOGLETRANSLATE(B9237,""en"",""hy"")"),"Կանբերա.")</f>
        <v>Կանբերա.</v>
      </c>
    </row>
    <row r="9238">
      <c r="A9238" s="5" t="s">
        <v>9009</v>
      </c>
      <c r="B9238" s="5" t="s">
        <v>8359</v>
      </c>
      <c r="C9238" s="5" t="str">
        <f>IFERROR(__xludf.DUMMYFUNCTION("GOOGLETRANSLATE(A9238,""en"",""hy"")"),"Ո՞ր մայրցամաքն է հայտնի որպես «Մութ մայրցամաք»:")</f>
        <v>Ո՞ր մայրցամաքն է հայտնի որպես «Մութ մայրցամաք»:</v>
      </c>
      <c r="D9238" s="6" t="str">
        <f>IFERROR(__xludf.DUMMYFUNCTION("GOOGLETRANSLATE(B9238,""en"",""hy"")"),"Աֆրիկա.")</f>
        <v>Աֆրիկա.</v>
      </c>
    </row>
    <row r="9239">
      <c r="A9239" s="5" t="s">
        <v>8123</v>
      </c>
      <c r="B9239" s="5" t="s">
        <v>7448</v>
      </c>
      <c r="C9239" s="5" t="str">
        <f>IFERROR(__xludf.DUMMYFUNCTION("GOOGLETRANSLATE(A9239,""en"",""hy"")"),"Ո՞վ է նկարել հայտնի «Վերջին ընթրիքը» ստեղծագործությունը:")</f>
        <v>Ո՞վ է նկարել հայտնի «Վերջին ընթրիքը» ստեղծագործությունը:</v>
      </c>
      <c r="D9239" s="6" t="str">
        <f>IFERROR(__xludf.DUMMYFUNCTION("GOOGLETRANSLATE(B9239,""en"",""hy"")"),"Լեոնարդո դա Վինչի.")</f>
        <v>Լեոնարդո դա Վինչի.</v>
      </c>
    </row>
    <row r="9240">
      <c r="A9240" s="5" t="s">
        <v>8144</v>
      </c>
      <c r="B9240" s="5" t="s">
        <v>2267</v>
      </c>
      <c r="C9240" s="5" t="str">
        <f>IFERROR(__xludf.DUMMYFUNCTION("GOOGLETRANSLATE(A9240,""en"",""hy"")"),"Ո՞րն է Իսպանիայի պաշտոնական լեզուն:")</f>
        <v>Ո՞րն է Իսպանիայի պաշտոնական լեզուն:</v>
      </c>
      <c r="D9240" s="6" t="str">
        <f>IFERROR(__xludf.DUMMYFUNCTION("GOOGLETRANSLATE(B9240,""en"",""hy"")"),"իսպաներեն.")</f>
        <v>իսպաներեն.</v>
      </c>
    </row>
    <row r="9241">
      <c r="A9241" s="5" t="s">
        <v>8132</v>
      </c>
      <c r="B9241" s="5" t="s">
        <v>7753</v>
      </c>
      <c r="C9241" s="5" t="str">
        <f>IFERROR(__xludf.DUMMYFUNCTION("GOOGLETRANSLATE(A9241,""en"",""hy"")"),"Ո՞րն է բնակչության թվով աշխարհի ամենամեծ քաղաքը:")</f>
        <v>Ո՞րն է բնակչության թվով աշխարհի ամենամեծ քաղաքը:</v>
      </c>
      <c r="D9241" s="6" t="str">
        <f>IFERROR(__xludf.DUMMYFUNCTION("GOOGLETRANSLATE(B9241,""en"",""hy"")"),"Տոկիո.")</f>
        <v>Տոկիո.</v>
      </c>
    </row>
    <row r="9242">
      <c r="A9242" s="5" t="s">
        <v>7890</v>
      </c>
      <c r="B9242" s="5" t="s">
        <v>7661</v>
      </c>
      <c r="C9242" s="5" t="str">
        <f>IFERROR(__xludf.DUMMYFUNCTION("GOOGLETRANSLATE(A9242,""en"",""hy"")"),"Ո՞վ է գրել «Մեծն Գեթսբի» վեպը:")</f>
        <v>Ո՞վ է գրել «Մեծն Գեթսբի» վեպը:</v>
      </c>
      <c r="D9242" s="6" t="str">
        <f>IFERROR(__xludf.DUMMYFUNCTION("GOOGLETRANSLATE(B9242,""en"",""hy"")"),"F. Scott Fitzgerald.")</f>
        <v>F. Scott Fitzgerald.</v>
      </c>
    </row>
    <row r="9243">
      <c r="A9243" s="5" t="s">
        <v>8822</v>
      </c>
      <c r="B9243" s="5" t="s">
        <v>9071</v>
      </c>
      <c r="C9243" s="5" t="str">
        <f>IFERROR(__xludf.DUMMYFUNCTION("GOOGLETRANSLATE(A9243,""en"",""hy"")"),"Ո՞ր թվականին է փլվել Բեռլինի պատը:")</f>
        <v>Ո՞ր թվականին է փլվել Բեռլինի պատը:</v>
      </c>
      <c r="D9243" s="6" t="str">
        <f>IFERROR(__xludf.DUMMYFUNCTION("GOOGLETRANSLATE(B9243,""en"",""hy"")"),"Բեռլինի պատը փլվեց 1989թ.")</f>
        <v>Բեռլինի պատը փլվեց 1989թ.</v>
      </c>
    </row>
    <row r="9244">
      <c r="A9244" s="5" t="s">
        <v>7561</v>
      </c>
      <c r="B9244" s="5" t="s">
        <v>7669</v>
      </c>
      <c r="C9244" s="5" t="str">
        <f>IFERROR(__xludf.DUMMYFUNCTION("GOOGLETRANSLATE(A9244,""en"",""hy"")"),"Ո՞րն է Մեքսիկայի արժույթը:")</f>
        <v>Ո՞րն է Մեքսիկայի արժույթը:</v>
      </c>
      <c r="D9244" s="6" t="str">
        <f>IFERROR(__xludf.DUMMYFUNCTION("GOOGLETRANSLATE(B9244,""en"",""hy"")"),"Մեքսիկայի արժույթը մեքսիկական պեսոն է։")</f>
        <v>Մեքսիկայի արժույթը մեքսիկական պեսոն է։</v>
      </c>
    </row>
    <row r="9245">
      <c r="A9245" s="5" t="s">
        <v>10034</v>
      </c>
      <c r="B9245" s="5" t="s">
        <v>10035</v>
      </c>
      <c r="C9245" s="5" t="str">
        <f>IFERROR(__xludf.DUMMYFUNCTION("GOOGLETRANSLATE(A9245,""en"",""hy"")"),"Ո՞ր կենդանուն կարելի է գտնել WWF-ի (World Wildlife Fund) տարբերանշանի վրա:")</f>
        <v>Ո՞ր կենդանուն կարելի է գտնել WWF-ի (World Wildlife Fund) տարբերանշանի վրա:</v>
      </c>
      <c r="D9245" s="6" t="str">
        <f>IFERROR(__xludf.DUMMYFUNCTION("GOOGLETRANSLATE(B9245,""en"",""hy"")"),"Պանդա.")</f>
        <v>Պանդա.</v>
      </c>
    </row>
    <row r="9246">
      <c r="A9246" s="5" t="s">
        <v>8843</v>
      </c>
      <c r="B9246" s="5" t="s">
        <v>9176</v>
      </c>
      <c r="C9246" s="5" t="str">
        <f>IFERROR(__xludf.DUMMYFUNCTION("GOOGLETRANSLATE(A9246,""en"",""hy"")"),"Ո՞վ է Հնդկաստանի ներկայիս վարչապետը:")</f>
        <v>Ո՞վ է Հնդկաստանի ներկայիս վարչապետը:</v>
      </c>
      <c r="D9246" s="6" t="str">
        <f>IFERROR(__xludf.DUMMYFUNCTION("GOOGLETRANSLATE(B9246,""en"",""hy"")"),"Նարենդրա Մոդի.")</f>
        <v>Նարենդրա Մոդի.</v>
      </c>
    </row>
    <row r="9247">
      <c r="A9247" s="5" t="s">
        <v>7500</v>
      </c>
      <c r="B9247" s="5" t="s">
        <v>7501</v>
      </c>
      <c r="C9247" s="5" t="str">
        <f>IFERROR(__xludf.DUMMYFUNCTION("GOOGLETRANSLATE(A9247,""en"",""hy"")"),"Ո՞րն է Ֆրանսիայի մայրաքաղաքը:")</f>
        <v>Ո՞րն է Ֆրանսիայի մայրաքաղաքը:</v>
      </c>
      <c r="D9247" s="6" t="str">
        <f>IFERROR(__xludf.DUMMYFUNCTION("GOOGLETRANSLATE(B9247,""en"",""hy"")"),"Փարիզ.")</f>
        <v>Փարիզ.</v>
      </c>
    </row>
    <row r="9248">
      <c r="A9248" s="5" t="s">
        <v>7699</v>
      </c>
      <c r="B9248" s="5" t="s">
        <v>7700</v>
      </c>
      <c r="C9248" s="5" t="str">
        <f>IFERROR(__xludf.DUMMYFUNCTION("GOOGLETRANSLATE(A9248,""en"",""hy"")"),"Ո՞րն է ածխածնի քիմիական նշանը:")</f>
        <v>Ո՞րն է ածխածնի քիմիական նշանը:</v>
      </c>
      <c r="D9248" s="6" t="str">
        <f>IFERROR(__xludf.DUMMYFUNCTION("GOOGLETRANSLATE(B9248,""en"",""hy"")"),"Ածխածնի քիմիական նշանը C է:")</f>
        <v>Ածխածնի քիմիական նշանը C է:</v>
      </c>
    </row>
    <row r="9249">
      <c r="A9249" s="5" t="s">
        <v>8501</v>
      </c>
      <c r="B9249" s="5" t="s">
        <v>9016</v>
      </c>
      <c r="C9249" s="5" t="str">
        <f>IFERROR(__xludf.DUMMYFUNCTION("GOOGLETRANSLATE(A9249,""en"",""hy"")"),"Ո՞ր քաղաքն է ընդունել 2016 թվականի ամառային օլիմպիական խաղերը:")</f>
        <v>Ո՞ր քաղաքն է ընդունել 2016 թվականի ամառային օլիմպիական խաղերը:</v>
      </c>
      <c r="D9249" s="6" t="str">
        <f>IFERROR(__xludf.DUMMYFUNCTION("GOOGLETRANSLATE(B9249,""en"",""hy"")"),"Ռիո դե Ժանեյրո.")</f>
        <v>Ռիո դե Ժանեյրո.</v>
      </c>
    </row>
    <row r="9250">
      <c r="A9250" s="5" t="s">
        <v>7734</v>
      </c>
      <c r="B9250" s="5" t="s">
        <v>7828</v>
      </c>
      <c r="C9250" s="5" t="str">
        <f>IFERROR(__xludf.DUMMYFUNCTION("GOOGLETRANSLATE(A9250,""en"",""hy"")"),"Ո՞վ է նկարել հայտնի «Մոնա Լիզա» ստեղծագործությունը:")</f>
        <v>Ո՞վ է նկարել հայտնի «Մոնա Լիզա» ստեղծագործությունը:</v>
      </c>
      <c r="D9250" s="6" t="str">
        <f>IFERROR(__xludf.DUMMYFUNCTION("GOOGLETRANSLATE(B9250,""en"",""hy"")"),"Լեոնարդո դա Վինչի")</f>
        <v>Լեոնարդո դա Վինչի</v>
      </c>
    </row>
    <row r="9251">
      <c r="A9251" s="5" t="s">
        <v>8016</v>
      </c>
      <c r="B9251" s="5" t="s">
        <v>8017</v>
      </c>
      <c r="C9251" s="5" t="str">
        <f>IFERROR(__xludf.DUMMYFUNCTION("GOOGLETRANSLATE(A9251,""en"",""hy"")"),"Ո՞րն է Անգլիայի ազգային ծաղիկը:")</f>
        <v>Ո՞րն է Անգլիայի ազգային ծաղիկը:</v>
      </c>
      <c r="D9251" s="6" t="str">
        <f>IFERROR(__xludf.DUMMYFUNCTION("GOOGLETRANSLATE(B9251,""en"",""hy"")"),"Անգլիայի ազգային ծաղիկը վարդն է։")</f>
        <v>Անգլիայի ազգային ծաղիկը վարդն է։</v>
      </c>
    </row>
    <row r="9252">
      <c r="A9252" s="5" t="s">
        <v>8408</v>
      </c>
      <c r="B9252" s="5" t="s">
        <v>8409</v>
      </c>
      <c r="C9252" s="5" t="str">
        <f>IFERROR(__xludf.DUMMYFUNCTION("GOOGLETRANSLATE(A9252,""en"",""hy"")"),"Քանի՞ ոտք ունի սարդը:")</f>
        <v>Քանի՞ ոտք ունի սարդը:</v>
      </c>
      <c r="D9252" s="6" t="str">
        <f>IFERROR(__xludf.DUMMYFUNCTION("GOOGLETRANSLATE(B9252,""en"",""hy"")"),"Սարդն ունի ութ ոտք:")</f>
        <v>Սարդն ունի ութ ոտք:</v>
      </c>
    </row>
    <row r="9253">
      <c r="A9253" s="5" t="s">
        <v>7873</v>
      </c>
      <c r="B9253" s="5" t="s">
        <v>10036</v>
      </c>
      <c r="C9253" s="5" t="str">
        <f>IFERROR(__xludf.DUMMYFUNCTION("GOOGLETRANSLATE(A9253,""en"",""hy"")"),"Ո՞վ է «Ալիսի արկածները հրաշքների աշխարհում» գրքի հեղինակը։")</f>
        <v>Ո՞վ է «Ալիսի արկածները հրաշքների աշխարհում» գրքի հեղինակը։</v>
      </c>
      <c r="D9253" s="6" t="str">
        <f>IFERROR(__xludf.DUMMYFUNCTION("GOOGLETRANSLATE(B9253,""en"",""hy"")"),"«Ալիսի արկածները հրաշքների աշխարհում» ֆիլմի հեղինակը Լյուիս Քերոլն է։")</f>
        <v>«Ալիսի արկածները հրաշքների աշխարհում» ֆիլմի հեղինակը Լյուիս Քերոլն է։</v>
      </c>
    </row>
    <row r="9254">
      <c r="A9254" s="5" t="s">
        <v>10037</v>
      </c>
      <c r="B9254" s="5" t="s">
        <v>7972</v>
      </c>
      <c r="C9254" s="5" t="str">
        <f>IFERROR(__xludf.DUMMYFUNCTION("GOOGLETRANSLATE(A9254,""en"",""hy"")"),"Ո՞ր երկիրն է հայտնի իր պանրով և գինով:")</f>
        <v>Ո՞ր երկիրն է հայտնի իր պանրով և գինով:</v>
      </c>
      <c r="D9254" s="6" t="str">
        <f>IFERROR(__xludf.DUMMYFUNCTION("GOOGLETRANSLATE(B9254,""en"",""hy"")"),"Ֆրանսիա.")</f>
        <v>Ֆրանսիա.</v>
      </c>
    </row>
    <row r="9255">
      <c r="A9255" s="5" t="s">
        <v>7618</v>
      </c>
      <c r="B9255" s="5" t="s">
        <v>8266</v>
      </c>
      <c r="C9255" s="5" t="str">
        <f>IFERROR(__xludf.DUMMYFUNCTION("GOOGLETRANSLATE(A9255,""en"",""hy"")"),"Ո՞րն է աշխարհի ամենամեծ ջրվեժը:")</f>
        <v>Ո՞րն է աշխարհի ամենամեծ ջրվեժը:</v>
      </c>
      <c r="D9255" s="6" t="str">
        <f>IFERROR(__xludf.DUMMYFUNCTION("GOOGLETRANSLATE(B9255,""en"",""hy"")"),"Աշխարհի ամենամեծ ջրվեժը Վենեսուելայում գտնվող Անխել ջրվեժն է:")</f>
        <v>Աշխարհի ամենամեծ ջրվեժը Վենեսուելայում գտնվող Անխել ջրվեժն է:</v>
      </c>
    </row>
    <row r="9256">
      <c r="A9256" s="5" t="s">
        <v>8223</v>
      </c>
      <c r="B9256" s="5" t="s">
        <v>10038</v>
      </c>
      <c r="C9256" s="5" t="str">
        <f>IFERROR(__xludf.DUMMYFUNCTION("GOOGLETRANSLATE(A9256,""en"",""hy"")"),"Ո՞վ է հայտնաբերել էլեկտրաէներգիան:")</f>
        <v>Ո՞վ է հայտնաբերել էլեկտրաէներգիան:</v>
      </c>
      <c r="D9256" s="6" t="str">
        <f>IFERROR(__xludf.DUMMYFUNCTION("GOOGLETRANSLATE(B9256,""en"",""hy"")"),"Էլեկտրաէներգիայի հայտնաբերումը վերագրվում է բազմաթիվ գիտնականների, այդ թվում՝ Բենջամին Ֆրանկլինին և Ալեսանդրո Վոլտային:")</f>
        <v>Էլեկտրաէներգիայի հայտնաբերումը վերագրվում է բազմաթիվ գիտնականների, այդ թվում՝ Բենջամին Ֆրանկլինին և Ալեսանդրո Վոլտային:</v>
      </c>
    </row>
    <row r="9257">
      <c r="A9257" s="5" t="s">
        <v>8127</v>
      </c>
      <c r="B9257" s="5" t="s">
        <v>6556</v>
      </c>
      <c r="C9257" s="5" t="str">
        <f>IFERROR(__xludf.DUMMYFUNCTION("GOOGLETRANSLATE(A9257,""en"",""hy"")"),"Ո՞րն է Ռուսաստանի պաշտոնական լեզուն:")</f>
        <v>Ո՞րն է Ռուսաստանի պաշտոնական լեզուն:</v>
      </c>
      <c r="D9257" s="6" t="str">
        <f>IFERROR(__xludf.DUMMYFUNCTION("GOOGLETRANSLATE(B9257,""en"",""hy"")"),"Ռուսաստանի պաշտոնական լեզուն ռուսերենն է։")</f>
        <v>Ռուսաստանի պաշտոնական լեզուն ռուսերենն է։</v>
      </c>
    </row>
    <row r="9258">
      <c r="A9258" s="5" t="s">
        <v>8247</v>
      </c>
      <c r="B9258" s="5" t="s">
        <v>3535</v>
      </c>
      <c r="C9258" s="5" t="str">
        <f>IFERROR(__xludf.DUMMYFUNCTION("GOOGLETRANSLATE(A9258,""en"",""hy"")"),"Ո՞ր երկրում է գտնվում Մեծ արգելախութը:")</f>
        <v>Ո՞ր երկրում է գտնվում Մեծ արգելախութը:</v>
      </c>
      <c r="D9258" s="6" t="str">
        <f>IFERROR(__xludf.DUMMYFUNCTION("GOOGLETRANSLATE(B9258,""en"",""hy"")"),"Ավստրալիա.")</f>
        <v>Ավստրալիա.</v>
      </c>
    </row>
    <row r="9259">
      <c r="A9259" s="5" t="s">
        <v>7809</v>
      </c>
      <c r="B9259" s="5" t="s">
        <v>8061</v>
      </c>
      <c r="C9259" s="5" t="str">
        <f>IFERROR(__xludf.DUMMYFUNCTION("GOOGLETRANSLATE(A9259,""en"",""hy"")"),"Ո՞րն է հելիումի քիմիական նշանը:")</f>
        <v>Ո՞րն է հելիումի քիմիական նշանը:</v>
      </c>
      <c r="D9259" s="6" t="str">
        <f>IFERROR(__xludf.DUMMYFUNCTION("GOOGLETRANSLATE(B9259,""en"",""hy"")"),"Հելիումի քիմիական նշանը Նա է:")</f>
        <v>Հելիումի քիմիական նշանը Նա է:</v>
      </c>
    </row>
    <row r="9260">
      <c r="A9260" s="5" t="s">
        <v>7601</v>
      </c>
      <c r="B9260" s="5" t="s">
        <v>3966</v>
      </c>
      <c r="C9260" s="5" t="str">
        <f>IFERROR(__xludf.DUMMYFUNCTION("GOOGLETRANSLATE(A9260,""en"",""hy"")"),"Ո՞վ է Ֆրանսիայի ներկայիս նախագահը.")</f>
        <v>Ո՞վ է Ֆրանսիայի ներկայիս նախագահը.</v>
      </c>
      <c r="D9260" s="6" t="str">
        <f>IFERROR(__xludf.DUMMYFUNCTION("GOOGLETRANSLATE(B9260,""en"",""hy"")"),"Էմանուել Մակրոն.")</f>
        <v>Էմանուել Մակրոն.</v>
      </c>
    </row>
    <row r="9261">
      <c r="A9261" s="5" t="s">
        <v>8402</v>
      </c>
      <c r="B9261" s="5" t="s">
        <v>9423</v>
      </c>
      <c r="C9261" s="5" t="str">
        <f>IFERROR(__xludf.DUMMYFUNCTION("GOOGLETRANSLATE(A9261,""en"",""hy"")"),"Քանի՞ խաղացող կա բեյսբոլի թիմում:")</f>
        <v>Քանի՞ խաղացող կա բեյսբոլի թիմում:</v>
      </c>
      <c r="D9261" s="6" t="str">
        <f>IFERROR(__xludf.DUMMYFUNCTION("GOOGLETRANSLATE(B9261,""en"",""hy"")"),"Բեյսբոլի թիմում ինը խաղացող կա:")</f>
        <v>Բեյսբոլի թիմում ինը խաղացող կա:</v>
      </c>
    </row>
    <row r="9262">
      <c r="A9262" s="5" t="s">
        <v>7626</v>
      </c>
      <c r="B9262" s="5" t="s">
        <v>8066</v>
      </c>
      <c r="C9262" s="5" t="str">
        <f>IFERROR(__xludf.DUMMYFUNCTION("GOOGLETRANSLATE(A9262,""en"",""hy"")"),"Ո՞րն է Գերմանիայի մայրաքաղաքը:")</f>
        <v>Ո՞րն է Գերմանիայի մայրաքաղաքը:</v>
      </c>
      <c r="D9262" s="6" t="str">
        <f>IFERROR(__xludf.DUMMYFUNCTION("GOOGLETRANSLATE(B9262,""en"",""hy"")"),"Բեռլին.")</f>
        <v>Բեռլին.</v>
      </c>
    </row>
    <row r="9263">
      <c r="A9263" s="5" t="s">
        <v>10039</v>
      </c>
      <c r="B9263" s="5" t="s">
        <v>8249</v>
      </c>
      <c r="C9263" s="5" t="str">
        <f>IFERROR(__xludf.DUMMYFUNCTION("GOOGLETRANSLATE(A9263,""en"",""hy"")"),"Ո՞ր երկիրն է հայտնի իր բուրգերով:")</f>
        <v>Ո՞ր երկիրն է հայտնի իր բուրգերով:</v>
      </c>
      <c r="D9263" s="6" t="str">
        <f>IFERROR(__xludf.DUMMYFUNCTION("GOOGLETRANSLATE(B9263,""en"",""hy"")"),"Եգիպտոս")</f>
        <v>Եգիպտոս</v>
      </c>
    </row>
    <row r="9264">
      <c r="A9264" s="5" t="s">
        <v>7737</v>
      </c>
      <c r="B9264" s="5" t="s">
        <v>8273</v>
      </c>
      <c r="C9264" s="5" t="str">
        <f>IFERROR(__xludf.DUMMYFUNCTION("GOOGLETRANSLATE(A9264,""en"",""hy"")"),"Ո՞վ է գրել «Շորայի մեջ բռնողը» վեպը:")</f>
        <v>Ո՞վ է գրել «Շորայի մեջ բռնողը» վեպը:</v>
      </c>
      <c r="D9264" s="6" t="str">
        <f>IFERROR(__xludf.DUMMYFUNCTION("GOOGLETRANSLATE(B9264,""en"",""hy"")"),"Ջ.Դ.Սելինջեր")</f>
        <v>Ջ.Դ.Սելինջեր</v>
      </c>
    </row>
    <row r="9265">
      <c r="A9265" s="5" t="s">
        <v>8262</v>
      </c>
      <c r="B9265" s="5" t="s">
        <v>8837</v>
      </c>
      <c r="C9265" s="5" t="str">
        <f>IFERROR(__xludf.DUMMYFUNCTION("GOOGLETRANSLATE(A9265,""en"",""hy"")"),"Ո՞րն է Ճապոնիայի պաշտոնական լեզուն:")</f>
        <v>Ո՞րն է Ճապոնիայի պաշտոնական լեզուն:</v>
      </c>
      <c r="D9265" s="6" t="str">
        <f>IFERROR(__xludf.DUMMYFUNCTION("GOOGLETRANSLATE(B9265,""en"",""hy"")"),"Ճապոնիայի պաշտոնական լեզուն ճապոներենն է։")</f>
        <v>Ճապոնիայի պաշտոնական լեզուն ճապոներենն է։</v>
      </c>
    </row>
    <row r="9266">
      <c r="A9266" s="5" t="s">
        <v>8254</v>
      </c>
      <c r="B9266" s="5" t="s">
        <v>3535</v>
      </c>
      <c r="C9266" s="5" t="str">
        <f>IFERROR(__xludf.DUMMYFUNCTION("GOOGLETRANSLATE(A9266,""en"",""hy"")"),"Ո՞րն է աշխարհի ամենափոքր մայրցամաքը:")</f>
        <v>Ո՞րն է աշխարհի ամենափոքր մայրցամաքը:</v>
      </c>
      <c r="D9266" s="6" t="str">
        <f>IFERROR(__xludf.DUMMYFUNCTION("GOOGLETRANSLATE(B9266,""en"",""hy"")"),"Ավստրալիա.")</f>
        <v>Ավստրալիա.</v>
      </c>
    </row>
    <row r="9267">
      <c r="A9267" s="5" t="s">
        <v>7744</v>
      </c>
      <c r="B9267" s="5" t="s">
        <v>8642</v>
      </c>
      <c r="C9267" s="5" t="str">
        <f>IFERROR(__xludf.DUMMYFUNCTION("GOOGLETRANSLATE(A9267,""en"",""hy"")"),"Ո՞վ է նկարել հայտնի «Հիշողության համառությունը» ստեղծագործությունը:")</f>
        <v>Ո՞վ է նկարել հայտնի «Հիշողության համառությունը» ստեղծագործությունը:</v>
      </c>
      <c r="D9267" s="6" t="str">
        <f>IFERROR(__xludf.DUMMYFUNCTION("GOOGLETRANSLATE(B9267,""en"",""hy"")"),"Սալվադոր Դալի")</f>
        <v>Սալվադոր Դալի</v>
      </c>
    </row>
    <row r="9268">
      <c r="A9268" s="5" t="s">
        <v>7791</v>
      </c>
      <c r="B9268" s="5" t="s">
        <v>8896</v>
      </c>
      <c r="C9268" s="5" t="str">
        <f>IFERROR(__xludf.DUMMYFUNCTION("GOOGLETRANSLATE(A9268,""en"",""hy"")"),"Ո՞րն է Ավստրալիայի ազգային կենդանին:")</f>
        <v>Ո՞րն է Ավստրալիայի ազգային կենդանին:</v>
      </c>
      <c r="D9268" s="6" t="str">
        <f>IFERROR(__xludf.DUMMYFUNCTION("GOOGLETRANSLATE(B9268,""en"",""hy"")"),"Ավստրալիայի ազգային կենդանին կարմիր կենգուրուն է։")</f>
        <v>Ավստրալիայի ազգային կենդանին կարմիր կենգուրուն է։</v>
      </c>
    </row>
    <row r="9269">
      <c r="A9269" s="5" t="s">
        <v>8651</v>
      </c>
      <c r="B9269" s="5" t="s">
        <v>8652</v>
      </c>
      <c r="C9269" s="5" t="str">
        <f>IFERROR(__xludf.DUMMYFUNCTION("GOOGLETRANSLATE(A9269,""en"",""hy"")"),"Քանի՞ կողմ ունի եռանկյունը:")</f>
        <v>Քանի՞ կողմ ունի եռանկյունը:</v>
      </c>
      <c r="D9269" s="6" t="str">
        <f>IFERROR(__xludf.DUMMYFUNCTION("GOOGLETRANSLATE(B9269,""en"",""hy"")"),"Եռանկյունն ունի երեք կողմ.")</f>
        <v>Եռանկյունն ունի երեք կողմ.</v>
      </c>
    </row>
    <row r="9270">
      <c r="A9270" s="5" t="s">
        <v>7566</v>
      </c>
      <c r="B9270" s="5" t="s">
        <v>7567</v>
      </c>
      <c r="C9270" s="5" t="str">
        <f>IFERROR(__xludf.DUMMYFUNCTION("GOOGLETRANSLATE(A9270,""en"",""hy"")"),"Ո՞վ է Կանադայի ներկայիս վարչապետը:")</f>
        <v>Ո՞վ է Կանադայի ներկայիս վարչապետը:</v>
      </c>
      <c r="D9270" s="6" t="str">
        <f>IFERROR(__xludf.DUMMYFUNCTION("GOOGLETRANSLATE(B9270,""en"",""hy"")"),"Ջասթին Թրյուդո")</f>
        <v>Ջասթին Թրյուդո</v>
      </c>
    </row>
    <row r="9271">
      <c r="A9271" s="5" t="s">
        <v>7872</v>
      </c>
      <c r="B9271" s="5" t="s">
        <v>1307</v>
      </c>
      <c r="C9271" s="5" t="str">
        <f>IFERROR(__xludf.DUMMYFUNCTION("GOOGLETRANSLATE(A9271,""en"",""hy"")"),"Ո՞րն է Իսպանիայի մայրաքաղաքը:")</f>
        <v>Ո՞րն է Իսպանիայի մայրաքաղաքը:</v>
      </c>
      <c r="D9271" s="6" t="str">
        <f>IFERROR(__xludf.DUMMYFUNCTION("GOOGLETRANSLATE(B9271,""en"",""hy"")"),"Մադրիդ.")</f>
        <v>Մադրիդ.</v>
      </c>
    </row>
    <row r="9272">
      <c r="A9272" s="5" t="s">
        <v>7805</v>
      </c>
      <c r="B9272" s="5" t="s">
        <v>7951</v>
      </c>
      <c r="C9272" s="5" t="str">
        <f>IFERROR(__xludf.DUMMYFUNCTION("GOOGLETRANSLATE(A9272,""en"",""hy"")"),"Ո՞ր մոլորակն է հայտնի որպես «Կապույտ մոլորակ»:")</f>
        <v>Ո՞ր մոլորակն է հայտնի որպես «Կապույտ մոլորակ»:</v>
      </c>
      <c r="D9272" s="6" t="str">
        <f>IFERROR(__xludf.DUMMYFUNCTION("GOOGLETRANSLATE(B9272,""en"",""hy"")"),"Երկիր")</f>
        <v>Երկիր</v>
      </c>
    </row>
    <row r="9273">
      <c r="A9273" s="5" t="s">
        <v>7687</v>
      </c>
      <c r="B9273" s="5" t="s">
        <v>7867</v>
      </c>
      <c r="C9273" s="5" t="str">
        <f>IFERROR(__xludf.DUMMYFUNCTION("GOOGLETRANSLATE(A9273,""en"",""hy"")"),"Ո՞վ է «Մատանիների տիրակալը» ֆիլմի հեղինակը.")</f>
        <v>Ո՞վ է «Մատանիների տիրակալը» ֆիլմի հեղինակը.</v>
      </c>
      <c r="D9273" s="6" t="str">
        <f>IFERROR(__xludf.DUMMYFUNCTION("GOOGLETRANSLATE(B9273,""en"",""hy"")"),"Ջ.Ռ.Ռ. Թոլքինը։")</f>
        <v>Ջ.Ռ.Ռ. Թոլքինը։</v>
      </c>
    </row>
    <row r="9274">
      <c r="A9274" s="5" t="s">
        <v>9297</v>
      </c>
      <c r="B9274" s="7">
        <v>1776.0</v>
      </c>
      <c r="C9274" s="5" t="str">
        <f>IFERROR(__xludf.DUMMYFUNCTION("GOOGLETRANSLATE(A9274,""en"",""hy"")"),"Ո՞ր թվականին է Միացյալ Նահանգները հռչակել անկախությունը Մեծ Բրիտանիայից.")</f>
        <v>Ո՞ր թվականին է Միացյալ Նահանգները հռչակել անկախությունը Մեծ Բրիտանիայից.</v>
      </c>
      <c r="D9274" s="6" t="str">
        <f>IFERROR(__xludf.DUMMYFUNCTION("GOOGLETRANSLATE(B9274,""en"",""hy"")"),"1776 թ")</f>
        <v>1776 թ</v>
      </c>
    </row>
    <row r="9275">
      <c r="A9275" s="5" t="s">
        <v>7662</v>
      </c>
      <c r="B9275" s="5" t="s">
        <v>7663</v>
      </c>
      <c r="C9275" s="5" t="str">
        <f>IFERROR(__xludf.DUMMYFUNCTION("GOOGLETRANSLATE(A9275,""en"",""hy"")"),"Ո՞րն է Հնդկաստանի արժույթը:")</f>
        <v>Ո՞րն է Հնդկաստանի արժույթը:</v>
      </c>
      <c r="D9275" s="6" t="str">
        <f>IFERROR(__xludf.DUMMYFUNCTION("GOOGLETRANSLATE(B9275,""en"",""hy"")"),"Հնդկաստանի արժույթը հնդկական ռուփին է։")</f>
        <v>Հնդկաստանի արժույթը հնդկական ռուփին է։</v>
      </c>
    </row>
    <row r="9276">
      <c r="A9276" s="5" t="s">
        <v>7530</v>
      </c>
      <c r="B9276" s="5" t="s">
        <v>10040</v>
      </c>
      <c r="C9276" s="5" t="str">
        <f>IFERROR(__xludf.DUMMYFUNCTION("GOOGLETRANSLATE(A9276,""en"",""hy"")"),"Ո՞րն է Հնդկաստանի ազգային թռչունը:")</f>
        <v>Ո՞րն է Հնդկաստանի ազգային թռչունը:</v>
      </c>
      <c r="D9276" s="6" t="str">
        <f>IFERROR(__xludf.DUMMYFUNCTION("GOOGLETRANSLATE(B9276,""en"",""hy"")"),"Սիրամարգ.")</f>
        <v>Սիրամարգ.</v>
      </c>
    </row>
    <row r="9277">
      <c r="A9277" s="5" t="s">
        <v>7949</v>
      </c>
      <c r="B9277" s="5" t="s">
        <v>7950</v>
      </c>
      <c r="C9277" s="5" t="str">
        <f>IFERROR(__xludf.DUMMYFUNCTION("GOOGLETRANSLATE(A9277,""en"",""hy"")"),"Քանի՞ ատամ ունի մեծահասակ մարդը:")</f>
        <v>Քանի՞ ատամ ունի մեծահասակ մարդը:</v>
      </c>
      <c r="D9277" s="6" t="str">
        <f>IFERROR(__xludf.DUMMYFUNCTION("GOOGLETRANSLATE(B9277,""en"",""hy"")"),"Մեծահասակ մարդը սովորաբար ունի 32 ատամ:")</f>
        <v>Մեծահասակ մարդը սովորաբար ունի 32 ատամ:</v>
      </c>
    </row>
    <row r="9278">
      <c r="A9278" s="5" t="s">
        <v>8592</v>
      </c>
      <c r="B9278" s="5" t="s">
        <v>7556</v>
      </c>
      <c r="C9278" s="5" t="str">
        <f>IFERROR(__xludf.DUMMYFUNCTION("GOOGLETRANSLATE(A9278,""en"",""hy"")"),"Ո՞վ է համարվում ժամանակակից ֆիզիկայի հայրը:")</f>
        <v>Ո՞վ է համարվում ժամանակակից ֆիզիկայի հայրը:</v>
      </c>
      <c r="D9278" s="6" t="str">
        <f>IFERROR(__xludf.DUMMYFUNCTION("GOOGLETRANSLATE(B9278,""en"",""hy"")"),"Albert Einstein.")</f>
        <v>Albert Einstein.</v>
      </c>
    </row>
    <row r="9279">
      <c r="A9279" s="5" t="s">
        <v>7574</v>
      </c>
      <c r="B9279" s="5" t="s">
        <v>7525</v>
      </c>
      <c r="C9279" s="5" t="str">
        <f>IFERROR(__xludf.DUMMYFUNCTION("GOOGLETRANSLATE(A9279,""en"",""hy"")"),"Ո՞րն է Չինաստանի մայրաքաղաքը:")</f>
        <v>Ո՞րն է Չինաստանի մայրաքաղաքը:</v>
      </c>
      <c r="D9279" s="6" t="str">
        <f>IFERROR(__xludf.DUMMYFUNCTION("GOOGLETRANSLATE(B9279,""en"",""hy"")"),"Պեկին.")</f>
        <v>Պեկին.</v>
      </c>
    </row>
    <row r="9280">
      <c r="A9280" s="5" t="s">
        <v>9255</v>
      </c>
      <c r="B9280" s="5" t="s">
        <v>7954</v>
      </c>
      <c r="C9280" s="5" t="str">
        <f>IFERROR(__xludf.DUMMYFUNCTION("GOOGLETRANSLATE(A9280,""en"",""hy"")"),"Ո՞ր երկիրն է հայտնի իր թխկի օշարակով:")</f>
        <v>Ո՞ր երկիրն է հայտնի իր թխկի օշարակով:</v>
      </c>
      <c r="D9280" s="6" t="str">
        <f>IFERROR(__xludf.DUMMYFUNCTION("GOOGLETRANSLATE(B9280,""en"",""hy"")"),"Կանադա")</f>
        <v>Կանադա</v>
      </c>
    </row>
    <row r="9281">
      <c r="A9281" s="5" t="s">
        <v>8247</v>
      </c>
      <c r="B9281" s="5" t="s">
        <v>3535</v>
      </c>
      <c r="C9281" s="5" t="str">
        <f>IFERROR(__xludf.DUMMYFUNCTION("GOOGLETRANSLATE(A9281,""en"",""hy"")"),"Ո՞ր երկրում է գտնվում Մեծ արգելախութը:")</f>
        <v>Ո՞ր երկրում է գտնվում Մեծ արգելախութը:</v>
      </c>
      <c r="D9281" s="6" t="str">
        <f>IFERROR(__xludf.DUMMYFUNCTION("GOOGLETRANSLATE(B9281,""en"",""hy"")"),"Ավստրալիա.")</f>
        <v>Ավստրալիա.</v>
      </c>
    </row>
    <row r="9282">
      <c r="A9282" s="5" t="s">
        <v>7780</v>
      </c>
      <c r="B9282" s="5" t="s">
        <v>7643</v>
      </c>
      <c r="C9282" s="5" t="str">
        <f>IFERROR(__xludf.DUMMYFUNCTION("GOOGLETRANSLATE(A9282,""en"",""hy"")"),"Ո՞րն է Կանադայի մայրաքաղաքը:")</f>
        <v>Ո՞րն է Կանադայի մայրաքաղաքը:</v>
      </c>
      <c r="D9282" s="6" t="str">
        <f>IFERROR(__xludf.DUMMYFUNCTION("GOOGLETRANSLATE(B9282,""en"",""hy"")"),"Օտտավա")</f>
        <v>Օտտավա</v>
      </c>
    </row>
    <row r="9283">
      <c r="A9283" s="5" t="s">
        <v>7447</v>
      </c>
      <c r="B9283" s="5" t="s">
        <v>7448</v>
      </c>
      <c r="C9283" s="5" t="str">
        <f>IFERROR(__xludf.DUMMYFUNCTION("GOOGLETRANSLATE(A9283,""en"",""hy"")"),"Ո՞վ է նկարել Մոնա Լիզան:")</f>
        <v>Ո՞վ է նկարել Մոնա Լիզան:</v>
      </c>
      <c r="D9283" s="6" t="str">
        <f>IFERROR(__xludf.DUMMYFUNCTION("GOOGLETRANSLATE(B9283,""en"",""hy"")"),"Լեոնարդո դա Վինչի.")</f>
        <v>Լեոնարդո դա Վինչի.</v>
      </c>
    </row>
    <row r="9284">
      <c r="A9284" s="5" t="s">
        <v>8099</v>
      </c>
      <c r="B9284" s="5" t="s">
        <v>8100</v>
      </c>
      <c r="C9284" s="5" t="str">
        <f>IFERROR(__xludf.DUMMYFUNCTION("GOOGLETRANSLATE(A9284,""en"",""hy"")"),"Քանի՞ մոլորակ կա մեր արեգակնային համակարգում:")</f>
        <v>Քանի՞ մոլորակ կա մեր արեգակնային համակարգում:</v>
      </c>
      <c r="D9284" s="6" t="str">
        <f>IFERROR(__xludf.DUMMYFUNCTION("GOOGLETRANSLATE(B9284,""en"",""hy"")"),"Մեր Արեգակնային համակարգում կա ութ մոլորակ:")</f>
        <v>Մեր Արեգակնային համակարգում կա ութ մոլորակ:</v>
      </c>
    </row>
    <row r="9285">
      <c r="A9285" s="5" t="s">
        <v>7698</v>
      </c>
      <c r="B9285" s="5" t="s">
        <v>7630</v>
      </c>
      <c r="C9285" s="5" t="str">
        <f>IFERROR(__xludf.DUMMYFUNCTION("GOOGLETRANSLATE(A9285,""en"",""hy"")"),"Ո՞վ է գրել «Հպարտություն և նախապաշարմունք» վեպը:")</f>
        <v>Ո՞վ է գրել «Հպարտություն և նախապաշարմունք» վեպը:</v>
      </c>
      <c r="D9285" s="6" t="str">
        <f>IFERROR(__xludf.DUMMYFUNCTION("GOOGLETRANSLATE(B9285,""en"",""hy"")"),"Ջեյն Օսթին.")</f>
        <v>Ջեյն Օսթին.</v>
      </c>
    </row>
    <row r="9286">
      <c r="A9286" s="5" t="s">
        <v>7513</v>
      </c>
      <c r="B9286" s="5" t="s">
        <v>7514</v>
      </c>
      <c r="C9286" s="5" t="str">
        <f>IFERROR(__xludf.DUMMYFUNCTION("GOOGLETRANSLATE(A9286,""en"",""hy"")"),"Ո՞րն է աշխարհի ամենամեծ անապատը:")</f>
        <v>Ո՞րն է աշխարհի ամենամեծ անապատը:</v>
      </c>
      <c r="D9286" s="6" t="str">
        <f>IFERROR(__xludf.DUMMYFUNCTION("GOOGLETRANSLATE(B9286,""en"",""hy"")"),"Աշխարհի ամենամեծ անապատը Սահարա անապատն է։")</f>
        <v>Աշխարհի ամենամեծ անապատը Սահարա անապատն է։</v>
      </c>
    </row>
    <row r="9287">
      <c r="A9287" s="5" t="s">
        <v>8179</v>
      </c>
      <c r="B9287" s="5" t="s">
        <v>7723</v>
      </c>
      <c r="C9287" s="5" t="str">
        <f>IFERROR(__xludf.DUMMYFUNCTION("GOOGLETRANSLATE(A9287,""en"",""hy"")"),"Ո՞րն է Աֆրիկայի ամենաբարձր լեռը:")</f>
        <v>Ո՞րն է Աֆրիկայի ամենաբարձր լեռը:</v>
      </c>
      <c r="D9287" s="6" t="str">
        <f>IFERROR(__xludf.DUMMYFUNCTION("GOOGLETRANSLATE(B9287,""en"",""hy"")"),"Կիլիմանջարո լեռ.")</f>
        <v>Կիլիմանջարո լեռ.</v>
      </c>
    </row>
    <row r="9288">
      <c r="A9288" s="5" t="s">
        <v>10041</v>
      </c>
      <c r="B9288" s="5" t="s">
        <v>8201</v>
      </c>
      <c r="C9288" s="5" t="str">
        <f>IFERROR(__xludf.DUMMYFUNCTION("GOOGLETRANSLATE(A9288,""en"",""hy"")"),"Ո՞ր երկրում են անցկացվել առաջին օլիմպիական խաղերը:")</f>
        <v>Ո՞ր երկրում են անցկացվել առաջին օլիմպիական խաղերը:</v>
      </c>
      <c r="D9288" s="6" t="str">
        <f>IFERROR(__xludf.DUMMYFUNCTION("GOOGLETRANSLATE(B9288,""en"",""hy"")"),"Հունաստան.")</f>
        <v>Հունաստան.</v>
      </c>
    </row>
    <row r="9289">
      <c r="A9289" s="5" t="s">
        <v>7672</v>
      </c>
      <c r="B9289" s="5" t="s">
        <v>9635</v>
      </c>
      <c r="C9289" s="5" t="str">
        <f>IFERROR(__xludf.DUMMYFUNCTION("GOOGLETRANSLATE(A9289,""en"",""hy"")"),"Ո՞րն է Հարավային Ամերիկայի ամենամեծ երկիրը:")</f>
        <v>Ո՞րն է Հարավային Ամերիկայի ամենամեծ երկիրը:</v>
      </c>
      <c r="D9289" s="6" t="str">
        <f>IFERROR(__xludf.DUMMYFUNCTION("GOOGLETRANSLATE(B9289,""en"",""hy"")"),"Բրազիլիա")</f>
        <v>Բրազիլիա</v>
      </c>
    </row>
    <row r="9290">
      <c r="A9290" s="5" t="s">
        <v>10042</v>
      </c>
      <c r="B9290" s="5" t="s">
        <v>8063</v>
      </c>
      <c r="C9290" s="5" t="str">
        <f>IFERROR(__xludf.DUMMYFUNCTION("GOOGLETRANSLATE(A9290,""en"",""hy"")"),"Քանի՞ խաղացող կա ֆուտբոլային թիմում:")</f>
        <v>Քանի՞ խաղացող կա ֆուտբոլային թիմում:</v>
      </c>
      <c r="D9290" s="6" t="str">
        <f>IFERROR(__xludf.DUMMYFUNCTION("GOOGLETRANSLATE(B9290,""en"",""hy"")"),"Ֆուտբոլային թիմում կա 11 խաղացող։")</f>
        <v>Ֆուտբոլային թիմում կա 11 խաղացող։</v>
      </c>
    </row>
    <row r="9291">
      <c r="A9291" s="5" t="s">
        <v>7479</v>
      </c>
      <c r="B9291" s="5" t="s">
        <v>1996</v>
      </c>
      <c r="C9291" s="5" t="str">
        <f>IFERROR(__xludf.DUMMYFUNCTION("GOOGLETRANSLATE(A9291,""en"",""hy"")"),"Ո՞վ է Միացյալ Թագավորության ներկայիս վարչապետը:")</f>
        <v>Ո՞վ է Միացյալ Թագավորության ներկայիս վարչապետը:</v>
      </c>
      <c r="D9291" s="6" t="str">
        <f>IFERROR(__xludf.DUMMYFUNCTION("GOOGLETRANSLATE(B9291,""en"",""hy"")"),"Բորիս Ջոնսոն.")</f>
        <v>Բորիս Ջոնսոն.</v>
      </c>
    </row>
    <row r="9292">
      <c r="A9292" s="5" t="s">
        <v>7935</v>
      </c>
      <c r="B9292" s="5" t="s">
        <v>10043</v>
      </c>
      <c r="C9292" s="5" t="str">
        <f>IFERROR(__xludf.DUMMYFUNCTION("GOOGLETRANSLATE(A9292,""en"",""hy"")"),"Ո՞ր կենդանին է հայտնի որպես «ջունգլիների արքա»:")</f>
        <v>Ո՞ր կենդանին է հայտնի որպես «ջունգլիների արքա»:</v>
      </c>
      <c r="D9292" s="6" t="str">
        <f>IFERROR(__xludf.DUMMYFUNCTION("GOOGLETRANSLATE(B9292,""en"",""hy"")"),"Առյուծներ.")</f>
        <v>Առյուծներ.</v>
      </c>
    </row>
    <row r="9293">
      <c r="A9293" s="5" t="s">
        <v>7452</v>
      </c>
      <c r="B9293" s="5" t="s">
        <v>7631</v>
      </c>
      <c r="C9293" s="5" t="str">
        <f>IFERROR(__xludf.DUMMYFUNCTION("GOOGLETRANSLATE(A9293,""en"",""hy"")"),"Ո՞րն է ոսկու քիմիական նշանը:")</f>
        <v>Ո՞րն է ոսկու քիմիական նշանը:</v>
      </c>
      <c r="D9293" s="6" t="str">
        <f>IFERROR(__xludf.DUMMYFUNCTION("GOOGLETRANSLATE(B9293,""en"",""hy"")"),"Ավ")</f>
        <v>Ավ</v>
      </c>
    </row>
    <row r="9294">
      <c r="A9294" s="5" t="s">
        <v>7919</v>
      </c>
      <c r="B9294" s="5" t="s">
        <v>7556</v>
      </c>
      <c r="C9294" s="5" t="str">
        <f>IFERROR(__xludf.DUMMYFUNCTION("GOOGLETRANSLATE(A9294,""en"",""hy"")"),"Ո՞վ է հայտնաբերել հարաբերականության տեսությունը:")</f>
        <v>Ո՞վ է հայտնաբերել հարաբերականության տեսությունը:</v>
      </c>
      <c r="D9294" s="6" t="str">
        <f>IFERROR(__xludf.DUMMYFUNCTION("GOOGLETRANSLATE(B9294,""en"",""hy"")"),"Albert Einstein.")</f>
        <v>Albert Einstein.</v>
      </c>
    </row>
    <row r="9295">
      <c r="A9295" s="5" t="s">
        <v>7842</v>
      </c>
      <c r="B9295" s="5" t="s">
        <v>7671</v>
      </c>
      <c r="C9295" s="5" t="str">
        <f>IFERROR(__xludf.DUMMYFUNCTION("GOOGLETRANSLATE(A9295,""en"",""hy"")"),"Ո՞րն է աշխարհի ամենաերկար գետը:")</f>
        <v>Ո՞րն է աշխարհի ամենաերկար գետը:</v>
      </c>
      <c r="D9295" s="6" t="str">
        <f>IFERROR(__xludf.DUMMYFUNCTION("GOOGLETRANSLATE(B9295,""en"",""hy"")"),"Նեղոս գետ.")</f>
        <v>Նեղոս գետ.</v>
      </c>
    </row>
    <row r="9296">
      <c r="A9296" s="5" t="s">
        <v>7485</v>
      </c>
      <c r="B9296" s="5" t="s">
        <v>7486</v>
      </c>
      <c r="C9296" s="5" t="str">
        <f>IFERROR(__xludf.DUMMYFUNCTION("GOOGLETRANSLATE(A9296,""en"",""hy"")"),"Ո՞վ է Հարի Փոթերի շարքի հեղինակը:")</f>
        <v>Ո՞վ է Հարի Փոթերի շարքի հեղինակը:</v>
      </c>
      <c r="D9296" s="6" t="str">
        <f>IFERROR(__xludf.DUMMYFUNCTION("GOOGLETRANSLATE(B9296,""en"",""hy"")"),"Ջ.Կ. Ռոուլինգ.")</f>
        <v>Ջ.Կ. Ռոուլինգ.</v>
      </c>
    </row>
    <row r="9297">
      <c r="A9297" s="5" t="s">
        <v>7455</v>
      </c>
      <c r="B9297" s="5" t="s">
        <v>7646</v>
      </c>
      <c r="C9297" s="5" t="str">
        <f>IFERROR(__xludf.DUMMYFUNCTION("GOOGLETRANSLATE(A9297,""en"",""hy"")"),"Ո՞րն է աշխարհի ամենամեծ օվկիանոսը:")</f>
        <v>Ո՞րն է աշխարհի ամենամեծ օվկիանոսը:</v>
      </c>
      <c r="D9297" s="6" t="str">
        <f>IFERROR(__xludf.DUMMYFUNCTION("GOOGLETRANSLATE(B9297,""en"",""hy"")"),"Խաղաղ օվկիանոս.")</f>
        <v>Խաղաղ օվկիանոս.</v>
      </c>
    </row>
    <row r="9298">
      <c r="A9298" s="5" t="s">
        <v>7839</v>
      </c>
      <c r="B9298" s="5" t="s">
        <v>7753</v>
      </c>
      <c r="C9298" s="5" t="str">
        <f>IFERROR(__xludf.DUMMYFUNCTION("GOOGLETRANSLATE(A9298,""en"",""hy"")"),"Ո՞րն է Ճապոնիայի մայրաքաղաքը:")</f>
        <v>Ո՞րն է Ճապոնիայի մայրաքաղաքը:</v>
      </c>
      <c r="D9298" s="6" t="str">
        <f>IFERROR(__xludf.DUMMYFUNCTION("GOOGLETRANSLATE(B9298,""en"",""hy"")"),"Տոկիո.")</f>
        <v>Տոկիո.</v>
      </c>
    </row>
    <row r="9299">
      <c r="A9299" s="5" t="s">
        <v>8106</v>
      </c>
      <c r="B9299" s="5" t="s">
        <v>7916</v>
      </c>
      <c r="C9299" s="5" t="str">
        <f>IFERROR(__xludf.DUMMYFUNCTION("GOOGLETRANSLATE(A9299,""en"",""hy"")"),"Քանի՞ ոսկոր կա մարդու մարմնում:")</f>
        <v>Քանի՞ ոսկոր կա մարդու մարմնում:</v>
      </c>
      <c r="D9299" s="6" t="str">
        <f>IFERROR(__xludf.DUMMYFUNCTION("GOOGLETRANSLATE(B9299,""en"",""hy"")"),"Մարդու մարմնում կա 206 ոսկոր։")</f>
        <v>Մարդու մարմնում կա 206 ոսկոր։</v>
      </c>
    </row>
    <row r="9300">
      <c r="A9300" s="5" t="s">
        <v>7473</v>
      </c>
      <c r="B9300" s="5" t="s">
        <v>7474</v>
      </c>
      <c r="C9300" s="5" t="str">
        <f>IFERROR(__xludf.DUMMYFUNCTION("GOOGLETRANSLATE(A9300,""en"",""hy"")"),"Ո՞վ է նկարել Սիքստինյան կապելլայի առաստաղը:")</f>
        <v>Ո՞վ է նկարել Սիքստինյան կապելլայի առաստաղը:</v>
      </c>
      <c r="D9300" s="6" t="str">
        <f>IFERROR(__xludf.DUMMYFUNCTION("GOOGLETRANSLATE(B9300,""en"",""hy"")"),"Միքելանջելո.")</f>
        <v>Միքելանջելո.</v>
      </c>
    </row>
    <row r="9301">
      <c r="A9301" s="5" t="s">
        <v>8138</v>
      </c>
      <c r="B9301" s="5" t="s">
        <v>6236</v>
      </c>
      <c r="C9301" s="5" t="str">
        <f>IFERROR(__xludf.DUMMYFUNCTION("GOOGLETRANSLATE(A9301,""en"",""hy"")"),"Ո՞րն է Բրազիլիայում խոսվող հիմնական լեզուն:")</f>
        <v>Ո՞րն է Բրազիլիայում խոսվող հիմնական լեզուն:</v>
      </c>
      <c r="D9301" s="6" t="str">
        <f>IFERROR(__xludf.DUMMYFUNCTION("GOOGLETRANSLATE(B9301,""en"",""hy"")"),"պորտուգալերեն.")</f>
        <v>պորտուգալերեն.</v>
      </c>
    </row>
    <row r="9302">
      <c r="A9302" s="5" t="s">
        <v>7634</v>
      </c>
      <c r="B9302" s="5" t="s">
        <v>7635</v>
      </c>
      <c r="C9302" s="5" t="str">
        <f>IFERROR(__xludf.DUMMYFUNCTION("GOOGLETRANSLATE(A9302,""en"",""hy"")"),"Ո՞վ էր առաջին մարդը, ով ոտք դրեց լուսնի վրա:")</f>
        <v>Ո՞վ էր առաջին մարդը, ով ոտք դրեց լուսնի վրա:</v>
      </c>
      <c r="D9302" s="6" t="str">
        <f>IFERROR(__xludf.DUMMYFUNCTION("GOOGLETRANSLATE(B9302,""en"",""hy"")"),"Նիլ Արմսթրոնգ.")</f>
        <v>Նիլ Արմսթրոնգ.</v>
      </c>
    </row>
    <row r="9303">
      <c r="A9303" s="5" t="s">
        <v>7497</v>
      </c>
      <c r="B9303" s="5" t="s">
        <v>8600</v>
      </c>
      <c r="C9303" s="5" t="str">
        <f>IFERROR(__xludf.DUMMYFUNCTION("GOOGLETRANSLATE(A9303,""en"",""hy"")"),"Ո՞րն է աշխարհի ամենամեծ մայրցամաքը:")</f>
        <v>Ո՞րն է աշխարհի ամենամեծ մայրցամաքը:</v>
      </c>
      <c r="D9303" s="6" t="str">
        <f>IFERROR(__xludf.DUMMYFUNCTION("GOOGLETRANSLATE(B9303,""en"",""hy"")"),"Ասիա")</f>
        <v>Ասիա</v>
      </c>
    </row>
    <row r="9304">
      <c r="A9304" s="5" t="s">
        <v>7592</v>
      </c>
      <c r="B9304" s="5" t="s">
        <v>7593</v>
      </c>
      <c r="C9304" s="5" t="str">
        <f>IFERROR(__xludf.DUMMYFUNCTION("GOOGLETRANSLATE(A9304,""en"",""hy"")"),"Ո՞րն է թթվածնի քիմիական նշանը:")</f>
        <v>Ո՞րն է թթվածնի քիմիական նշանը:</v>
      </c>
      <c r="D9304" s="6" t="str">
        <f>IFERROR(__xludf.DUMMYFUNCTION("GOOGLETRANSLATE(B9304,""en"",""hy"")"),"Թթվածնի քիմիական նշանը O է:")</f>
        <v>Թթվածնի քիմիական նշանը O է:</v>
      </c>
    </row>
    <row r="9305">
      <c r="A9305" s="5" t="s">
        <v>7640</v>
      </c>
      <c r="B9305" s="5" t="s">
        <v>1016</v>
      </c>
      <c r="C9305" s="5" t="str">
        <f>IFERROR(__xludf.DUMMYFUNCTION("GOOGLETRANSLATE(A9305,""en"",""hy"")"),"Ո՞վ է գրել «Ռոմեո և Ջուլիետ» պիեսը:")</f>
        <v>Ո՞վ է գրել «Ռոմեո և Ջուլիետ» պիեսը:</v>
      </c>
      <c r="D9305" s="6" t="str">
        <f>IFERROR(__xludf.DUMMYFUNCTION("GOOGLETRANSLATE(B9305,""en"",""hy"")"),"Ուիլյամ Շեքսպիր.")</f>
        <v>Ուիլյամ Շեքսպիր.</v>
      </c>
    </row>
    <row r="9306">
      <c r="A9306" s="5" t="s">
        <v>8172</v>
      </c>
      <c r="B9306" s="5" t="s">
        <v>7733</v>
      </c>
      <c r="C9306" s="5" t="str">
        <f>IFERROR(__xludf.DUMMYFUNCTION("GOOGLETRANSLATE(A9306,""en"",""hy"")"),"Ո՞րն է աշխարհի ամենաբարձր ջրվեժը:")</f>
        <v>Ո՞րն է աշխարհի ամենաբարձր ջրվեժը:</v>
      </c>
      <c r="D9306" s="6" t="str">
        <f>IFERROR(__xludf.DUMMYFUNCTION("GOOGLETRANSLATE(B9306,""en"",""hy"")"),"Angel Falls.")</f>
        <v>Angel Falls.</v>
      </c>
    </row>
    <row r="9307">
      <c r="A9307" s="5" t="s">
        <v>7960</v>
      </c>
      <c r="B9307" s="5" t="s">
        <v>10031</v>
      </c>
      <c r="C9307" s="5" t="str">
        <f>IFERROR(__xludf.DUMMYFUNCTION("GOOGLETRANSLATE(A9307,""en"",""hy"")"),"Ո՞ր տարում է խորտակվել Տիտանիկը:")</f>
        <v>Ո՞ր տարում է խորտակվել Տիտանիկը:</v>
      </c>
      <c r="D9307" s="6" t="str">
        <f>IFERROR(__xludf.DUMMYFUNCTION("GOOGLETRANSLATE(B9307,""en"",""hy"")"),"Տիտանիկը խորտակվեց 1912 թվականին։")</f>
        <v>Տիտանիկը խորտակվեց 1912 թվականին։</v>
      </c>
    </row>
    <row r="9308">
      <c r="A9308" s="5" t="s">
        <v>7506</v>
      </c>
      <c r="B9308" s="5" t="s">
        <v>7507</v>
      </c>
      <c r="C9308" s="5" t="str">
        <f>IFERROR(__xludf.DUMMYFUNCTION("GOOGLETRANSLATE(A9308,""en"",""hy"")"),"Ո՞րն է աշխարհի ամենափոքր երկիրը:")</f>
        <v>Ո՞րն է աշխարհի ամենափոքր երկիրը:</v>
      </c>
      <c r="D9308" s="6" t="str">
        <f>IFERROR(__xludf.DUMMYFUNCTION("GOOGLETRANSLATE(B9308,""en"",""hy"")"),"Քաղաք Վատիկան.")</f>
        <v>Քաղաք Վատիկան.</v>
      </c>
    </row>
    <row r="9309">
      <c r="A9309" s="5" t="s">
        <v>7504</v>
      </c>
      <c r="B9309" s="5" t="s">
        <v>7505</v>
      </c>
      <c r="C9309" s="5" t="str">
        <f>IFERROR(__xludf.DUMMYFUNCTION("GOOGLETRANSLATE(A9309,""en"",""hy"")"),"Ո՞վ է Միացյալ Նահանգների ներկայիս նախագահը:")</f>
        <v>Ո՞վ է Միացյալ Նահանգների ներկայիս նախագահը:</v>
      </c>
      <c r="D9309" s="6" t="str">
        <f>IFERROR(__xludf.DUMMYFUNCTION("GOOGLETRANSLATE(B9309,""en"",""hy"")"),"Ջո Բայդեն.")</f>
        <v>Ջո Բայդեն.</v>
      </c>
    </row>
    <row r="9310">
      <c r="A9310" s="5" t="s">
        <v>7536</v>
      </c>
      <c r="B9310" s="5" t="s">
        <v>7870</v>
      </c>
      <c r="C9310" s="5" t="str">
        <f>IFERROR(__xludf.DUMMYFUNCTION("GOOGLETRANSLATE(A9310,""en"",""hy"")"),"Ո՞րն է Ռուսաստանի մայրաքաղաքը:")</f>
        <v>Ո՞րն է Ռուսաստանի մայրաքաղաքը:</v>
      </c>
      <c r="D9310" s="6" t="str">
        <f>IFERROR(__xludf.DUMMYFUNCTION("GOOGLETRANSLATE(B9310,""en"",""hy"")"),"Մոսկվա.")</f>
        <v>Մոսկվա.</v>
      </c>
    </row>
    <row r="9311">
      <c r="A9311" s="5" t="s">
        <v>7502</v>
      </c>
      <c r="B9311" s="5" t="s">
        <v>7503</v>
      </c>
      <c r="C9311" s="5" t="str">
        <f>IFERROR(__xludf.DUMMYFUNCTION("GOOGLETRANSLATE(A9311,""en"",""hy"")"),"Քանի՞ կողմ ունի վեցանկյունը:")</f>
        <v>Քանի՞ կողմ ունի վեցանկյունը:</v>
      </c>
      <c r="D9311" s="6" t="str">
        <f>IFERROR(__xludf.DUMMYFUNCTION("GOOGLETRANSLATE(B9311,""en"",""hy"")"),"Վեցանկյունն ունի վեց կողմ:")</f>
        <v>Վեցանկյունն ունի վեց կողմ:</v>
      </c>
    </row>
    <row r="9312">
      <c r="A9312" s="5" t="s">
        <v>8246</v>
      </c>
      <c r="B9312" s="5" t="s">
        <v>7648</v>
      </c>
      <c r="C9312" s="5" t="str">
        <f>IFERROR(__xludf.DUMMYFUNCTION("GOOGLETRANSLATE(A9312,""en"",""hy"")"),"Ո՞վ է նկարել հայտնի «Աստղային գիշերը» արվեստի գործը:")</f>
        <v>Ո՞վ է նկարել հայտնի «Աստղային գիշերը» արվեստի գործը:</v>
      </c>
      <c r="D9312" s="6" t="str">
        <f>IFERROR(__xludf.DUMMYFUNCTION("GOOGLETRANSLATE(B9312,""en"",""hy"")"),"Վինսենթ վան Գոգ.")</f>
        <v>Վինսենթ վան Գոգ.</v>
      </c>
    </row>
    <row r="9313">
      <c r="A9313" s="5" t="s">
        <v>7711</v>
      </c>
      <c r="B9313" s="5" t="s">
        <v>7712</v>
      </c>
      <c r="C9313" s="5" t="str">
        <f>IFERROR(__xludf.DUMMYFUNCTION("GOOGLETRANSLATE(A9313,""en"",""hy"")"),"Ո՞րն է Միացյալ Նահանգների ամենամեծ քաղաքը:")</f>
        <v>Ո՞րն է Միացյալ Նահանգների ամենամեծ քաղաքը:</v>
      </c>
      <c r="D9313" s="6" t="str">
        <f>IFERROR(__xludf.DUMMYFUNCTION("GOOGLETRANSLATE(B9313,""en"",""hy"")"),"Նյու Յորք քաղաք.")</f>
        <v>Նյու Յորք քաղաք.</v>
      </c>
    </row>
    <row r="9314">
      <c r="A9314" s="5" t="s">
        <v>8114</v>
      </c>
      <c r="B9314" s="5" t="s">
        <v>831</v>
      </c>
      <c r="C9314" s="5" t="str">
        <f>IFERROR(__xludf.DUMMYFUNCTION("GOOGLETRANSLATE(A9314,""en"",""hy"")"),"Ո՞րն է Չինաստանում խոսվող հիմնական լեզուն:")</f>
        <v>Ո՞րն է Չինաստանում խոսվող հիմնական լեզուն:</v>
      </c>
      <c r="D9314" s="6" t="str">
        <f>IFERROR(__xludf.DUMMYFUNCTION("GOOGLETRANSLATE(B9314,""en"",""hy"")"),"Մանդարին չինարեն.")</f>
        <v>Մանդարին չինարեն.</v>
      </c>
    </row>
    <row r="9315">
      <c r="A9315" s="5" t="s">
        <v>7789</v>
      </c>
      <c r="B9315" s="5" t="s">
        <v>8405</v>
      </c>
      <c r="C9315" s="5" t="str">
        <f>IFERROR(__xludf.DUMMYFUNCTION("GOOGLETRANSLATE(A9315,""en"",""hy"")"),"Ո՞վ է հունական ամպրոպի աստվածը:")</f>
        <v>Ո՞վ է հունական ամպրոպի աստվածը:</v>
      </c>
      <c r="D9315" s="6" t="str">
        <f>IFERROR(__xludf.DUMMYFUNCTION("GOOGLETRANSLATE(B9315,""en"",""hy"")"),"Զևս.")</f>
        <v>Զևս.</v>
      </c>
    </row>
    <row r="9316">
      <c r="A9316" s="5" t="s">
        <v>7699</v>
      </c>
      <c r="B9316" s="5" t="s">
        <v>7700</v>
      </c>
      <c r="C9316" s="5" t="str">
        <f>IFERROR(__xludf.DUMMYFUNCTION("GOOGLETRANSLATE(A9316,""en"",""hy"")"),"Ո՞րն է ածխածնի քիմիական նշանը:")</f>
        <v>Ո՞րն է ածխածնի քիմիական նշանը:</v>
      </c>
      <c r="D9316" s="6" t="str">
        <f>IFERROR(__xludf.DUMMYFUNCTION("GOOGLETRANSLATE(B9316,""en"",""hy"")"),"Ածխածնի քիմիական նշանը C է:")</f>
        <v>Ածխածնի քիմիական նշանը C է:</v>
      </c>
    </row>
    <row r="9317">
      <c r="A9317" s="5" t="s">
        <v>8016</v>
      </c>
      <c r="B9317" s="5" t="s">
        <v>8017</v>
      </c>
      <c r="C9317" s="5" t="str">
        <f>IFERROR(__xludf.DUMMYFUNCTION("GOOGLETRANSLATE(A9317,""en"",""hy"")"),"Ո՞րն է Անգլիայի ազգային ծաղիկը:")</f>
        <v>Ո՞րն է Անգլիայի ազգային ծաղիկը:</v>
      </c>
      <c r="D9317" s="6" t="str">
        <f>IFERROR(__xludf.DUMMYFUNCTION("GOOGLETRANSLATE(B9317,""en"",""hy"")"),"Անգլիայի ազգային ծաղիկը վարդն է։")</f>
        <v>Անգլիայի ազգային ծաղիկը վարդն է։</v>
      </c>
    </row>
    <row r="9318">
      <c r="A9318" s="5" t="s">
        <v>10044</v>
      </c>
      <c r="B9318" s="5" t="s">
        <v>8463</v>
      </c>
      <c r="C9318" s="5" t="str">
        <f>IFERROR(__xludf.DUMMYFUNCTION("GOOGLETRANSLATE(A9318,""en"",""hy"")"),"Ո՞վ է «Սպանել ծաղրող թռչունին» հայտնի վեպի հեղինակը.")</f>
        <v>Ո՞վ է «Սպանել ծաղրող թռչունին» հայտնի վեպի հեղինակը.</v>
      </c>
      <c r="D9318" s="6" t="str">
        <f>IFERROR(__xludf.DUMMYFUNCTION("GOOGLETRANSLATE(B9318,""en"",""hy"")"),"Հարփեր Լի")</f>
        <v>Հարփեր Լի</v>
      </c>
    </row>
    <row r="9319">
      <c r="A9319" s="5" t="s">
        <v>10045</v>
      </c>
      <c r="B9319" s="5" t="s">
        <v>10046</v>
      </c>
      <c r="C9319" s="5" t="str">
        <f>IFERROR(__xludf.DUMMYFUNCTION("GOOGLETRANSLATE(A9319,""en"",""hy"")"),"Որքա՞ն է ներկայիս Հնդկաստանի բնակչությունը:")</f>
        <v>Որքա՞ն է ներկայիս Հնդկաստանի բնակչությունը:</v>
      </c>
      <c r="D9319" s="6" t="str">
        <f>IFERROR(__xludf.DUMMYFUNCTION("GOOGLETRANSLATE(B9319,""en"",""hy"")"),"Հնդկաստանի ներկայիս բնակչությունը մոտավորապես 1,38 միլիարդ է:")</f>
        <v>Հնդկաստանի ներկայիս բնակչությունը մոտավորապես 1,38 միլիարդ է:</v>
      </c>
    </row>
    <row r="9320">
      <c r="A9320" s="5" t="s">
        <v>7489</v>
      </c>
      <c r="B9320" s="5" t="s">
        <v>7490</v>
      </c>
      <c r="C9320" s="5" t="str">
        <f>IFERROR(__xludf.DUMMYFUNCTION("GOOGLETRANSLATE(A9320,""en"",""hy"")"),"Ո՞րն է աշխարհի ամենաբարձր շենքը:")</f>
        <v>Ո՞րն է աշխարհի ամենաբարձր շենքը:</v>
      </c>
      <c r="D9320" s="6" t="str">
        <f>IFERROR(__xludf.DUMMYFUNCTION("GOOGLETRANSLATE(B9320,""en"",""hy"")"),"Աշխարհի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9321">
      <c r="A9321" s="5" t="s">
        <v>8634</v>
      </c>
      <c r="B9321" s="5" t="s">
        <v>7448</v>
      </c>
      <c r="C9321" s="5" t="str">
        <f>IFERROR(__xludf.DUMMYFUNCTION("GOOGLETRANSLATE(A9321,""en"",""hy"")"),"Ո՞վ է նկարել «Վերջին ընթրիքը» նկարը:")</f>
        <v>Ո՞վ է նկարել «Վերջին ընթրիքը» նկարը:</v>
      </c>
      <c r="D9321" s="6" t="str">
        <f>IFERROR(__xludf.DUMMYFUNCTION("GOOGLETRANSLATE(B9321,""en"",""hy"")"),"Լեոնարդո դա Վինչի.")</f>
        <v>Լեոնարդո դա Վինչի.</v>
      </c>
    </row>
    <row r="9322">
      <c r="A9322" s="5" t="s">
        <v>9314</v>
      </c>
      <c r="B9322" s="5" t="s">
        <v>9315</v>
      </c>
      <c r="C9322" s="5" t="str">
        <f>IFERROR(__xludf.DUMMYFUNCTION("GOOGLETRANSLATE(A9322,""en"",""hy"")"),"Ո՞րն է հիմնական կրոնը Հնդկաստանում:")</f>
        <v>Ո՞րն է հիմնական կրոնը Հնդկաստանում:</v>
      </c>
      <c r="D9322" s="6" t="str">
        <f>IFERROR(__xludf.DUMMYFUNCTION("GOOGLETRANSLATE(B9322,""en"",""hy"")"),"Հինդուիզմ.")</f>
        <v>Հինդուիզմ.</v>
      </c>
    </row>
    <row r="9323">
      <c r="A9323" s="5" t="s">
        <v>7534</v>
      </c>
      <c r="B9323" s="5" t="s">
        <v>7535</v>
      </c>
      <c r="C9323" s="5" t="str">
        <f>IFERROR(__xludf.DUMMYFUNCTION("GOOGLETRANSLATE(A9323,""en"",""hy"")"),"Ո՞վ է հորինել հեռախոսը:")</f>
        <v>Ո՞վ է հորինել հեռախոսը:</v>
      </c>
      <c r="D9323" s="6" t="str">
        <f>IFERROR(__xludf.DUMMYFUNCTION("GOOGLETRANSLATE(B9323,""en"",""hy"")"),"Ալեքսանդր Գրեհեմ Բել.")</f>
        <v>Ալեքսանդր Գրեհեմ Բել.</v>
      </c>
    </row>
    <row r="9324">
      <c r="A9324" s="5" t="s">
        <v>8028</v>
      </c>
      <c r="B9324" s="5" t="s">
        <v>79</v>
      </c>
      <c r="C9324" s="5" t="str">
        <f>IFERROR(__xludf.DUMMYFUNCTION("GOOGLETRANSLATE(A9324,""en"",""hy"")"),"Ո՞րն է Կանադայի ազգային սպորտը:")</f>
        <v>Ո՞րն է Կանադայի ազգային սպորտը:</v>
      </c>
      <c r="D9324" s="6" t="str">
        <f>IFERROR(__xludf.DUMMYFUNCTION("GOOGLETRANSLATE(B9324,""en"",""hy"")"),"Հոկեյ.")</f>
        <v>Հոկեյ.</v>
      </c>
    </row>
    <row r="9325">
      <c r="A9325" s="5" t="s">
        <v>8963</v>
      </c>
      <c r="B9325" s="5" t="s">
        <v>7501</v>
      </c>
      <c r="C9325" s="5" t="str">
        <f>IFERROR(__xludf.DUMMYFUNCTION("GOOGLETRANSLATE(A9325,""en"",""hy"")"),"Ո՞ր քաղաքում կգտնեք Էյֆելյան աշտարակը:")</f>
        <v>Ո՞ր քաղաքում կգտնեք Էյֆելյան աշտարակը:</v>
      </c>
      <c r="D9325" s="6" t="str">
        <f>IFERROR(__xludf.DUMMYFUNCTION("GOOGLETRANSLATE(B9325,""en"",""hy"")"),"Փարիզ.")</f>
        <v>Փարիզ.</v>
      </c>
    </row>
    <row r="9326">
      <c r="A9326" s="5" t="s">
        <v>7528</v>
      </c>
      <c r="B9326" s="5" t="s">
        <v>7529</v>
      </c>
      <c r="C9326" s="5" t="str">
        <f>IFERROR(__xludf.DUMMYFUNCTION("GOOGLETRANSLATE(A9326,""en"",""hy"")"),"Ո՞վ է Գերմանիայի ներկայիս կանցլերը:")</f>
        <v>Ո՞վ է Գերմանիայի ներկայիս կանցլերը:</v>
      </c>
      <c r="D9326" s="6" t="str">
        <f>IFERROR(__xludf.DUMMYFUNCTION("GOOGLETRANSLATE(B9326,""en"",""hy"")"),"Անգելա Մերկել.")</f>
        <v>Անգելա Մերկել.</v>
      </c>
    </row>
    <row r="9327">
      <c r="A9327" s="5" t="s">
        <v>8537</v>
      </c>
      <c r="B9327" s="5" t="s">
        <v>8538</v>
      </c>
      <c r="C9327" s="5" t="str">
        <f>IFERROR(__xludf.DUMMYFUNCTION("GOOGLETRANSLATE(A9327,""en"",""hy"")"),"Ո՞րն է Միջերկրական ծովի ամենամեծ կղզին:")</f>
        <v>Ո՞րն է Միջերկրական ծովի ամենամեծ կղզին:</v>
      </c>
      <c r="D9327" s="6" t="str">
        <f>IFERROR(__xludf.DUMMYFUNCTION("GOOGLETRANSLATE(B9327,""en"",""hy"")"),"Սիցիլիա.")</f>
        <v>Սիցիլիա.</v>
      </c>
    </row>
    <row r="9328">
      <c r="A9328" s="5" t="s">
        <v>9154</v>
      </c>
      <c r="B9328" s="5" t="s">
        <v>9155</v>
      </c>
      <c r="C9328" s="5" t="str">
        <f>IFERROR(__xludf.DUMMYFUNCTION("GOOGLETRANSLATE(A9328,""en"",""hy"")"),"Քանի՞ ոտք կա մեկ մղոնում:")</f>
        <v>Քանի՞ ոտք կա մեկ մղոնում:</v>
      </c>
      <c r="D9328" s="6" t="str">
        <f>IFERROR(__xludf.DUMMYFUNCTION("GOOGLETRANSLATE(B9328,""en"",""hy"")"),"Մեկ մղոնում կա 5280 ֆուտ:")</f>
        <v>Մեկ մղոնում կա 5280 ֆուտ:</v>
      </c>
    </row>
    <row r="9329">
      <c r="A9329" s="5" t="s">
        <v>7443</v>
      </c>
      <c r="B9329" s="5" t="s">
        <v>8355</v>
      </c>
      <c r="C9329" s="5" t="str">
        <f>IFERROR(__xludf.DUMMYFUNCTION("GOOGLETRANSLATE(A9329,""en"",""hy"")"),"Ո՞վ է գրել «1984» վեպը։")</f>
        <v>Ո՞վ է գրել «1984» վեպը։</v>
      </c>
      <c r="D9329" s="6" t="str">
        <f>IFERROR(__xludf.DUMMYFUNCTION("GOOGLETRANSLATE(B9329,""en"",""hy"")"),"Ջորջ Օրուել")</f>
        <v>Ջորջ Օրուել</v>
      </c>
    </row>
    <row r="9330">
      <c r="A9330" s="5" t="s">
        <v>7450</v>
      </c>
      <c r="B9330" s="5" t="s">
        <v>7451</v>
      </c>
      <c r="C9330" s="5" t="str">
        <f>IFERROR(__xludf.DUMMYFUNCTION("GOOGLETRANSLATE(A9330,""en"",""hy"")"),"Ո՞րն է Ավստրալիայի մայրաքաղաքը:")</f>
        <v>Ո՞րն է Ավստրալիայի մայրաքաղաքը:</v>
      </c>
      <c r="D9330" s="6" t="str">
        <f>IFERROR(__xludf.DUMMYFUNCTION("GOOGLETRANSLATE(B9330,""en"",""hy"")"),"Կանբերա.")</f>
        <v>Կանբերա.</v>
      </c>
    </row>
    <row r="9331">
      <c r="A9331" s="5" t="s">
        <v>7509</v>
      </c>
      <c r="B9331" s="5" t="s">
        <v>7684</v>
      </c>
      <c r="C9331" s="5" t="str">
        <f>IFERROR(__xludf.DUMMYFUNCTION("GOOGLETRANSLATE(A9331,""en"",""hy"")"),"Ո՞րն է արծաթի քիմիական նշանը:")</f>
        <v>Ո՞րն է արծաթի քիմիական նշանը:</v>
      </c>
      <c r="D9331" s="6" t="str">
        <f>IFERROR(__xludf.DUMMYFUNCTION("GOOGLETRANSLATE(B9331,""en"",""hy"")"),"Արծաթի քիմիական խորհրդանիշն է Ag.")</f>
        <v>Արծաթի քիմիական խորհրդանիշն է Ag.</v>
      </c>
    </row>
    <row r="9332">
      <c r="A9332" s="5" t="s">
        <v>10047</v>
      </c>
      <c r="B9332" s="5" t="s">
        <v>2790</v>
      </c>
      <c r="C9332" s="5" t="str">
        <f>IFERROR(__xludf.DUMMYFUNCTION("GOOGLETRANSLATE(A9332,""en"",""hy"")"),"Ո՞ր երկրում է կառուցվել Չինական Մեծ պատը:")</f>
        <v>Ո՞ր երկրում է կառուցվել Չինական Մեծ պատը:</v>
      </c>
      <c r="D9332" s="6" t="str">
        <f>IFERROR(__xludf.DUMMYFUNCTION("GOOGLETRANSLATE(B9332,""en"",""hy"")"),"Չինաստան.")</f>
        <v>Չինաստան.</v>
      </c>
    </row>
    <row r="9333">
      <c r="A9333" s="5" t="s">
        <v>10048</v>
      </c>
      <c r="B9333" s="5" t="s">
        <v>7613</v>
      </c>
      <c r="C9333" s="5" t="str">
        <f>IFERROR(__xludf.DUMMYFUNCTION("GOOGLETRANSLATE(A9333,""en"",""hy"")"),"Ո՞վ է «Մեծն Գեթսբի» հայտնի վեպի հեղինակը.")</f>
        <v>Ո՞վ է «Մեծն Գեթսբի» հայտնի վեպի հեղինակը.</v>
      </c>
      <c r="D9333" s="6" t="str">
        <f>IFERROR(__xludf.DUMMYFUNCTION("GOOGLETRANSLATE(B9333,""en"",""hy"")"),"F. Scott Fitzgerald")</f>
        <v>F. Scott Fitzgerald</v>
      </c>
    </row>
    <row r="9334">
      <c r="A9334" s="5" t="s">
        <v>10049</v>
      </c>
      <c r="B9334" s="5" t="s">
        <v>395</v>
      </c>
      <c r="C9334" s="5" t="str">
        <f>IFERROR(__xludf.DUMMYFUNCTION("GOOGLETRANSLATE(A9334,""en"",""hy"")"),"Ո՞րն է Նիգերիայի պաշտոնական լեզուն:")</f>
        <v>Ո՞րն է Նիգերիայի պաշտոնական լեզուն:</v>
      </c>
      <c r="D9334" s="6" t="str">
        <f>IFERROR(__xludf.DUMMYFUNCTION("GOOGLETRANSLATE(B9334,""en"",""hy"")"),"Անգլերեն.")</f>
        <v>Անգլերեն.</v>
      </c>
    </row>
    <row r="9335">
      <c r="A9335" s="5" t="s">
        <v>7939</v>
      </c>
      <c r="B9335" s="5" t="s">
        <v>7940</v>
      </c>
      <c r="C9335" s="5" t="str">
        <f>IFERROR(__xludf.DUMMYFUNCTION("GOOGLETRANSLATE(A9335,""en"",""hy"")"),"Քանի՞ մայրցամաք կա աշխարհում:")</f>
        <v>Քանի՞ մայրցամաք կա աշխարհում:</v>
      </c>
      <c r="D9335" s="6" t="str">
        <f>IFERROR(__xludf.DUMMYFUNCTION("GOOGLETRANSLATE(B9335,""en"",""hy"")"),"Աշխարհում կան յոթ մայրցամաքներ։")</f>
        <v>Աշխարհում կան յոթ մայրցամաքներ։</v>
      </c>
    </row>
    <row r="9336">
      <c r="A9336" s="5" t="s">
        <v>8641</v>
      </c>
      <c r="B9336" s="5" t="s">
        <v>7745</v>
      </c>
      <c r="C9336" s="5" t="str">
        <f>IFERROR(__xludf.DUMMYFUNCTION("GOOGLETRANSLATE(A9336,""en"",""hy"")"),"Ո՞վ է նկարել «Հիշողության համառությունը» ստեղծագործությունը:")</f>
        <v>Ո՞վ է նկարել «Հիշողության համառությունը» ստեղծագործությունը:</v>
      </c>
      <c r="D9336" s="6" t="str">
        <f>IFERROR(__xludf.DUMMYFUNCTION("GOOGLETRANSLATE(B9336,""en"",""hy"")"),"Սալվադոր Դալի.")</f>
        <v>Սալվադոր Դալի.</v>
      </c>
    </row>
    <row r="9337">
      <c r="A9337" s="5" t="s">
        <v>7817</v>
      </c>
      <c r="B9337" s="5" t="s">
        <v>7818</v>
      </c>
      <c r="C9337" s="5" t="str">
        <f>IFERROR(__xludf.DUMMYFUNCTION("GOOGLETRANSLATE(A9337,""en"",""hy"")"),"Ո՞րն է Կանադայի ազգային կենդանին:")</f>
        <v>Ո՞րն է Կանադայի ազգային կենդանին:</v>
      </c>
      <c r="D9337" s="6" t="str">
        <f>IFERROR(__xludf.DUMMYFUNCTION("GOOGLETRANSLATE(B9337,""en"",""hy"")"),"Կանադայի ազգային կենդանին կեղևն է:")</f>
        <v>Կանադայի ազգային կենդանին կեղևն է:</v>
      </c>
    </row>
    <row r="9338">
      <c r="A9338" s="5" t="s">
        <v>7966</v>
      </c>
      <c r="B9338" s="5" t="s">
        <v>7967</v>
      </c>
      <c r="C9338" s="5" t="str">
        <f>IFERROR(__xludf.DUMMYFUNCTION("GOOGLETRANSLATE(A9338,""en"",""hy"")"),"Ո՞վ է եղել առաջին կինը, ով Նոբելյան մրցանակ է ստացել:")</f>
        <v>Ո՞վ է եղել առաջին կինը, ով Նոբելյան մրցանակ է ստացել:</v>
      </c>
      <c r="D9338" s="6" t="str">
        <f>IFERROR(__xludf.DUMMYFUNCTION("GOOGLETRANSLATE(B9338,""en"",""hy"")"),"Մարի Կյուրի.")</f>
        <v>Մարի Կյուրի.</v>
      </c>
    </row>
    <row r="9339">
      <c r="A9339" s="5" t="s">
        <v>7561</v>
      </c>
      <c r="B9339" s="5" t="s">
        <v>7669</v>
      </c>
      <c r="C9339" s="5" t="str">
        <f>IFERROR(__xludf.DUMMYFUNCTION("GOOGLETRANSLATE(A9339,""en"",""hy"")"),"Ո՞րն է Մեքսիկայի արժույթը:")</f>
        <v>Ո՞րն է Մեքսիկայի արժույթը:</v>
      </c>
      <c r="D9339" s="6" t="str">
        <f>IFERROR(__xludf.DUMMYFUNCTION("GOOGLETRANSLATE(B9339,""en"",""hy"")"),"Մեքսիկայի արժույթը մեքսիկական պեսոն է։")</f>
        <v>Մեքսիկայի արժույթը մեքսիկական պեսոն է։</v>
      </c>
    </row>
    <row r="9340">
      <c r="A9340" s="5" t="s">
        <v>8700</v>
      </c>
      <c r="B9340" s="5" t="s">
        <v>8701</v>
      </c>
      <c r="C9340" s="5" t="str">
        <f>IFERROR(__xludf.DUMMYFUNCTION("GOOGLETRANSLATE(A9340,""en"",""hy"")"),"Ո՞րն է Գերմանիայում խոսվող հիմնական լեզուն:")</f>
        <v>Ո՞րն է Գերմանիայում խոսվող հիմնական լեզուն:</v>
      </c>
      <c r="D9340" s="6" t="str">
        <f>IFERROR(__xludf.DUMMYFUNCTION("GOOGLETRANSLATE(B9340,""en"",""hy"")"),"Գերմանիայում խոսվող հիմնական լեզուն գերմաներենն է։")</f>
        <v>Գերմանիայում խոսվող հիմնական լեզուն գերմաներենն է։</v>
      </c>
    </row>
    <row r="9341">
      <c r="A9341" s="5" t="s">
        <v>7601</v>
      </c>
      <c r="B9341" s="5" t="s">
        <v>3966</v>
      </c>
      <c r="C9341" s="5" t="str">
        <f>IFERROR(__xludf.DUMMYFUNCTION("GOOGLETRANSLATE(A9341,""en"",""hy"")"),"Ո՞վ է Ֆրանսիայի ներկայիս նախագահը.")</f>
        <v>Ո՞վ է Ֆրանսիայի ներկայիս նախագահը.</v>
      </c>
      <c r="D9341" s="6" t="str">
        <f>IFERROR(__xludf.DUMMYFUNCTION("GOOGLETRANSLATE(B9341,""en"",""hy"")"),"Էմանուել Մակրոն.")</f>
        <v>Էմանուել Մակրոն.</v>
      </c>
    </row>
    <row r="9342">
      <c r="A9342" s="5" t="s">
        <v>7599</v>
      </c>
      <c r="B9342" s="5" t="s">
        <v>7600</v>
      </c>
      <c r="C9342" s="5" t="str">
        <f>IFERROR(__xludf.DUMMYFUNCTION("GOOGLETRANSLATE(A9342,""en"",""hy"")"),"Ո՞րն է աշխարհի ամենամեծ լիճը:")</f>
        <v>Ո՞րն է աշխարհի ամենամեծ լիճը:</v>
      </c>
      <c r="D9342" s="6" t="str">
        <f>IFERROR(__xludf.DUMMYFUNCTION("GOOGLETRANSLATE(B9342,""en"",""hy"")"),"Աշխարհի ամենամեծ լիճը Կասպից ծովն է։")</f>
        <v>Աշխարհի ամենամեծ լիճը Կասպից ծովն է։</v>
      </c>
    </row>
    <row r="9343">
      <c r="A9343" s="5" t="s">
        <v>10050</v>
      </c>
      <c r="B9343" s="5" t="s">
        <v>10051</v>
      </c>
      <c r="C9343" s="5" t="str">
        <f>IFERROR(__xludf.DUMMYFUNCTION("GOOGLETRANSLATE(A9343,""en"",""hy"")"),"Ո՞ր երկրում է ծնվել Շեքսպիրը.")</f>
        <v>Ո՞ր երկրում է ծնվել Շեքսպիրը.</v>
      </c>
      <c r="D9343" s="6" t="str">
        <f>IFERROR(__xludf.DUMMYFUNCTION("GOOGLETRANSLATE(B9343,""en"",""hy"")"),"Շեքսպիրը ծնվել է Անգլիայում։")</f>
        <v>Շեքսպիրը ծնվել է Անգլիայում։</v>
      </c>
    </row>
    <row r="9344">
      <c r="A9344" s="5" t="s">
        <v>7665</v>
      </c>
      <c r="B9344" s="5" t="s">
        <v>7781</v>
      </c>
      <c r="C9344" s="5" t="str">
        <f>IFERROR(__xludf.DUMMYFUNCTION("GOOGLETRANSLATE(A9344,""en"",""hy"")"),"Ո՞րն է նատրիումի քիմիական նշանը:")</f>
        <v>Ո՞րն է նատրիումի քիմիական նշանը:</v>
      </c>
      <c r="D9344" s="6" t="str">
        <f>IFERROR(__xludf.DUMMYFUNCTION("GOOGLETRANSLATE(B9344,""en"",""hy"")"),"Նատրիումի քիմիական նշանը Na է:")</f>
        <v>Նատրիումի քիմիական նշանը Na է:</v>
      </c>
    </row>
    <row r="9345">
      <c r="A9345" s="5" t="s">
        <v>7683</v>
      </c>
      <c r="B9345" s="5" t="s">
        <v>1016</v>
      </c>
      <c r="C9345" s="5" t="str">
        <f>IFERROR(__xludf.DUMMYFUNCTION("GOOGLETRANSLATE(A9345,""en"",""hy"")"),"Ո՞վ է գրել «Համլետ» պիեսը։")</f>
        <v>Ո՞վ է գրել «Համլետ» պիեսը։</v>
      </c>
      <c r="D9345" s="6" t="str">
        <f>IFERROR(__xludf.DUMMYFUNCTION("GOOGLETRANSLATE(B9345,""en"",""hy"")"),"Ուիլյամ Շեքսպիր.")</f>
        <v>Ուիլյամ Շեքսպիր.</v>
      </c>
    </row>
    <row r="9346">
      <c r="A9346" s="5" t="s">
        <v>10052</v>
      </c>
      <c r="B9346" s="5" t="s">
        <v>10053</v>
      </c>
      <c r="C9346" s="5" t="str">
        <f>IFERROR(__xludf.DUMMYFUNCTION("GOOGLETRANSLATE(A9346,""en"",""hy"")"),"Ո՞րն է Միացյալ Նահանգների բարձրագույն դատարանը:")</f>
        <v>Ո՞րն է Միացյալ Նահանգների բարձրագույն դատարանը:</v>
      </c>
      <c r="D9346" s="6" t="str">
        <f>IFERROR(__xludf.DUMMYFUNCTION("GOOGLETRANSLATE(B9346,""en"",""hy"")"),"Գերագույն դատարանը.")</f>
        <v>Գերագույն դատարանը.</v>
      </c>
    </row>
    <row r="9347">
      <c r="A9347" s="5" t="s">
        <v>9605</v>
      </c>
      <c r="B9347" s="5" t="s">
        <v>10054</v>
      </c>
      <c r="C9347" s="5" t="str">
        <f>IFERROR(__xludf.DUMMYFUNCTION("GOOGLETRANSLATE(A9347,""en"",""hy"")"),"Ո՞րն է Ճապոնիայի հիմնական կրոնը:")</f>
        <v>Ո՞րն է Ճապոնիայի հիմնական կրոնը:</v>
      </c>
      <c r="D9347" s="6" t="str">
        <f>IFERROR(__xludf.DUMMYFUNCTION("GOOGLETRANSLATE(B9347,""en"",""hy"")"),"Սինտոն Ճապոնիայում հիմնական կրոնն է։")</f>
        <v>Սինտոն Ճապոնիայում հիմնական կրոնն է։</v>
      </c>
    </row>
    <row r="9348">
      <c r="A9348" s="5" t="s">
        <v>8698</v>
      </c>
      <c r="B9348" s="5" t="s">
        <v>7956</v>
      </c>
      <c r="C9348" s="5" t="str">
        <f>IFERROR(__xludf.DUMMYFUNCTION("GOOGLETRANSLATE(A9348,""en"",""hy"")"),"Ո՞վ է հայտնաբերել գրավիտացիայի տեսությունը:")</f>
        <v>Ո՞վ է հայտնաբերել գրավիտացիայի տեսությունը:</v>
      </c>
      <c r="D9348" s="6" t="str">
        <f>IFERROR(__xludf.DUMMYFUNCTION("GOOGLETRANSLATE(B9348,""en"",""hy"")"),"Իսահակ Նյուտոն.")</f>
        <v>Իսահակ Նյուտոն.</v>
      </c>
    </row>
    <row r="9349">
      <c r="A9349" s="5" t="s">
        <v>8079</v>
      </c>
      <c r="B9349" s="5" t="s">
        <v>8080</v>
      </c>
      <c r="C9349" s="5" t="str">
        <f>IFERROR(__xludf.DUMMYFUNCTION("GOOGLETRANSLATE(A9349,""en"",""hy"")"),"Ո՞րն է Ավստրալիայի ազգային սպորտը:")</f>
        <v>Ո՞րն է Ավստրալիայի ազգային սպորտը:</v>
      </c>
      <c r="D9349" s="6" t="str">
        <f>IFERROR(__xludf.DUMMYFUNCTION("GOOGLETRANSLATE(B9349,""en"",""hy"")"),"Ավստրալիայի ազգային սպորտաձևը ավստրալական կանոնների ֆուտբոլն է:")</f>
        <v>Ավստրալիայի ազգային սպորտաձևը ավստրալական կանոնների ֆուտբոլն է:</v>
      </c>
    </row>
    <row r="9350">
      <c r="A9350" s="5" t="s">
        <v>9015</v>
      </c>
      <c r="B9350" s="5" t="s">
        <v>9016</v>
      </c>
      <c r="C9350" s="5" t="str">
        <f>IFERROR(__xludf.DUMMYFUNCTION("GOOGLETRANSLATE(A9350,""en"",""hy"")"),"Ո՞ր քաղաքում է գտնվում Քրիստոսի Քավիչի հայտնի արձանը։")</f>
        <v>Ո՞ր քաղաքում է գտնվում Քրիստոսի Քավիչի հայտնի արձանը։</v>
      </c>
      <c r="D9350" s="6" t="str">
        <f>IFERROR(__xludf.DUMMYFUNCTION("GOOGLETRANSLATE(B9350,""en"",""hy"")"),"Ռիո դե Ժանեյրո.")</f>
        <v>Ռիո դե Ժանեյրո.</v>
      </c>
    </row>
    <row r="9351">
      <c r="A9351" s="5" t="s">
        <v>7574</v>
      </c>
      <c r="B9351" s="5" t="s">
        <v>7525</v>
      </c>
      <c r="C9351" s="5" t="str">
        <f>IFERROR(__xludf.DUMMYFUNCTION("GOOGLETRANSLATE(A9351,""en"",""hy"")"),"Ո՞րն է Չինաստանի մայրաքաղաքը:")</f>
        <v>Ո՞րն է Չինաստանի մայրաքաղաքը:</v>
      </c>
      <c r="D9351" s="6" t="str">
        <f>IFERROR(__xludf.DUMMYFUNCTION("GOOGLETRANSLATE(B9351,""en"",""hy"")"),"Պեկին.")</f>
        <v>Պեկին.</v>
      </c>
    </row>
    <row r="9352">
      <c r="A9352" s="5" t="s">
        <v>7493</v>
      </c>
      <c r="B9352" s="5" t="s">
        <v>10055</v>
      </c>
      <c r="C9352" s="5" t="str">
        <f>IFERROR(__xludf.DUMMYFUNCTION("GOOGLETRANSLATE(A9352,""en"",""hy"")"),"Քանի՞ տարր կա պարբերական աղյուսակում:")</f>
        <v>Քանի՞ տարր կա պարբերական աղյուսակում:</v>
      </c>
      <c r="D9352" s="6" t="str">
        <f>IFERROR(__xludf.DUMMYFUNCTION("GOOGLETRANSLATE(B9352,""en"",""hy"")"),"Պարբերական աղյուսակում ներկայումս կա 118 տարր:")</f>
        <v>Պարբերական աղյուսակում ներկայումս կա 118 տարր:</v>
      </c>
    </row>
    <row r="9353">
      <c r="A9353" s="5" t="s">
        <v>8439</v>
      </c>
      <c r="B9353" s="5" t="s">
        <v>7621</v>
      </c>
      <c r="C9353" s="5" t="str">
        <f>IFERROR(__xludf.DUMMYFUNCTION("GOOGLETRANSLATE(A9353,""en"",""hy"")"),"Ո՞վ է նկարել «Վեներայի ծնունդը» նկարը:")</f>
        <v>Ո՞վ է նկարել «Վեներայի ծնունդը» նկարը:</v>
      </c>
      <c r="D9353" s="6" t="str">
        <f>IFERROR(__xludf.DUMMYFUNCTION("GOOGLETRANSLATE(B9353,""en"",""hy"")"),"Սանդրո Բոտիչելի.")</f>
        <v>Սանդրո Բոտիչելի.</v>
      </c>
    </row>
    <row r="9354">
      <c r="A9354" s="5" t="s">
        <v>7480</v>
      </c>
      <c r="B9354" s="5" t="s">
        <v>7481</v>
      </c>
      <c r="C9354" s="5" t="str">
        <f>IFERROR(__xludf.DUMMYFUNCTION("GOOGLETRANSLATE(A9354,""en"",""hy"")"),"Ո՞րն է Միացյալ Նահանգների ազգային թռչունը:")</f>
        <v>Ո՞րն է Միացյալ Նահանգների ազգային թռչունը:</v>
      </c>
      <c r="D9354" s="6" t="str">
        <f>IFERROR(__xludf.DUMMYFUNCTION("GOOGLETRANSLATE(B9354,""en"",""hy"")"),"Միացյալ Նահանգների ազգային թռչունը ճաղատ արծիվն է։")</f>
        <v>Միացյալ Նահանգների ազգային թռչունը ճաղատ արծիվն է։</v>
      </c>
    </row>
    <row r="9355">
      <c r="A9355" s="5" t="s">
        <v>8843</v>
      </c>
      <c r="B9355" s="5" t="s">
        <v>9176</v>
      </c>
      <c r="C9355" s="5" t="str">
        <f>IFERROR(__xludf.DUMMYFUNCTION("GOOGLETRANSLATE(A9355,""en"",""hy"")"),"Ո՞վ է Հնդկաստանի ներկայիս վարչապետը:")</f>
        <v>Ո՞վ է Հնդկաստանի ներկայիս վարչապետը:</v>
      </c>
      <c r="D9355" s="6" t="str">
        <f>IFERROR(__xludf.DUMMYFUNCTION("GOOGLETRANSLATE(B9355,""en"",""hy"")"),"Նարենդրա Մոդի.")</f>
        <v>Նարենդրա Մոդի.</v>
      </c>
    </row>
    <row r="9356">
      <c r="A9356" s="5" t="s">
        <v>10056</v>
      </c>
      <c r="B9356" s="5" t="s">
        <v>10057</v>
      </c>
      <c r="C9356" s="5" t="str">
        <f>IFERROR(__xludf.DUMMYFUNCTION("GOOGLETRANSLATE(A9356,""en"",""hy"")"),"Ո՞րն է աշխարհի ամենամեծ սառցադաշտը:")</f>
        <v>Ո՞րն է աշխարհի ամենամեծ սառցադաշտը:</v>
      </c>
      <c r="D9356" s="6" t="str">
        <f>IFERROR(__xludf.DUMMYFUNCTION("GOOGLETRANSLATE(B9356,""en"",""hy"")"),"Աշխարհի ամենամեծ սառցադաշտը Անտարկտիդայի Լամբերտ սառցադաշտն է:")</f>
        <v>Աշխարհի ամենամեծ սառցադաշտը Անտարկտիդայի Լամբերտ սառցադաշտն է:</v>
      </c>
    </row>
    <row r="9357">
      <c r="A9357" s="5" t="s">
        <v>7920</v>
      </c>
      <c r="B9357" s="5" t="s">
        <v>7921</v>
      </c>
      <c r="C9357" s="5" t="str">
        <f>IFERROR(__xludf.DUMMYFUNCTION("GOOGLETRANSLATE(A9357,""en"",""hy"")"),"Ո՞ր երկրում է գտնվում Թաջ Մահալը:")</f>
        <v>Ո՞ր երկրում է գտնվում Թաջ Մահալը:</v>
      </c>
      <c r="D9357" s="6" t="str">
        <f>IFERROR(__xludf.DUMMYFUNCTION("GOOGLETRANSLATE(B9357,""en"",""hy"")"),"Հնդկաստան.")</f>
        <v>Հնդկաստան.</v>
      </c>
    </row>
    <row r="9358">
      <c r="A9358" s="5" t="s">
        <v>7737</v>
      </c>
      <c r="B9358" s="5" t="s">
        <v>7560</v>
      </c>
      <c r="C9358" s="5" t="str">
        <f>IFERROR(__xludf.DUMMYFUNCTION("GOOGLETRANSLATE(A9358,""en"",""hy"")"),"Ո՞վ է գրել «Շորայի մեջ բռնողը» վեպը:")</f>
        <v>Ո՞վ է գրել «Շորայի մեջ բռնողը» վեպը:</v>
      </c>
      <c r="D9358" s="6" t="str">
        <f>IFERROR(__xludf.DUMMYFUNCTION("GOOGLETRANSLATE(B9358,""en"",""hy"")"),"Ջ.Դ.Սելինջեր.")</f>
        <v>Ջ.Դ.Սելինջեր.</v>
      </c>
    </row>
    <row r="9359">
      <c r="A9359" s="5" t="s">
        <v>10058</v>
      </c>
      <c r="B9359" s="5" t="s">
        <v>7229</v>
      </c>
      <c r="C9359" s="5" t="str">
        <f>IFERROR(__xludf.DUMMYFUNCTION("GOOGLETRANSLATE(A9359,""en"",""hy"")"),"Ո՞րն է Ֆրանսիայում խոսվող հիմնական լեզուն:")</f>
        <v>Ո՞րն է Ֆրանսիայում խոսվող հիմնական լեզուն:</v>
      </c>
      <c r="D9359" s="6" t="str">
        <f>IFERROR(__xludf.DUMMYFUNCTION("GOOGLETRANSLATE(B9359,""en"",""hy"")"),"ֆրանսերեն.")</f>
        <v>ֆրանսերեն.</v>
      </c>
    </row>
    <row r="9360">
      <c r="A9360" s="5" t="s">
        <v>7791</v>
      </c>
      <c r="B9360" s="5" t="s">
        <v>7792</v>
      </c>
      <c r="C9360" s="5" t="str">
        <f>IFERROR(__xludf.DUMMYFUNCTION("GOOGLETRANSLATE(A9360,""en"",""hy"")"),"Ո՞րն է Ավստրալիայի ազգային կենդանին:")</f>
        <v>Ո՞րն է Ավստրալիայի ազգային կենդանին:</v>
      </c>
      <c r="D9360" s="6" t="str">
        <f>IFERROR(__xludf.DUMMYFUNCTION("GOOGLETRANSLATE(B9360,""en"",""hy"")"),"Ավստրալիայի ազգային կենդանին կենգուրուն է։")</f>
        <v>Ավստրալիայի ազգային կենդանին կենգուրուն է։</v>
      </c>
    </row>
    <row r="9361">
      <c r="A9361" s="5" t="s">
        <v>7854</v>
      </c>
      <c r="B9361" s="5" t="s">
        <v>7458</v>
      </c>
      <c r="C9361" s="5" t="str">
        <f>IFERROR(__xludf.DUMMYFUNCTION("GOOGLETRANSLATE(A9361,""en"",""hy"")"),"Ո՞վ էր Միացյալ Նահանգների առաջին նախագահը:")</f>
        <v>Ո՞վ էր Միացյալ Նահանգների առաջին նախագահը:</v>
      </c>
      <c r="D9361" s="6" t="str">
        <f>IFERROR(__xludf.DUMMYFUNCTION("GOOGLETRANSLATE(B9361,""en"",""hy"")"),"Ջորջ Վաշինգտոն.")</f>
        <v>Ջորջ Վաշինգտոն.</v>
      </c>
    </row>
    <row r="9362">
      <c r="A9362" s="5" t="s">
        <v>7738</v>
      </c>
      <c r="B9362" s="5" t="s">
        <v>8004</v>
      </c>
      <c r="C9362" s="5" t="str">
        <f>IFERROR(__xludf.DUMMYFUNCTION("GOOGLETRANSLATE(A9362,""en"",""hy"")"),"Ո՞րն է կալցիումի քիմիական նշանը:")</f>
        <v>Ո՞րն է կալցիումի քիմիական նշանը:</v>
      </c>
      <c r="D9362" s="6" t="str">
        <f>IFERROR(__xludf.DUMMYFUNCTION("GOOGLETRANSLATE(B9362,""en"",""hy"")"),"Ք.ա")</f>
        <v>Ք.ա</v>
      </c>
    </row>
    <row r="9363">
      <c r="A9363" s="5" t="s">
        <v>8425</v>
      </c>
      <c r="B9363" s="5" t="s">
        <v>9424</v>
      </c>
      <c r="C9363" s="5" t="str">
        <f>IFERROR(__xludf.DUMMYFUNCTION("GOOGLETRANSLATE(A9363,""en"",""hy"")"),"Ո՞վ է նկարել «Գերնիկա» ստեղծագործությունը:")</f>
        <v>Ո՞վ է նկարել «Գերնիկա» ստեղծագործությունը:</v>
      </c>
      <c r="D9363" s="6" t="str">
        <f>IFERROR(__xludf.DUMMYFUNCTION("GOOGLETRANSLATE(B9363,""en"",""hy"")"),"Պաբլո Պիկասո")</f>
        <v>Պաբլո Պիկասո</v>
      </c>
    </row>
    <row r="9364">
      <c r="A9364" s="5" t="s">
        <v>10059</v>
      </c>
      <c r="B9364" s="5" t="s">
        <v>10060</v>
      </c>
      <c r="C9364" s="5" t="str">
        <f>IFERROR(__xludf.DUMMYFUNCTION("GOOGLETRANSLATE(A9364,""en"",""hy"")"),"Ո՞րն է հիմնական կրոնը Բրազիլիայում:")</f>
        <v>Ո՞րն է հիմնական կրոնը Բրազիլիայում:</v>
      </c>
      <c r="D9364" s="6" t="str">
        <f>IFERROR(__xludf.DUMMYFUNCTION("GOOGLETRANSLATE(B9364,""en"",""hy"")"),"Բրազիլիայում հիմնական կրոնը քրիստոնեությունն է։")</f>
        <v>Բրազիլիայում հիմնական կրոնը քրիստոնեությունն է։</v>
      </c>
    </row>
    <row r="9365">
      <c r="A9365" s="5" t="s">
        <v>7467</v>
      </c>
      <c r="B9365" s="5" t="s">
        <v>7766</v>
      </c>
      <c r="C9365" s="5" t="str">
        <f>IFERROR(__xludf.DUMMYFUNCTION("GOOGLETRANSLATE(A9365,""en"",""hy"")"),"Ո՞րն է Ճապոնիայի արժույթը:")</f>
        <v>Ո՞րն է Ճապոնիայի արժույթը:</v>
      </c>
      <c r="D9365" s="6" t="str">
        <f>IFERROR(__xludf.DUMMYFUNCTION("GOOGLETRANSLATE(B9365,""en"",""hy"")"),"Ճապոնիայի արժույթը ճապոնական իենն է։")</f>
        <v>Ճապոնիայի արժույթը ճապոնական իենն է։</v>
      </c>
    </row>
    <row r="9366">
      <c r="A9366" s="5" t="s">
        <v>8134</v>
      </c>
      <c r="B9366" s="5" t="s">
        <v>8135</v>
      </c>
      <c r="C9366" s="5" t="str">
        <f>IFERROR(__xludf.DUMMYFUNCTION("GOOGLETRANSLATE(A9366,""en"",""hy"")"),"Ո՞վ է Չինաստանի ներկայիս նախագահը.")</f>
        <v>Ո՞վ է Չինաստանի ներկայիս նախագահը.</v>
      </c>
      <c r="D9366" s="6" t="str">
        <f>IFERROR(__xludf.DUMMYFUNCTION("GOOGLETRANSLATE(B9366,""en"",""hy"")"),"Չինաստանի ներկայիս նախագահը Սի Ցզինպինն է։")</f>
        <v>Չինաստանի ներկայիս նախագահը Սի Ցզինպինն է։</v>
      </c>
    </row>
    <row r="9367">
      <c r="A9367" s="5" t="s">
        <v>8330</v>
      </c>
      <c r="B9367" s="5" t="s">
        <v>8331</v>
      </c>
      <c r="C9367" s="5" t="str">
        <f>IFERROR(__xludf.DUMMYFUNCTION("GOOGLETRANSLATE(A9367,""en"",""hy"")"),"Ո՞րն է Միացյալ Նահանգների ազգային ծաղիկը:")</f>
        <v>Ո՞րն է Միացյալ Նահանգների ազգային ծաղիկը:</v>
      </c>
      <c r="D9367" s="6" t="str">
        <f>IFERROR(__xludf.DUMMYFUNCTION("GOOGLETRANSLATE(B9367,""en"",""hy"")"),"Միացյալ Նահանգների ազգային ծաղիկը վարդն է։")</f>
        <v>Միացյալ Նահանգների ազգային ծաղիկը վարդն է։</v>
      </c>
    </row>
    <row r="9368">
      <c r="A9368" s="5" t="s">
        <v>8112</v>
      </c>
      <c r="B9368" s="5" t="s">
        <v>8754</v>
      </c>
      <c r="C9368" s="5" t="str">
        <f>IFERROR(__xludf.DUMMYFUNCTION("GOOGLETRANSLATE(A9368,""en"",""hy"")"),"Ո՞րն է Հյուսիսային Ամերիկայի ամենաբարձր լեռը:")</f>
        <v>Ո՞րն է Հյուսիսային Ամերիկայի ամենաբարձր լեռը:</v>
      </c>
      <c r="D9368" s="6" t="str">
        <f>IFERROR(__xludf.DUMMYFUNCTION("GOOGLETRANSLATE(B9368,""en"",""hy"")"),"Դենալի լեռ.")</f>
        <v>Դենալի լեռ.</v>
      </c>
    </row>
    <row r="9369">
      <c r="A9369" s="5" t="s">
        <v>9268</v>
      </c>
      <c r="B9369" s="5" t="s">
        <v>9269</v>
      </c>
      <c r="C9369" s="5" t="str">
        <f>IFERROR(__xludf.DUMMYFUNCTION("GOOGLETRANSLATE(A9369,""en"",""hy"")"),"Քանի՞ աստղ կա Միացյալ Նահանգների դրոշի վրա:")</f>
        <v>Քանի՞ աստղ կա Միացյալ Նահանգների դրոշի վրա:</v>
      </c>
      <c r="D9369" s="6" t="str">
        <f>IFERROR(__xludf.DUMMYFUNCTION("GOOGLETRANSLATE(B9369,""en"",""hy"")"),"Միացյալ Նահանգների դրոշի վրա 50 աստղ կա։")</f>
        <v>Միացյալ Նահանգների դրոշի վրա 50 աստղ կա։</v>
      </c>
    </row>
    <row r="9370">
      <c r="A9370" s="5" t="s">
        <v>7726</v>
      </c>
      <c r="B9370" s="5" t="s">
        <v>1016</v>
      </c>
      <c r="C9370" s="5" t="str">
        <f>IFERROR(__xludf.DUMMYFUNCTION("GOOGLETRANSLATE(A9370,""en"",""hy"")"),"Ո՞վ է գրել «Մակբեթ» պիեսը։")</f>
        <v>Ո՞վ է գրել «Մակբեթ» պիեսը։</v>
      </c>
      <c r="D9370" s="6" t="str">
        <f>IFERROR(__xludf.DUMMYFUNCTION("GOOGLETRANSLATE(B9370,""en"",""hy"")"),"Ուիլյամ Շեքսպիր.")</f>
        <v>Ուիլյամ Շեքսպիր.</v>
      </c>
    </row>
    <row r="9371">
      <c r="A9371" s="5" t="s">
        <v>7553</v>
      </c>
      <c r="B9371" s="5" t="s">
        <v>7554</v>
      </c>
      <c r="C9371" s="5" t="str">
        <f>IFERROR(__xludf.DUMMYFUNCTION("GOOGLETRANSLATE(A9371,""en"",""hy"")"),"Ո՞րն է Հարավային Աֆրիկայի մայրաքաղաքը:")</f>
        <v>Ո՞րն է Հարավային Աֆրիկայի մայրաքաղաքը:</v>
      </c>
      <c r="D9371" s="6" t="str">
        <f>IFERROR(__xludf.DUMMYFUNCTION("GOOGLETRANSLATE(B9371,""en"",""hy"")"),"Պրետորիա.")</f>
        <v>Պրետորիա.</v>
      </c>
    </row>
    <row r="9372">
      <c r="A9372" s="5" t="s">
        <v>7557</v>
      </c>
      <c r="B9372" s="5" t="s">
        <v>7558</v>
      </c>
      <c r="C9372" s="5" t="str">
        <f>IFERROR(__xludf.DUMMYFUNCTION("GOOGLETRANSLATE(A9372,""en"",""hy"")"),"Ո՞րն է երկաթի քիմիական նշանը:")</f>
        <v>Ո՞րն է երկաթի քիմիական նշանը:</v>
      </c>
      <c r="D9372" s="6" t="str">
        <f>IFERROR(__xludf.DUMMYFUNCTION("GOOGLETRANSLATE(B9372,""en"",""hy"")"),"Ֆե")</f>
        <v>Ֆե</v>
      </c>
    </row>
    <row r="9373">
      <c r="A9373" s="5" t="s">
        <v>8435</v>
      </c>
      <c r="B9373" s="5" t="s">
        <v>7549</v>
      </c>
      <c r="C9373" s="5" t="str">
        <f>IFERROR(__xludf.DUMMYFUNCTION("GOOGLETRANSLATE(A9373,""en"",""hy"")"),"Ո՞վ է նկարել «Մարգարտյա ականջօղով աղջիկը» նկարը:")</f>
        <v>Ո՞վ է նկարել «Մարգարտյա ականջօղով աղջիկը» նկարը:</v>
      </c>
      <c r="D9373" s="6" t="str">
        <f>IFERROR(__xludf.DUMMYFUNCTION("GOOGLETRANSLATE(B9373,""en"",""hy"")"),"Յոհաննես Վերմեեր.")</f>
        <v>Յոհաննես Վերմեեր.</v>
      </c>
    </row>
    <row r="9374">
      <c r="A9374" s="5" t="s">
        <v>9906</v>
      </c>
      <c r="B9374" s="5" t="s">
        <v>7343</v>
      </c>
      <c r="C9374" s="5" t="str">
        <f>IFERROR(__xludf.DUMMYFUNCTION("GOOGLETRANSLATE(A9374,""en"",""hy"")"),"Ո՞ր երկրում է գտնվում Մոսկվա քաղաքը:")</f>
        <v>Ո՞ր երկրում է գտնվում Մոսկվա քաղաքը:</v>
      </c>
      <c r="D9374" s="6" t="str">
        <f>IFERROR(__xludf.DUMMYFUNCTION("GOOGLETRANSLATE(B9374,""en"",""hy"")"),"Ռուսաստան.")</f>
        <v>Ռուսաստան.</v>
      </c>
    </row>
    <row r="9375">
      <c r="A9375" s="5" t="s">
        <v>9319</v>
      </c>
      <c r="B9375" s="5" t="s">
        <v>3894</v>
      </c>
      <c r="C9375" s="5" t="str">
        <f>IFERROR(__xludf.DUMMYFUNCTION("GOOGLETRANSLATE(A9375,""en"",""hy"")"),"Ո՞րն է Իտալիայում խոսվող հիմնական լեզուն:")</f>
        <v>Ո՞րն է Իտալիայում խոսվող հիմնական լեզուն:</v>
      </c>
      <c r="D9375" s="6" t="str">
        <f>IFERROR(__xludf.DUMMYFUNCTION("GOOGLETRANSLATE(B9375,""en"",""hy"")"),"Իտալական.")</f>
        <v>Իտալական.</v>
      </c>
    </row>
    <row r="9376">
      <c r="A9376" s="5" t="s">
        <v>7566</v>
      </c>
      <c r="B9376" s="5" t="s">
        <v>7567</v>
      </c>
      <c r="C9376" s="5" t="str">
        <f>IFERROR(__xludf.DUMMYFUNCTION("GOOGLETRANSLATE(A9376,""en"",""hy"")"),"Ո՞վ է Կանադայի ներկայիս վարչապետը:")</f>
        <v>Ո՞վ է Կանադայի ներկայիս վարչապետը:</v>
      </c>
      <c r="D9376" s="6" t="str">
        <f>IFERROR(__xludf.DUMMYFUNCTION("GOOGLETRANSLATE(B9376,""en"",""hy"")"),"Ջասթին Թրյուդո")</f>
        <v>Ջասթին Թրյուդո</v>
      </c>
    </row>
    <row r="9377">
      <c r="A9377" s="5" t="s">
        <v>8361</v>
      </c>
      <c r="B9377" s="5" t="s">
        <v>8362</v>
      </c>
      <c r="C9377" s="5" t="str">
        <f>IFERROR(__xludf.DUMMYFUNCTION("GOOGLETRANSLATE(A9377,""en"",""hy"")"),"Ո՞րն է Հյուսիսային Ամերիկայի ամենամեծ ջրվեժը:")</f>
        <v>Ո՞րն է Հյուսիսային Ամերիկայի ամենամեծ ջրվեժը:</v>
      </c>
      <c r="D9377" s="6" t="str">
        <f>IFERROR(__xludf.DUMMYFUNCTION("GOOGLETRANSLATE(B9377,""en"",""hy"")"),"Հյուսիսային Ամերիկայի ամենամեծ ջրվեժը Նիագարայի ջրվեժն է:")</f>
        <v>Հյուսիսային Ամերիկայի ամենամեծ ջրվեժը Նիագարայի ջրվեժն է:</v>
      </c>
    </row>
    <row r="9378">
      <c r="A9378" s="5" t="s">
        <v>10061</v>
      </c>
      <c r="B9378" s="5" t="s">
        <v>7867</v>
      </c>
      <c r="C9378" s="5" t="str">
        <f>IFERROR(__xludf.DUMMYFUNCTION("GOOGLETRANSLATE(A9378,""en"",""hy"")"),"Ո՞վ է հայտնի «Հոբիթը» վեպի հեղինակը։")</f>
        <v>Ո՞վ է հայտնի «Հոբիթը» վեպի հեղինակը։</v>
      </c>
      <c r="D9378" s="6" t="str">
        <f>IFERROR(__xludf.DUMMYFUNCTION("GOOGLETRANSLATE(B9378,""en"",""hy"")"),"Ջ.Ռ.Ռ. Թոլքինը։")</f>
        <v>Ջ.Ռ.Ռ. Թոլքինը։</v>
      </c>
    </row>
    <row r="9379">
      <c r="A9379" s="5" t="s">
        <v>10062</v>
      </c>
      <c r="B9379" s="5" t="s">
        <v>10063</v>
      </c>
      <c r="C9379" s="5" t="str">
        <f>IFERROR(__xludf.DUMMYFUNCTION("GOOGLETRANSLATE(A9379,""en"",""hy"")"),"Ո՞րն է Իսպանիայի ազգային սպորտը:")</f>
        <v>Ո՞րն է Իսպանիայի ազգային սպորտը:</v>
      </c>
      <c r="D9379" s="6" t="str">
        <f>IFERROR(__xludf.DUMMYFUNCTION("GOOGLETRANSLATE(B9379,""en"",""hy"")"),"Իսպանիայի ազգային սպորտը ցլամարտն է։")</f>
        <v>Իսպանիայի ազգային սպորտը ցլամարտն է։</v>
      </c>
    </row>
    <row r="9380">
      <c r="A9380" s="5" t="s">
        <v>10064</v>
      </c>
      <c r="B9380" s="5" t="s">
        <v>10065</v>
      </c>
      <c r="C9380" s="5" t="str">
        <f>IFERROR(__xludf.DUMMYFUNCTION("GOOGLETRANSLATE(A9380,""en"",""hy"")"),"Ո՞ր քաղաքում կգտնեք Մեծ Սֆինքսը:")</f>
        <v>Ո՞ր քաղաքում կգտնեք Մեծ Սֆինքսը:</v>
      </c>
      <c r="D9380" s="6" t="str">
        <f>IFERROR(__xludf.DUMMYFUNCTION("GOOGLETRANSLATE(B9380,""en"",""hy"")"),"Կահիրե, Եգիպտոս.")</f>
        <v>Կահիրե, Եգիպտոս.</v>
      </c>
    </row>
    <row r="9381">
      <c r="A9381" s="5" t="s">
        <v>7632</v>
      </c>
      <c r="B9381" s="5" t="s">
        <v>7912</v>
      </c>
      <c r="C9381" s="5" t="str">
        <f>IFERROR(__xludf.DUMMYFUNCTION("GOOGLETRANSLATE(A9381,""en"",""hy"")"),"Ո՞րն է մեր արեգակնային համակարգի ամենամեծ մոլորակը:")</f>
        <v>Ո՞րն է մեր արեգակնային համակարգի ամենամեծ մոլորակը:</v>
      </c>
      <c r="D9381" s="6" t="str">
        <f>IFERROR(__xludf.DUMMYFUNCTION("GOOGLETRANSLATE(B9381,""en"",""hy"")"),"Յուպիտեր")</f>
        <v>Յուպիտեր</v>
      </c>
    </row>
    <row r="9382">
      <c r="A9382" s="5" t="s">
        <v>7447</v>
      </c>
      <c r="B9382" s="5" t="s">
        <v>7448</v>
      </c>
      <c r="C9382" s="5" t="str">
        <f>IFERROR(__xludf.DUMMYFUNCTION("GOOGLETRANSLATE(A9382,""en"",""hy"")"),"Ո՞վ է նկարել Մոնա Լիզան:")</f>
        <v>Ո՞վ է նկարել Մոնա Լիզան:</v>
      </c>
      <c r="D9382" s="6" t="str">
        <f>IFERROR(__xludf.DUMMYFUNCTION("GOOGLETRANSLATE(B9382,""en"",""hy"")"),"Լեոնարդո դա Վինչի.")</f>
        <v>Լեոնարդո դա Վինչի.</v>
      </c>
    </row>
    <row r="9383">
      <c r="A9383" s="5" t="s">
        <v>7780</v>
      </c>
      <c r="B9383" s="5" t="s">
        <v>2951</v>
      </c>
      <c r="C9383" s="5" t="str">
        <f>IFERROR(__xludf.DUMMYFUNCTION("GOOGLETRANSLATE(A9383,""en"",""hy"")"),"Ո՞րն է Կանադայի մայրաքաղաքը:")</f>
        <v>Ո՞րն է Կանադայի մայրաքաղաքը:</v>
      </c>
      <c r="D9383" s="6" t="str">
        <f>IFERROR(__xludf.DUMMYFUNCTION("GOOGLETRANSLATE(B9383,""en"",""hy"")"),"Օտտավա.")</f>
        <v>Օտտավա.</v>
      </c>
    </row>
    <row r="9384">
      <c r="A9384" s="5" t="s">
        <v>7452</v>
      </c>
      <c r="B9384" s="5" t="s">
        <v>7453</v>
      </c>
      <c r="C9384" s="5" t="str">
        <f>IFERROR(__xludf.DUMMYFUNCTION("GOOGLETRANSLATE(A9384,""en"",""hy"")"),"Ո՞րն է ոսկու քիմիական նշանը:")</f>
        <v>Ո՞րն է ոսկու քիմիական նշանը:</v>
      </c>
      <c r="D9384" s="6" t="str">
        <f>IFERROR(__xludf.DUMMYFUNCTION("GOOGLETRANSLATE(B9384,""en"",""hy"")"),"Ոսկու քիմիական նշանը Au-ն է:")</f>
        <v>Ոսկու քիմիական նշանը Au-ն է:</v>
      </c>
    </row>
    <row r="9385">
      <c r="A9385" s="5" t="s">
        <v>7849</v>
      </c>
      <c r="B9385" s="5" t="s">
        <v>7541</v>
      </c>
      <c r="C9385" s="5" t="str">
        <f>IFERROR(__xludf.DUMMYFUNCTION("GOOGLETRANSLATE(A9385,""en"",""hy"")"),"Ո՞վ է գրել «Սպանել ծաղրող թռչունին» վեպը:")</f>
        <v>Ո՞վ է գրել «Սպանել ծաղրող թռչունին» վեպը:</v>
      </c>
      <c r="D9385" s="6" t="str">
        <f>IFERROR(__xludf.DUMMYFUNCTION("GOOGLETRANSLATE(B9385,""en"",""hy"")"),"Հարփեր Լի.")</f>
        <v>Հարփեր Լի.</v>
      </c>
    </row>
    <row r="9386">
      <c r="A9386" s="5" t="s">
        <v>7463</v>
      </c>
      <c r="B9386" s="5" t="s">
        <v>9379</v>
      </c>
      <c r="C9386" s="5" t="str">
        <f>IFERROR(__xludf.DUMMYFUNCTION("GOOGLETRANSLATE(A9386,""en"",""hy"")"),"Ո՞րն է աշխարհի ամենաբարձր լեռը:")</f>
        <v>Ո՞րն է աշխարհի ամենաբարձր լեռը:</v>
      </c>
      <c r="D9386" s="6" t="str">
        <f>IFERROR(__xludf.DUMMYFUNCTION("GOOGLETRANSLATE(B9386,""en"",""hy"")"),"Էվերեստ լեռ")</f>
        <v>Էվերեստ լեռ</v>
      </c>
    </row>
    <row r="9387">
      <c r="A9387" s="5" t="s">
        <v>8476</v>
      </c>
      <c r="B9387" s="7">
        <v>1914.0</v>
      </c>
      <c r="C9387" s="5" t="str">
        <f>IFERROR(__xludf.DUMMYFUNCTION("GOOGLETRANSLATE(A9387,""en"",""hy"")"),"Ո՞ր թվականին է սկսվել Առաջին համաշխարհային պատերազմը:")</f>
        <v>Ո՞ր թվականին է սկսվել Առաջին համաշխարհային պատերազմը:</v>
      </c>
      <c r="D9387" s="6" t="str">
        <f>IFERROR(__xludf.DUMMYFUNCTION("GOOGLETRANSLATE(B9387,""en"",""hy"")"),"1914 թ")</f>
        <v>1914 թ</v>
      </c>
    </row>
    <row r="9388">
      <c r="A9388" s="5" t="s">
        <v>9531</v>
      </c>
      <c r="B9388" s="5" t="s">
        <v>9532</v>
      </c>
      <c r="C9388" s="5" t="str">
        <f>IFERROR(__xludf.DUMMYFUNCTION("GOOGLETRANSLATE(A9388,""en"",""hy"")"),"Ո՞րն է Ճապոնիայի պաշտոնական արժույթը:")</f>
        <v>Ո՞րն է Ճապոնիայի պաշտոնական արժույթը:</v>
      </c>
      <c r="D9388" s="6" t="str">
        <f>IFERROR(__xludf.DUMMYFUNCTION("GOOGLETRANSLATE(B9388,""en"",""hy"")"),"Ճապոնիայի պաշտոնական արժույթը ճապոնական իենն է։")</f>
        <v>Ճապոնիայի պաշտոնական արժույթը ճապոնական իենն է։</v>
      </c>
    </row>
    <row r="9389">
      <c r="A9389" s="5" t="s">
        <v>7502</v>
      </c>
      <c r="B9389" s="5" t="s">
        <v>7503</v>
      </c>
      <c r="C9389" s="5" t="str">
        <f>IFERROR(__xludf.DUMMYFUNCTION("GOOGLETRANSLATE(A9389,""en"",""hy"")"),"Քանի՞ կողմ ունի վեցանկյունը:")</f>
        <v>Քանի՞ կողմ ունի վեցանկյունը:</v>
      </c>
      <c r="D9389" s="6" t="str">
        <f>IFERROR(__xludf.DUMMYFUNCTION("GOOGLETRANSLATE(B9389,""en"",""hy"")"),"Վեցանկյունն ունի վեց կողմ:")</f>
        <v>Վեցանկյունն ունի վեց կողմ:</v>
      </c>
    </row>
    <row r="9390">
      <c r="A9390" s="5" t="s">
        <v>7601</v>
      </c>
      <c r="B9390" s="5" t="s">
        <v>10066</v>
      </c>
      <c r="C9390" s="5" t="str">
        <f>IFERROR(__xludf.DUMMYFUNCTION("GOOGLETRANSLATE(A9390,""en"",""hy"")"),"Ո՞վ է Ֆրանսիայի ներկայիս նախագահը.")</f>
        <v>Ո՞վ է Ֆրանսիայի ներկայիս նախագահը.</v>
      </c>
      <c r="D9390" s="6" t="str">
        <f>IFERROR(__xludf.DUMMYFUNCTION("GOOGLETRANSLATE(B9390,""en"",""hy"")"),"Էմանուել Մակրոն")</f>
        <v>Էմանուել Մակրոն</v>
      </c>
    </row>
    <row r="9391">
      <c r="A9391" s="5" t="s">
        <v>8108</v>
      </c>
      <c r="B9391" s="5" t="s">
        <v>7556</v>
      </c>
      <c r="C9391" s="5" t="str">
        <f>IFERROR(__xludf.DUMMYFUNCTION("GOOGLETRANSLATE(A9391,""en"",""hy"")"),"Ո՞ր հայտնի գիտնականն է մշակել հարաբերականության տեսությունը:")</f>
        <v>Ո՞ր հայտնի գիտնականն է մշակել հարաբերականության տեսությունը:</v>
      </c>
      <c r="D9391" s="6" t="str">
        <f>IFERROR(__xludf.DUMMYFUNCTION("GOOGLETRANSLATE(B9391,""en"",""hy"")"),"Albert Einstein.")</f>
        <v>Albert Einstein.</v>
      </c>
    </row>
    <row r="9392">
      <c r="A9392" s="5" t="s">
        <v>7455</v>
      </c>
      <c r="B9392" s="5" t="s">
        <v>7646</v>
      </c>
      <c r="C9392" s="5" t="str">
        <f>IFERROR(__xludf.DUMMYFUNCTION("GOOGLETRANSLATE(A9392,""en"",""hy"")"),"Ո՞րն է աշխարհի ամենամեծ օվկիանոսը:")</f>
        <v>Ո՞րն է աշխարհի ամենամեծ օվկիանոսը:</v>
      </c>
      <c r="D9392" s="6" t="str">
        <f>IFERROR(__xludf.DUMMYFUNCTION("GOOGLETRANSLATE(B9392,""en"",""hy"")"),"Խաղաղ օվկիանոս.")</f>
        <v>Խաղաղ օվկիանոս.</v>
      </c>
    </row>
    <row r="9393">
      <c r="A9393" s="5" t="s">
        <v>8181</v>
      </c>
      <c r="B9393" s="5" t="s">
        <v>8100</v>
      </c>
      <c r="C9393" s="5" t="str">
        <f>IFERROR(__xludf.DUMMYFUNCTION("GOOGLETRANSLATE(A9393,""en"",""hy"")"),"Քանի՞ մոլորակ կա մեր արեգակնային համակարգում:")</f>
        <v>Քանի՞ մոլորակ կա մեր արեգակնային համակարգում:</v>
      </c>
      <c r="D9393" s="6" t="str">
        <f>IFERROR(__xludf.DUMMYFUNCTION("GOOGLETRANSLATE(B9393,""en"",""hy"")"),"Մեր Արեգակնային համակարգում կա ութ մոլորակ:")</f>
        <v>Մեր Արեգակնային համակարգում կա ութ մոլորակ:</v>
      </c>
    </row>
    <row r="9394">
      <c r="A9394" s="5" t="s">
        <v>7534</v>
      </c>
      <c r="B9394" s="5" t="s">
        <v>10067</v>
      </c>
      <c r="C9394" s="5" t="str">
        <f>IFERROR(__xludf.DUMMYFUNCTION("GOOGLETRANSLATE(A9394,""en"",""hy"")"),"Ո՞վ է հորինել հեռախոսը:")</f>
        <v>Ո՞վ է հորինել հեռախոսը:</v>
      </c>
      <c r="D9394" s="6" t="str">
        <f>IFERROR(__xludf.DUMMYFUNCTION("GOOGLETRANSLATE(B9394,""en"",""hy"")"),"Ալեքսանդր Գրեհեմ Բել")</f>
        <v>Ալեքսանդր Գրեհեմ Բել</v>
      </c>
    </row>
    <row r="9395">
      <c r="A9395" s="5" t="s">
        <v>7473</v>
      </c>
      <c r="B9395" s="5" t="s">
        <v>7474</v>
      </c>
      <c r="C9395" s="5" t="str">
        <f>IFERROR(__xludf.DUMMYFUNCTION("GOOGLETRANSLATE(A9395,""en"",""hy"")"),"Ո՞վ է նկարել Սիքստինյան կապելլայի առաստաղը:")</f>
        <v>Ո՞վ է նկարել Սիքստինյան կապելլայի առաստաղը:</v>
      </c>
      <c r="D9395" s="6" t="str">
        <f>IFERROR(__xludf.DUMMYFUNCTION("GOOGLETRANSLATE(B9395,""en"",""hy"")"),"Միքելանջելո.")</f>
        <v>Միքելանջելո.</v>
      </c>
    </row>
    <row r="9396">
      <c r="A9396" s="5" t="s">
        <v>9007</v>
      </c>
      <c r="B9396" s="5" t="s">
        <v>7462</v>
      </c>
      <c r="C9396" s="5" t="str">
        <f>IFERROR(__xludf.DUMMYFUNCTION("GOOGLETRANSLATE(A9396,""en"",""hy"")"),"Ո՞րն է մարդու մարմնի ամենամեծ օրգանը:")</f>
        <v>Ո՞րն է մարդու մարմնի ամենամեծ օրգանը:</v>
      </c>
      <c r="D9396" s="6" t="str">
        <f>IFERROR(__xludf.DUMMYFUNCTION("GOOGLETRANSLATE(B9396,""en"",""hy"")"),"Մաշկը.")</f>
        <v>Մաշկը.</v>
      </c>
    </row>
    <row r="9397">
      <c r="A9397" s="5" t="s">
        <v>7485</v>
      </c>
      <c r="B9397" s="5" t="s">
        <v>8110</v>
      </c>
      <c r="C9397" s="5" t="str">
        <f>IFERROR(__xludf.DUMMYFUNCTION("GOOGLETRANSLATE(A9397,""en"",""hy"")"),"Ո՞վ է Հարի Փոթերի շարքի հեղինակը:")</f>
        <v>Ո՞վ է Հարի Փոթերի շարքի հեղինակը:</v>
      </c>
      <c r="D9397" s="6" t="str">
        <f>IFERROR(__xludf.DUMMYFUNCTION("GOOGLETRANSLATE(B9397,""en"",""hy"")"),"Ջ.Կ. Ռոուլինգ")</f>
        <v>Ջ.Կ. Ռոուլինգ</v>
      </c>
    </row>
    <row r="9398">
      <c r="A9398" s="5" t="s">
        <v>7557</v>
      </c>
      <c r="B9398" s="5" t="s">
        <v>7558</v>
      </c>
      <c r="C9398" s="5" t="str">
        <f>IFERROR(__xludf.DUMMYFUNCTION("GOOGLETRANSLATE(A9398,""en"",""hy"")"),"Ո՞րն է երկաթի քիմիական նշանը:")</f>
        <v>Ո՞րն է երկաթի քիմիական նշանը:</v>
      </c>
      <c r="D9398" s="6" t="str">
        <f>IFERROR(__xludf.DUMMYFUNCTION("GOOGLETRANSLATE(B9398,""en"",""hy"")"),"Ֆե")</f>
        <v>Ֆե</v>
      </c>
    </row>
    <row r="9399">
      <c r="A9399" s="5" t="s">
        <v>7497</v>
      </c>
      <c r="B9399" s="5" t="s">
        <v>1299</v>
      </c>
      <c r="C9399" s="5" t="str">
        <f>IFERROR(__xludf.DUMMYFUNCTION("GOOGLETRANSLATE(A9399,""en"",""hy"")"),"Ո՞րն է աշխարհի ամենամեծ մայրցամաքը:")</f>
        <v>Ո՞րն է աշխարհի ամենամեծ մայրցամաքը:</v>
      </c>
      <c r="D9399" s="6" t="str">
        <f>IFERROR(__xludf.DUMMYFUNCTION("GOOGLETRANSLATE(B9399,""en"",""hy"")"),"Ասիա.")</f>
        <v>Ասիա.</v>
      </c>
    </row>
    <row r="9400">
      <c r="A9400" s="5" t="s">
        <v>8834</v>
      </c>
      <c r="B9400" s="7">
        <v>1776.0</v>
      </c>
      <c r="C9400" s="5" t="str">
        <f>IFERROR(__xludf.DUMMYFUNCTION("GOOGLETRANSLATE(A9400,""en"",""hy"")"),"Ո՞ր թվականին է Միացյալ Նահանգները անկախացել Մեծ Բրիտանիայից.")</f>
        <v>Ո՞ր թվականին է Միացյալ Նահանգները անկախացել Մեծ Բրիտանիայից.</v>
      </c>
      <c r="D9400" s="6" t="str">
        <f>IFERROR(__xludf.DUMMYFUNCTION("GOOGLETRANSLATE(B9400,""en"",""hy"")"),"1776 թ")</f>
        <v>1776 թ</v>
      </c>
    </row>
    <row r="9401">
      <c r="A9401" s="5" t="s">
        <v>10068</v>
      </c>
      <c r="B9401" s="5" t="s">
        <v>7648</v>
      </c>
      <c r="C9401" s="5" t="str">
        <f>IFERROR(__xludf.DUMMYFUNCTION("GOOGLETRANSLATE(A9401,""en"",""hy"")"),"Ո՞ր հայտնի նկարիչն է հայտնի «Աստղային գիշեր» նկարով։")</f>
        <v>Ո՞ր հայտնի նկարիչն է հայտնի «Աստղային գիշեր» նկարով։</v>
      </c>
      <c r="D9401" s="6" t="str">
        <f>IFERROR(__xludf.DUMMYFUNCTION("GOOGLETRANSLATE(B9401,""en"",""hy"")"),"Վինսենթ վան Գոգ.")</f>
        <v>Վինսենթ վան Գոգ.</v>
      </c>
    </row>
    <row r="9402">
      <c r="A9402" s="5" t="s">
        <v>7450</v>
      </c>
      <c r="B9402" s="5" t="s">
        <v>9096</v>
      </c>
      <c r="C9402" s="5" t="str">
        <f>IFERROR(__xludf.DUMMYFUNCTION("GOOGLETRANSLATE(A9402,""en"",""hy"")"),"Ո՞րն է Ավստրալիայի մայրաքաղաքը:")</f>
        <v>Ո՞րն է Ավստրալիայի մայրաքաղաքը:</v>
      </c>
      <c r="D9402" s="6" t="str">
        <f>IFERROR(__xludf.DUMMYFUNCTION("GOOGLETRANSLATE(B9402,""en"",""hy"")"),"Կանբերա")</f>
        <v>Կանբերա</v>
      </c>
    </row>
    <row r="9403">
      <c r="A9403" s="5" t="s">
        <v>10069</v>
      </c>
      <c r="B9403" s="5" t="s">
        <v>10070</v>
      </c>
      <c r="C9403" s="5" t="str">
        <f>IFERROR(__xludf.DUMMYFUNCTION("GOOGLETRANSLATE(A9403,""en"",""hy"")"),"Ո՞րն է Երկրի ամենաբարձր կաթնասունը:")</f>
        <v>Ո՞րն է Երկրի ամենաբարձր կաթնասունը:</v>
      </c>
      <c r="D9403" s="6" t="str">
        <f>IFERROR(__xludf.DUMMYFUNCTION("GOOGLETRANSLATE(B9403,""en"",""hy"")"),"Երկրի ամենաբարձր կաթնասունը ընձուղտն է:")</f>
        <v>Երկրի ամենաբարձր կաթնասունը ընձուղտն է:</v>
      </c>
    </row>
    <row r="9404">
      <c r="A9404" s="5" t="s">
        <v>8105</v>
      </c>
      <c r="B9404" s="5" t="s">
        <v>7635</v>
      </c>
      <c r="C9404" s="5" t="str">
        <f>IFERROR(__xludf.DUMMYFUNCTION("GOOGLETRANSLATE(A9404,""en"",""hy"")"),"Ո՞վ էր առաջին մարդը, ով քայլեց լուսնի վրա:")</f>
        <v>Ո՞վ էր առաջին մարդը, ով քայլեց լուսնի վրա:</v>
      </c>
      <c r="D9404" s="6" t="str">
        <f>IFERROR(__xludf.DUMMYFUNCTION("GOOGLETRANSLATE(B9404,""en"",""hy"")"),"Նիլ Արմսթրոնգ.")</f>
        <v>Նիլ Արմսթրոնգ.</v>
      </c>
    </row>
    <row r="9405">
      <c r="A9405" s="5" t="s">
        <v>7845</v>
      </c>
      <c r="B9405" s="5" t="s">
        <v>3533</v>
      </c>
      <c r="C9405" s="5" t="str">
        <f>IFERROR(__xludf.DUMMYFUNCTION("GOOGLETRANSLATE(A9405,""en"",""hy"")"),"Ո՞րն է Բրազիլիայի պաշտոնական լեզուն:")</f>
        <v>Ո՞րն է Բրազիլիայի պաշտոնական լեզուն:</v>
      </c>
      <c r="D9405" s="6" t="str">
        <f>IFERROR(__xludf.DUMMYFUNCTION("GOOGLETRANSLATE(B9405,""en"",""hy"")"),"Բրազիլիայի պաշտոնական լեզուն պորտուգալերենն է։")</f>
        <v>Բրազիլիայի պաշտոնական լեզուն պորտուգալերենն է։</v>
      </c>
    </row>
    <row r="9406">
      <c r="A9406" s="5" t="s">
        <v>7513</v>
      </c>
      <c r="B9406" s="5" t="s">
        <v>8337</v>
      </c>
      <c r="C9406" s="5" t="str">
        <f>IFERROR(__xludf.DUMMYFUNCTION("GOOGLETRANSLATE(A9406,""en"",""hy"")"),"Ո՞րն է աշխարհի ամենամեծ անապատը:")</f>
        <v>Ո՞րն է աշխարհի ամենամեծ անապատը:</v>
      </c>
      <c r="D9406" s="6" t="str">
        <f>IFERROR(__xludf.DUMMYFUNCTION("GOOGLETRANSLATE(B9406,""en"",""hy"")"),"Աշխարհի ամենամեծ անապատը Անտարկտիդայի անապատն է։")</f>
        <v>Աշխարհի ամենամեծ անապատը Անտարկտիդայի անապատն է։</v>
      </c>
    </row>
    <row r="9407">
      <c r="A9407" s="5" t="s">
        <v>9805</v>
      </c>
      <c r="B9407" s="5" t="s">
        <v>9806</v>
      </c>
      <c r="C9407" s="5" t="str">
        <f>IFERROR(__xludf.DUMMYFUNCTION("GOOGLETRANSLATE(A9407,""en"",""hy"")"),"Ո՞վ է հայտնի որպես «Համակարգչի հայր»:")</f>
        <v>Ո՞վ է հայտնի որպես «Համակարգչի հայր»:</v>
      </c>
      <c r="D9407" s="6" t="str">
        <f>IFERROR(__xludf.DUMMYFUNCTION("GOOGLETRANSLATE(B9407,""en"",""hy"")"),"Չարլզ Բեբիջ.")</f>
        <v>Չարլզ Բեբիջ.</v>
      </c>
    </row>
    <row r="9408">
      <c r="A9408" s="5" t="s">
        <v>9524</v>
      </c>
      <c r="B9408" s="5" t="s">
        <v>9525</v>
      </c>
      <c r="C9408" s="5" t="str">
        <f>IFERROR(__xludf.DUMMYFUNCTION("GOOGLETRANSLATE(A9408,""en"",""hy"")"),"Ո՞րն է ԱՄՆ-ի ամենափոքր նահանգը:")</f>
        <v>Ո՞րն է ԱՄՆ-ի ամենափոքր նահանգը:</v>
      </c>
      <c r="D9408" s="6" t="str">
        <f>IFERROR(__xludf.DUMMYFUNCTION("GOOGLETRANSLATE(B9408,""en"",""hy"")"),"Ռոդ Այլենդ.")</f>
        <v>Ռոդ Այլենդ.</v>
      </c>
    </row>
    <row r="9409">
      <c r="A9409" s="5" t="s">
        <v>8011</v>
      </c>
      <c r="B9409" s="7">
        <v>1945.0</v>
      </c>
      <c r="C9409" s="5" t="str">
        <f>IFERROR(__xludf.DUMMYFUNCTION("GOOGLETRANSLATE(A9409,""en"",""hy"")"),"Ո՞ր թվականին ավարտվեց Երկրորդ համաշխարհային պատերազմը:")</f>
        <v>Ո՞ր թվականին ավարտվեց Երկրորդ համաշխարհային պատերազմը:</v>
      </c>
      <c r="D9409" s="6" t="str">
        <f>IFERROR(__xludf.DUMMYFUNCTION("GOOGLETRANSLATE(B9409,""en"",""hy"")"),"1945 թ")</f>
        <v>1945 թ</v>
      </c>
    </row>
    <row r="9410">
      <c r="A9410" s="5" t="s">
        <v>7640</v>
      </c>
      <c r="B9410" s="5" t="s">
        <v>1016</v>
      </c>
      <c r="C9410" s="5" t="str">
        <f>IFERROR(__xludf.DUMMYFUNCTION("GOOGLETRANSLATE(A9410,""en"",""hy"")"),"Ո՞վ է գրել «Ռոմեո և Ջուլիետ» պիեսը:")</f>
        <v>Ո՞վ է գրել «Ռոմեո և Ջուլիետ» պիեսը:</v>
      </c>
      <c r="D9410" s="6" t="str">
        <f>IFERROR(__xludf.DUMMYFUNCTION("GOOGLETRANSLATE(B9410,""en"",""hy"")"),"Ուիլյամ Շեքսպիր.")</f>
        <v>Ուիլյամ Շեքսպիր.</v>
      </c>
    </row>
    <row r="9411">
      <c r="A9411" s="5" t="s">
        <v>7592</v>
      </c>
      <c r="B9411" s="5" t="s">
        <v>7593</v>
      </c>
      <c r="C9411" s="5" t="str">
        <f>IFERROR(__xludf.DUMMYFUNCTION("GOOGLETRANSLATE(A9411,""en"",""hy"")"),"Ո՞րն է թթվածնի քիմիական նշանը:")</f>
        <v>Ո՞րն է թթվածնի քիմիական նշանը:</v>
      </c>
      <c r="D9411" s="6" t="str">
        <f>IFERROR(__xludf.DUMMYFUNCTION("GOOGLETRANSLATE(B9411,""en"",""hy"")"),"Թթվածնի քիմիական նշանը O է:")</f>
        <v>Թթվածնի քիմիական նշանը O է:</v>
      </c>
    </row>
    <row r="9412">
      <c r="A9412" s="5" t="s">
        <v>8410</v>
      </c>
      <c r="B9412" s="5" t="s">
        <v>8742</v>
      </c>
      <c r="C9412" s="5" t="str">
        <f>IFERROR(__xludf.DUMMYFUNCTION("GOOGLETRANSLATE(A9412,""en"",""hy"")"),"Ո՞րն է բոլոր ժամանակների ամենաշատ եկամուտ ստացած ֆիլմը:")</f>
        <v>Ո՞րն է բոլոր ժամանակների ամենաշատ եկամուտ ստացած ֆիլմը:</v>
      </c>
      <c r="D9412" s="6" t="str">
        <f>IFERROR(__xludf.DUMMYFUNCTION("GOOGLETRANSLATE(B9412,""en"",""hy"")"),"Վրիժառուներ. վերջնախաղ.")</f>
        <v>Վրիժառուներ. վերջնախաղ.</v>
      </c>
    </row>
    <row r="9413">
      <c r="A9413" s="5" t="s">
        <v>7872</v>
      </c>
      <c r="B9413" s="5" t="s">
        <v>6011</v>
      </c>
      <c r="C9413" s="5" t="str">
        <f>IFERROR(__xludf.DUMMYFUNCTION("GOOGLETRANSLATE(A9413,""en"",""hy"")"),"Ո՞րն է Իսպանիայի մայրաքաղաքը:")</f>
        <v>Ո՞րն է Իսպանիայի մայրաքաղաքը:</v>
      </c>
      <c r="D9413" s="6" t="str">
        <f>IFERROR(__xludf.DUMMYFUNCTION("GOOGLETRANSLATE(B9413,""en"",""hy"")"),"Մադրիդ")</f>
        <v>Մադրիդ</v>
      </c>
    </row>
    <row r="9414">
      <c r="A9414" s="5" t="s">
        <v>7915</v>
      </c>
      <c r="B9414" s="5" t="s">
        <v>7916</v>
      </c>
      <c r="C9414" s="5" t="str">
        <f>IFERROR(__xludf.DUMMYFUNCTION("GOOGLETRANSLATE(A9414,""en"",""hy"")"),"Քանի՞ ոսկոր կա մարդու մարմնում:")</f>
        <v>Քանի՞ ոսկոր կա մարդու մարմնում:</v>
      </c>
      <c r="D9414" s="6" t="str">
        <f>IFERROR(__xludf.DUMMYFUNCTION("GOOGLETRANSLATE(B9414,""en"",""hy"")"),"Մարդու մարմնում կա 206 ոսկոր։")</f>
        <v>Մարդու մարմնում կա 206 ոսկոր։</v>
      </c>
    </row>
    <row r="9415">
      <c r="A9415" s="5" t="s">
        <v>7479</v>
      </c>
      <c r="B9415" s="5" t="s">
        <v>1996</v>
      </c>
      <c r="C9415" s="5" t="str">
        <f>IFERROR(__xludf.DUMMYFUNCTION("GOOGLETRANSLATE(A9415,""en"",""hy"")"),"Ո՞վ է Միացյալ Թագավորության ներկայիս վարչապետը:")</f>
        <v>Ո՞վ է Միացյալ Թագավորության ներկայիս վարչապետը:</v>
      </c>
      <c r="D9415" s="6" t="str">
        <f>IFERROR(__xludf.DUMMYFUNCTION("GOOGLETRANSLATE(B9415,""en"",""hy"")"),"Բորիս Ջոնսոն.")</f>
        <v>Բորիս Ջոնսոն.</v>
      </c>
    </row>
    <row r="9416">
      <c r="A9416" s="5" t="s">
        <v>8753</v>
      </c>
      <c r="B9416" s="5" t="s">
        <v>8754</v>
      </c>
      <c r="C9416" s="5" t="str">
        <f>IFERROR(__xludf.DUMMYFUNCTION("GOOGLETRANSLATE(A9416,""en"",""hy"")"),"Ո՞րն է Հյուսիսային Ամերիկայի ամենաբարձր լեռը:")</f>
        <v>Ո՞րն է Հյուսիսային Ամերիկայի ամենաբարձր լեռը:</v>
      </c>
      <c r="D9416" s="6" t="str">
        <f>IFERROR(__xludf.DUMMYFUNCTION("GOOGLETRANSLATE(B9416,""en"",""hy"")"),"Դենալի լեռ.")</f>
        <v>Դենալի լեռ.</v>
      </c>
    </row>
    <row r="9417">
      <c r="A9417" s="5" t="s">
        <v>7955</v>
      </c>
      <c r="B9417" s="5" t="s">
        <v>7956</v>
      </c>
      <c r="C9417" s="5" t="str">
        <f>IFERROR(__xludf.DUMMYFUNCTION("GOOGLETRANSLATE(A9417,""en"",""hy"")"),"Ո՞վ է հայտնաբերել գրավիտացիան:")</f>
        <v>Ո՞վ է հայտնաբերել գրավիտացիան:</v>
      </c>
      <c r="D9417" s="6" t="str">
        <f>IFERROR(__xludf.DUMMYFUNCTION("GOOGLETRANSLATE(B9417,""en"",""hy"")"),"Իսահակ Նյուտոն.")</f>
        <v>Իսահակ Նյուտոն.</v>
      </c>
    </row>
    <row r="9418">
      <c r="A9418" s="5" t="s">
        <v>8025</v>
      </c>
      <c r="B9418" s="5" t="s">
        <v>831</v>
      </c>
      <c r="C9418" s="5" t="str">
        <f>IFERROR(__xludf.DUMMYFUNCTION("GOOGLETRANSLATE(A9418,""en"",""hy"")"),"Ո՞րն է Չինաստանի պաշտոնական լեզուն:")</f>
        <v>Ո՞րն է Չինաստանի պաշտոնական լեզուն:</v>
      </c>
      <c r="D9418" s="6" t="str">
        <f>IFERROR(__xludf.DUMMYFUNCTION("GOOGLETRANSLATE(B9418,""en"",""hy"")"),"Մանդարին չինարեն.")</f>
        <v>Մանդարին չինարեն.</v>
      </c>
    </row>
    <row r="9419">
      <c r="A9419" s="5" t="s">
        <v>7791</v>
      </c>
      <c r="B9419" s="5" t="s">
        <v>8128</v>
      </c>
      <c r="C9419" s="5" t="str">
        <f>IFERROR(__xludf.DUMMYFUNCTION("GOOGLETRANSLATE(A9419,""en"",""hy"")"),"Ո՞րն է Ավստրալիայի ազգային կենդանին:")</f>
        <v>Ո՞րն է Ավստրալիայի ազգային կենդանին:</v>
      </c>
      <c r="D9419" s="6" t="str">
        <f>IFERROR(__xludf.DUMMYFUNCTION("GOOGLETRANSLATE(B9419,""en"",""hy"")"),"Կենգուրու.")</f>
        <v>Կենգուրու.</v>
      </c>
    </row>
    <row r="9420">
      <c r="A9420" s="5" t="s">
        <v>9850</v>
      </c>
      <c r="B9420" s="5" t="s">
        <v>7448</v>
      </c>
      <c r="C9420" s="5" t="str">
        <f>IFERROR(__xludf.DUMMYFUNCTION("GOOGLETRANSLATE(A9420,""en"",""hy"")"),"Ո՞վ է նկարել «Վերջին ընթրիքը»:")</f>
        <v>Ո՞վ է նկարել «Վերջին ընթրիքը»:</v>
      </c>
      <c r="D9420" s="6" t="str">
        <f>IFERROR(__xludf.DUMMYFUNCTION("GOOGLETRANSLATE(B9420,""en"",""hy"")"),"Լեոնարդո դա Վինչի.")</f>
        <v>Լեոնարդո դա Վինչի.</v>
      </c>
    </row>
    <row r="9421">
      <c r="A9421" s="5" t="s">
        <v>7761</v>
      </c>
      <c r="B9421" s="5" t="s">
        <v>7762</v>
      </c>
      <c r="C9421" s="5" t="str">
        <f>IFERROR(__xludf.DUMMYFUNCTION("GOOGLETRANSLATE(A9421,""en"",""hy"")"),"Ո՞րն է ջրածնի քիմիական նշանը:")</f>
        <v>Ո՞րն է ջրածնի քիմիական նշանը:</v>
      </c>
      <c r="D9421" s="6" t="str">
        <f>IFERROR(__xludf.DUMMYFUNCTION("GOOGLETRANSLATE(B9421,""en"",""hy"")"),"Հ")</f>
        <v>Հ</v>
      </c>
    </row>
    <row r="9422">
      <c r="A9422" s="5" t="s">
        <v>7691</v>
      </c>
      <c r="B9422" s="5" t="s">
        <v>8421</v>
      </c>
      <c r="C9422" s="5" t="str">
        <f>IFERROR(__xludf.DUMMYFUNCTION("GOOGLETRANSLATE(A9422,""en"",""hy"")"),"Ո՞րն է Աֆրիկայի ամենամեծ լիճը:")</f>
        <v>Ո՞րն է Աֆրիկայի ամենամեծ լիճը:</v>
      </c>
      <c r="D9422" s="6" t="str">
        <f>IFERROR(__xludf.DUMMYFUNCTION("GOOGLETRANSLATE(B9422,""en"",""hy"")"),"Աֆրիկայի ամենամեծ լիճը Վիկտորիա լիճն է:")</f>
        <v>Աֆրիկայի ամենամեծ լիճը Վիկտորիա լիճն է:</v>
      </c>
    </row>
    <row r="9423">
      <c r="A9423" s="5" t="s">
        <v>7572</v>
      </c>
      <c r="B9423" s="5" t="s">
        <v>7573</v>
      </c>
      <c r="C9423" s="5" t="str">
        <f>IFERROR(__xludf.DUMMYFUNCTION("GOOGLETRANSLATE(A9423,""en"",""hy"")"),"Ո՞վ է հորինել լամպը:")</f>
        <v>Ո՞վ է հորինել լամպը:</v>
      </c>
      <c r="D9423" s="6" t="str">
        <f>IFERROR(__xludf.DUMMYFUNCTION("GOOGLETRANSLATE(B9423,""en"",""hy"")"),"Թոմաս Էդիսոն.")</f>
        <v>Թոմաս Էդիսոն.</v>
      </c>
    </row>
    <row r="9424">
      <c r="A9424" s="5" t="s">
        <v>7589</v>
      </c>
      <c r="B9424" s="5" t="s">
        <v>7545</v>
      </c>
      <c r="C9424" s="5" t="str">
        <f>IFERROR(__xludf.DUMMYFUNCTION("GOOGLETRANSLATE(A9424,""en"",""hy"")"),"Ո՞րն է Իտալիայի մայրաքաղաքը:")</f>
        <v>Ո՞րն է Իտալիայի մայրաքաղաքը:</v>
      </c>
      <c r="D9424" s="6" t="str">
        <f>IFERROR(__xludf.DUMMYFUNCTION("GOOGLETRANSLATE(B9424,""en"",""hy"")"),"Հռոմ.")</f>
        <v>Հռոմ.</v>
      </c>
    </row>
    <row r="9425">
      <c r="A9425" s="5" t="s">
        <v>8014</v>
      </c>
      <c r="B9425" s="5" t="s">
        <v>8174</v>
      </c>
      <c r="C9425" s="5" t="str">
        <f>IFERROR(__xludf.DUMMYFUNCTION("GOOGLETRANSLATE(A9425,""en"",""hy"")"),"Քանի՞ խաղացող կա բասկետբոլի թիմում:")</f>
        <v>Քանի՞ խաղացող կա բասկետբոլի թիմում:</v>
      </c>
      <c r="D9425" s="6" t="str">
        <f>IFERROR(__xludf.DUMMYFUNCTION("GOOGLETRANSLATE(B9425,""en"",""hy"")"),"Բասկետբոլի թիմում հինգ խաղացող կա:")</f>
        <v>Բասկետբոլի թիմում հինգ խաղացող կա:</v>
      </c>
    </row>
    <row r="9426">
      <c r="A9426" s="5" t="s">
        <v>10071</v>
      </c>
      <c r="B9426" s="5" t="s">
        <v>7688</v>
      </c>
      <c r="C9426" s="5" t="str">
        <f>IFERROR(__xludf.DUMMYFUNCTION("GOOGLETRANSLATE(A9426,""en"",""hy"")"),"Ո՞վ է «Մատանիների տիրակալը» սերիալի հեղինակը.")</f>
        <v>Ո՞վ է «Մատանիների տիրակալը» սերիալի հեղինակը.</v>
      </c>
      <c r="D9426" s="6" t="str">
        <f>IFERROR(__xludf.DUMMYFUNCTION("GOOGLETRANSLATE(B9426,""en"",""hy"")"),"Ջ.Ռ.Ռ. Թոլքինը")</f>
        <v>Ջ.Ռ.Ռ. Թոլքինը</v>
      </c>
    </row>
    <row r="9427">
      <c r="A9427" s="5" t="s">
        <v>7509</v>
      </c>
      <c r="B9427" s="5" t="s">
        <v>7510</v>
      </c>
      <c r="C9427" s="5" t="str">
        <f>IFERROR(__xludf.DUMMYFUNCTION("GOOGLETRANSLATE(A9427,""en"",""hy"")"),"Ո՞րն է արծաթի քիմիական նշանը:")</f>
        <v>Ո՞րն է արծաթի քիմիական նշանը:</v>
      </c>
      <c r="D9427" s="6" t="str">
        <f>IFERROR(__xludf.DUMMYFUNCTION("GOOGLETRANSLATE(B9427,""en"",""hy"")"),"Ագ")</f>
        <v>Ագ</v>
      </c>
    </row>
    <row r="9428">
      <c r="A9428" s="5" t="s">
        <v>7564</v>
      </c>
      <c r="B9428" s="5" t="s">
        <v>7565</v>
      </c>
      <c r="C9428" s="5" t="str">
        <f>IFERROR(__xludf.DUMMYFUNCTION("GOOGLETRANSLATE(A9428,""en"",""hy"")"),"Ո՞րն է աշխարհի ամենամեծ գետը:")</f>
        <v>Ո՞րն է աշխարհի ամենամեծ գետը:</v>
      </c>
      <c r="D9428" s="6" t="str">
        <f>IFERROR(__xludf.DUMMYFUNCTION("GOOGLETRANSLATE(B9428,""en"",""hy"")"),"Աշխարհի ամենամեծ գետը Ամազոն գետն է։")</f>
        <v>Աշխարհի ամենամեծ գետը Ամազոն գետն է։</v>
      </c>
    </row>
    <row r="9429">
      <c r="A9429" s="5" t="s">
        <v>9578</v>
      </c>
      <c r="B9429" s="5" t="s">
        <v>7585</v>
      </c>
      <c r="C9429" s="5" t="str">
        <f>IFERROR(__xludf.DUMMYFUNCTION("GOOGLETRANSLATE(A9429,""en"",""hy"")"),"Ո՞վ է նկարել «Ճիչը»:")</f>
        <v>Ո՞վ է նկարել «Ճիչը»:</v>
      </c>
      <c r="D9429" s="6" t="str">
        <f>IFERROR(__xludf.DUMMYFUNCTION("GOOGLETRANSLATE(B9429,""en"",""hy"")"),"Էդվարդ Մունկ.")</f>
        <v>Էդվարդ Մունկ.</v>
      </c>
    </row>
    <row r="9430">
      <c r="A9430" s="5" t="s">
        <v>7553</v>
      </c>
      <c r="B9430" s="5" t="s">
        <v>7554</v>
      </c>
      <c r="C9430" s="5" t="str">
        <f>IFERROR(__xludf.DUMMYFUNCTION("GOOGLETRANSLATE(A9430,""en"",""hy"")"),"Ո՞րն է Հարավային Աֆրիկայի մայրաքաղաքը:")</f>
        <v>Ո՞րն է Հարավային Աֆրիկայի մայրաքաղաքը:</v>
      </c>
      <c r="D9430" s="6" t="str">
        <f>IFERROR(__xludf.DUMMYFUNCTION("GOOGLETRANSLATE(B9430,""en"",""hy"")"),"Պրետորիա.")</f>
        <v>Պրետորիա.</v>
      </c>
    </row>
    <row r="9431">
      <c r="A9431" s="5" t="s">
        <v>7575</v>
      </c>
      <c r="B9431" s="5" t="s">
        <v>7576</v>
      </c>
      <c r="C9431" s="5" t="str">
        <f>IFERROR(__xludf.DUMMYFUNCTION("GOOGLETRANSLATE(A9431,""en"",""hy"")"),"Քանի՞ գույն կա ծիածանի մեջ:")</f>
        <v>Քանի՞ գույն կա ծիածանի մեջ:</v>
      </c>
      <c r="D9431" s="6" t="str">
        <f>IFERROR(__xludf.DUMMYFUNCTION("GOOGLETRANSLATE(B9431,""en"",""hy"")"),"Ծիածանի մեջ յոթ գույն կա:")</f>
        <v>Ծիածանի մեջ յոթ գույն կա:</v>
      </c>
    </row>
    <row r="9432">
      <c r="A9432" s="5" t="s">
        <v>8637</v>
      </c>
      <c r="B9432" s="5" t="s">
        <v>7607</v>
      </c>
      <c r="C9432" s="5" t="str">
        <f>IFERROR(__xludf.DUMMYFUNCTION("GOOGLETRANSLATE(A9432,""en"",""hy"")"),"Ո՞վ է հայտնի որպես «Էվոլյուցիայի հայր»:")</f>
        <v>Ո՞վ է հայտնի որպես «Էվոլյուցիայի հայր»:</v>
      </c>
      <c r="D9432" s="6" t="str">
        <f>IFERROR(__xludf.DUMMYFUNCTION("GOOGLETRANSLATE(B9432,""en"",""hy"")"),"Չարլզ Դարվին.")</f>
        <v>Չարլզ Դարվին.</v>
      </c>
    </row>
    <row r="9433">
      <c r="A9433" s="5" t="s">
        <v>8950</v>
      </c>
      <c r="B9433" s="5" t="s">
        <v>8951</v>
      </c>
      <c r="C9433" s="5" t="str">
        <f>IFERROR(__xludf.DUMMYFUNCTION("GOOGLETRANSLATE(A9433,""en"",""hy"")"),"Ո՞րն է Հնդկաստանի պաշտոնական լեզուն:")</f>
        <v>Ո՞րն է Հնդկաստանի պաշտոնական լեզուն:</v>
      </c>
      <c r="D9433" s="6" t="str">
        <f>IFERROR(__xludf.DUMMYFUNCTION("GOOGLETRANSLATE(B9433,""en"",""hy"")"),"Հնդկաստանի պաշտոնական լեզուն հինդին է։")</f>
        <v>Հնդկաստանի պաշտոնական լեզուն հինդին է։</v>
      </c>
    </row>
    <row r="9434">
      <c r="A9434" s="5" t="s">
        <v>8537</v>
      </c>
      <c r="B9434" s="5" t="s">
        <v>8538</v>
      </c>
      <c r="C9434" s="5" t="str">
        <f>IFERROR(__xludf.DUMMYFUNCTION("GOOGLETRANSLATE(A9434,""en"",""hy"")"),"Ո՞րն է Միջերկրական ծովի ամենամեծ կղզին:")</f>
        <v>Ո՞րն է Միջերկրական ծովի ամենամեծ կղզին:</v>
      </c>
      <c r="D9434" s="6" t="str">
        <f>IFERROR(__xludf.DUMMYFUNCTION("GOOGLETRANSLATE(B9434,""en"",""hy"")"),"Սիցիլիա.")</f>
        <v>Սիցիլիա.</v>
      </c>
    </row>
    <row r="9435">
      <c r="A9435" s="5" t="s">
        <v>7807</v>
      </c>
      <c r="B9435" s="5" t="s">
        <v>7808</v>
      </c>
      <c r="C9435" s="5" t="str">
        <f>IFERROR(__xludf.DUMMYFUNCTION("GOOGLETRANSLATE(A9435,""en"",""hy"")"),"Ո՞վ է հորինել տպագրական մեքենան:")</f>
        <v>Ո՞վ է հորինել տպագրական մեքենան:</v>
      </c>
      <c r="D9435" s="6" t="str">
        <f>IFERROR(__xludf.DUMMYFUNCTION("GOOGLETRANSLATE(B9435,""en"",""hy"")"),"Յոհաննես Գուտենբերգ.")</f>
        <v>Յոհաննես Գուտենբերգ.</v>
      </c>
    </row>
    <row r="9436">
      <c r="A9436" s="5" t="s">
        <v>7903</v>
      </c>
      <c r="B9436" s="5" t="s">
        <v>8261</v>
      </c>
      <c r="C9436" s="5" t="str">
        <f>IFERROR(__xludf.DUMMYFUNCTION("GOOGLETRANSLATE(A9436,""en"",""hy"")"),"Ո՞րն է Մեքսիկայի մայրաքաղաքը:")</f>
        <v>Ո՞րն է Մեքսիկայի մայրաքաղաքը:</v>
      </c>
      <c r="D9436" s="6" t="str">
        <f>IFERROR(__xludf.DUMMYFUNCTION("GOOGLETRANSLATE(B9436,""en"",""hy"")"),"Մեխիկո Սիթի.")</f>
        <v>Մեխիկո Սիթի.</v>
      </c>
    </row>
    <row r="9437">
      <c r="A9437" s="5" t="s">
        <v>8893</v>
      </c>
      <c r="B9437" s="5" t="s">
        <v>8122</v>
      </c>
      <c r="C9437" s="5" t="str">
        <f>IFERROR(__xludf.DUMMYFUNCTION("GOOGLETRANSLATE(A9437,""en"",""hy"")"),"Քանի՞ աստղ կա ամերիկյան դրոշի վրա:")</f>
        <v>Քանի՞ աստղ կա ամերիկյան դրոշի վրա:</v>
      </c>
      <c r="D9437" s="6" t="str">
        <f>IFERROR(__xludf.DUMMYFUNCTION("GOOGLETRANSLATE(B9437,""en"",""hy"")"),"Ամերիկյան դրոշի վրա 50 աստղ կա։")</f>
        <v>Ամերիկյան դրոշի վրա 50 աստղ կա։</v>
      </c>
    </row>
    <row r="9438">
      <c r="A9438" s="5" t="s">
        <v>7698</v>
      </c>
      <c r="B9438" s="5" t="s">
        <v>7466</v>
      </c>
      <c r="C9438" s="5" t="str">
        <f>IFERROR(__xludf.DUMMYFUNCTION("GOOGLETRANSLATE(A9438,""en"",""hy"")"),"Ո՞վ է գրել «Հպարտություն և նախապաշարմունք» վեպը:")</f>
        <v>Ո՞վ է գրել «Հպարտություն և նախապաշարմունք» վեպը:</v>
      </c>
      <c r="D9438" s="6" t="str">
        <f>IFERROR(__xludf.DUMMYFUNCTION("GOOGLETRANSLATE(B9438,""en"",""hy"")"),"Ջեյն Օսթին")</f>
        <v>Ջեյն Օսթին</v>
      </c>
    </row>
    <row r="9439">
      <c r="A9439" s="5" t="s">
        <v>7699</v>
      </c>
      <c r="B9439" s="5" t="s">
        <v>8615</v>
      </c>
      <c r="C9439" s="5" t="str">
        <f>IFERROR(__xludf.DUMMYFUNCTION("GOOGLETRANSLATE(A9439,""en"",""hy"")"),"Ո՞րն է ածխածնի քիմիական նշանը:")</f>
        <v>Ո՞րն է ածխածնի քիմիական նշանը:</v>
      </c>
      <c r="D9439" s="6" t="str">
        <f>IFERROR(__xludf.DUMMYFUNCTION("GOOGLETRANSLATE(B9439,""en"",""hy"")"),"Գ")</f>
        <v>Գ</v>
      </c>
    </row>
    <row r="9440">
      <c r="A9440" s="5" t="s">
        <v>7536</v>
      </c>
      <c r="B9440" s="5" t="s">
        <v>7870</v>
      </c>
      <c r="C9440" s="5" t="str">
        <f>IFERROR(__xludf.DUMMYFUNCTION("GOOGLETRANSLATE(A9440,""en"",""hy"")"),"Ո՞րն է Ռուսաստանի մայրաքաղաքը:")</f>
        <v>Ո՞րն է Ռուսաստանի մայրաքաղաքը:</v>
      </c>
      <c r="D9440" s="6" t="str">
        <f>IFERROR(__xludf.DUMMYFUNCTION("GOOGLETRANSLATE(B9440,""en"",""hy"")"),"Մոսկվա.")</f>
        <v>Մոսկվա.</v>
      </c>
    </row>
    <row r="9441">
      <c r="A9441" s="5" t="s">
        <v>8426</v>
      </c>
      <c r="B9441" s="5" t="s">
        <v>7970</v>
      </c>
      <c r="C9441" s="5" t="str">
        <f>IFERROR(__xludf.DUMMYFUNCTION("GOOGLETRANSLATE(A9441,""en"",""hy"")"),"Քանի՞ ոսկոր կա մարդու գանգում:")</f>
        <v>Քանի՞ ոսկոր կա մարդու գանգում:</v>
      </c>
      <c r="D9441" s="6" t="str">
        <f>IFERROR(__xludf.DUMMYFUNCTION("GOOGLETRANSLATE(B9441,""en"",""hy"")"),"Մարդու գանգում կա 22 ոսկոր։")</f>
        <v>Մարդու գանգում կա 22 ոսկոր։</v>
      </c>
    </row>
    <row r="9442">
      <c r="A9442" s="5" t="s">
        <v>7566</v>
      </c>
      <c r="B9442" s="5" t="s">
        <v>7934</v>
      </c>
      <c r="C9442" s="5" t="str">
        <f>IFERROR(__xludf.DUMMYFUNCTION("GOOGLETRANSLATE(A9442,""en"",""hy"")"),"Ո՞վ է Կանադայի ներկայիս վարչապետը:")</f>
        <v>Ո՞վ է Կանադայի ներկայիս վարչապետը:</v>
      </c>
      <c r="D9442" s="6" t="str">
        <f>IFERROR(__xludf.DUMMYFUNCTION("GOOGLETRANSLATE(B9442,""en"",""hy"")"),"Ջասթին Թրյուդո.")</f>
        <v>Ջասթին Թրյուդո.</v>
      </c>
    </row>
    <row r="9443">
      <c r="A9443" s="5" t="s">
        <v>9550</v>
      </c>
      <c r="B9443" s="5" t="s">
        <v>10072</v>
      </c>
      <c r="C9443" s="5" t="str">
        <f>IFERROR(__xludf.DUMMYFUNCTION("GOOGLETRANSLATE(A9443,""en"",""hy"")"),"Ո՞րն է Եվրոպայի ամենաբարձր լեռը:")</f>
        <v>Ո՞րն է Եվրոպայի ամենաբարձր լեռը:</v>
      </c>
      <c r="D9443" s="6" t="str">
        <f>IFERROR(__xludf.DUMMYFUNCTION("GOOGLETRANSLATE(B9443,""en"",""hy"")"),"Եվրոպայի ամենաբարձր լեռը Էլբրուս լեռն է։")</f>
        <v>Եվրոպայի ամենաբարձր լեռը Էլբրուս լեռն է։</v>
      </c>
    </row>
    <row r="9444">
      <c r="A9444" s="5" t="s">
        <v>7773</v>
      </c>
      <c r="B9444" s="5" t="s">
        <v>7774</v>
      </c>
      <c r="C9444" s="5" t="str">
        <f>IFERROR(__xludf.DUMMYFUNCTION("GOOGLETRANSLATE(A9444,""en"",""hy"")"),"Ո՞վ է հայտնաբերել պենիցիլինը:")</f>
        <v>Ո՞վ է հայտնաբերել պենիցիլինը:</v>
      </c>
      <c r="D9444" s="6" t="str">
        <f>IFERROR(__xludf.DUMMYFUNCTION("GOOGLETRANSLATE(B9444,""en"",""hy"")"),"Ալեքսանդր Ֆլեմինգը հայտնաբերել է պենիցիլին:")</f>
        <v>Ալեքսանդր Ֆլեմինգը հայտնաբերել է պենիցիլին:</v>
      </c>
    </row>
    <row r="9445">
      <c r="A9445" s="5" t="s">
        <v>8270</v>
      </c>
      <c r="B9445" s="5" t="s">
        <v>8271</v>
      </c>
      <c r="C9445" s="5" t="str">
        <f>IFERROR(__xludf.DUMMYFUNCTION("GOOGLETRANSLATE(A9445,""en"",""hy"")"),"Ո՞րն է Գերմանիայի պաշտոնական լեզուն:")</f>
        <v>Ո՞րն է Գերմանիայի պաշտոնական լեզուն:</v>
      </c>
      <c r="D9445" s="6" t="str">
        <f>IFERROR(__xludf.DUMMYFUNCTION("GOOGLETRANSLATE(B9445,""en"",""hy"")"),"Գերմանիայի պաշտոնական լեզուն գերմաներենն է։")</f>
        <v>Գերմանիայի պաշտոնական լեզուն գերմաներենն է։</v>
      </c>
    </row>
    <row r="9446">
      <c r="A9446" s="5" t="s">
        <v>7618</v>
      </c>
      <c r="B9446" s="5" t="s">
        <v>7733</v>
      </c>
      <c r="C9446" s="5" t="str">
        <f>IFERROR(__xludf.DUMMYFUNCTION("GOOGLETRANSLATE(A9446,""en"",""hy"")"),"Ո՞րն է աշխարհի ամենամեծ ջրվեժը:")</f>
        <v>Ո՞րն է աշխարհի ամենամեծ ջրվեժը:</v>
      </c>
      <c r="D9446" s="6" t="str">
        <f>IFERROR(__xludf.DUMMYFUNCTION("GOOGLETRANSLATE(B9446,""en"",""hy"")"),"Angel Falls.")</f>
        <v>Angel Falls.</v>
      </c>
    </row>
    <row r="9447">
      <c r="A9447" s="5" t="s">
        <v>7858</v>
      </c>
      <c r="B9447" s="5" t="s">
        <v>7448</v>
      </c>
      <c r="C9447" s="5" t="str">
        <f>IFERROR(__xludf.DUMMYFUNCTION("GOOGLETRANSLATE(A9447,""en"",""hy"")"),"Ո՞վ է նկարել «Մոնա Լիզան»:")</f>
        <v>Ո՞վ է նկարել «Մոնա Լիզան»:</v>
      </c>
      <c r="D9447" s="6" t="str">
        <f>IFERROR(__xludf.DUMMYFUNCTION("GOOGLETRANSLATE(B9447,""en"",""hy"")"),"Լեոնարդո դա Վինչի.")</f>
        <v>Լեոնարդո դա Վինչի.</v>
      </c>
    </row>
    <row r="9448">
      <c r="A9448" s="5" t="s">
        <v>7665</v>
      </c>
      <c r="B9448" s="5" t="s">
        <v>7781</v>
      </c>
      <c r="C9448" s="5" t="str">
        <f>IFERROR(__xludf.DUMMYFUNCTION("GOOGLETRANSLATE(A9448,""en"",""hy"")"),"Ո՞րն է նատրիումի քիմիական նշանը:")</f>
        <v>Ո՞րն է նատրիումի քիմիական նշանը:</v>
      </c>
      <c r="D9448" s="6" t="str">
        <f>IFERROR(__xludf.DUMMYFUNCTION("GOOGLETRANSLATE(B9448,""en"",""hy"")"),"Նատրիումի քիմիական նշանը Na է:")</f>
        <v>Նատրիումի քիմիական նշանը Na է:</v>
      </c>
    </row>
    <row r="9449">
      <c r="A9449" s="5" t="s">
        <v>7506</v>
      </c>
      <c r="B9449" s="5" t="s">
        <v>7507</v>
      </c>
      <c r="C9449" s="5" t="str">
        <f>IFERROR(__xludf.DUMMYFUNCTION("GOOGLETRANSLATE(A9449,""en"",""hy"")"),"Ո՞րն է աշխարհի ամենափոքր երկիրը:")</f>
        <v>Ո՞րն է աշխարհի ամենափոքր երկիրը:</v>
      </c>
      <c r="D9449" s="6" t="str">
        <f>IFERROR(__xludf.DUMMYFUNCTION("GOOGLETRANSLATE(B9449,""en"",""hy"")"),"Քաղաք Վատիկան.")</f>
        <v>Քաղաք Վատիկան.</v>
      </c>
    </row>
    <row r="9450">
      <c r="A9450" s="5" t="s">
        <v>8298</v>
      </c>
      <c r="B9450" s="5" t="s">
        <v>9071</v>
      </c>
      <c r="C9450" s="5" t="str">
        <f>IFERROR(__xludf.DUMMYFUNCTION("GOOGLETRANSLATE(A9450,""en"",""hy"")"),"Ո՞ր թվականին է փլվել Բեռլինի պատը:")</f>
        <v>Ո՞ր թվականին է փլվել Բեռլինի պատը:</v>
      </c>
      <c r="D9450" s="6" t="str">
        <f>IFERROR(__xludf.DUMMYFUNCTION("GOOGLETRANSLATE(B9450,""en"",""hy"")"),"Բեռլինի պատը փլվեց 1989թ.")</f>
        <v>Բեռլինի պատը փլվեց 1989թ.</v>
      </c>
    </row>
    <row r="9451">
      <c r="A9451" s="5" t="s">
        <v>7683</v>
      </c>
      <c r="B9451" s="5" t="s">
        <v>8107</v>
      </c>
      <c r="C9451" s="5" t="str">
        <f>IFERROR(__xludf.DUMMYFUNCTION("GOOGLETRANSLATE(A9451,""en"",""hy"")"),"Ո՞վ է գրել «Համլետ» պիեսը։")</f>
        <v>Ո՞վ է գրել «Համլետ» պիեսը։</v>
      </c>
      <c r="D9451" s="6" t="str">
        <f>IFERROR(__xludf.DUMMYFUNCTION("GOOGLETRANSLATE(B9451,""en"",""hy"")"),"Ուիլյամ Շեքսպիր")</f>
        <v>Ուիլյամ Շեքսպիր</v>
      </c>
    </row>
    <row r="9452">
      <c r="A9452" s="5" t="s">
        <v>7875</v>
      </c>
      <c r="B9452" s="5" t="s">
        <v>7876</v>
      </c>
      <c r="C9452" s="5" t="str">
        <f>IFERROR(__xludf.DUMMYFUNCTION("GOOGLETRANSLATE(A9452,""en"",""hy"")"),"Ո՞րն է ազոտի քիմիական նշանը:")</f>
        <v>Ո՞րն է ազոտի քիմիական նշանը:</v>
      </c>
      <c r="D9452" s="6" t="str">
        <f>IFERROR(__xludf.DUMMYFUNCTION("GOOGLETRANSLATE(B9452,""en"",""hy"")"),"Ազոտի քիմիական նշանն է N.")</f>
        <v>Ազոտի քիմիական նշանն է N.</v>
      </c>
    </row>
    <row r="9453">
      <c r="A9453" s="5" t="s">
        <v>8124</v>
      </c>
      <c r="B9453" s="5" t="s">
        <v>1299</v>
      </c>
      <c r="C9453" s="5" t="str">
        <f>IFERROR(__xludf.DUMMYFUNCTION("GOOGLETRANSLATE(A9453,""en"",""hy"")"),"Ո՞րն է ամենամեծ մայրցամաքը ըստ ցամաքային տարածքի:")</f>
        <v>Ո՞րն է ամենամեծ մայրցամաքը ըստ ցամաքային տարածքի:</v>
      </c>
      <c r="D9453" s="6" t="str">
        <f>IFERROR(__xludf.DUMMYFUNCTION("GOOGLETRANSLATE(B9453,""en"",""hy"")"),"Ասիա.")</f>
        <v>Ասիա.</v>
      </c>
    </row>
    <row r="9454">
      <c r="A9454" s="5" t="s">
        <v>7574</v>
      </c>
      <c r="B9454" s="5" t="s">
        <v>7525</v>
      </c>
      <c r="C9454" s="5" t="str">
        <f>IFERROR(__xludf.DUMMYFUNCTION("GOOGLETRANSLATE(A9454,""en"",""hy"")"),"Ո՞րն է Չինաստանի մայրաքաղաքը:")</f>
        <v>Ո՞րն է Չինաստանի մայրաքաղաքը:</v>
      </c>
      <c r="D9454" s="6" t="str">
        <f>IFERROR(__xludf.DUMMYFUNCTION("GOOGLETRANSLATE(B9454,""en"",""hy"")"),"Պեկին.")</f>
        <v>Պեկին.</v>
      </c>
    </row>
    <row r="9455">
      <c r="A9455" s="5" t="s">
        <v>10073</v>
      </c>
      <c r="B9455" s="5" t="s">
        <v>10074</v>
      </c>
      <c r="C9455" s="5" t="str">
        <f>IFERROR(__xludf.DUMMYFUNCTION("GOOGLETRANSLATE(A9455,""en"",""hy"")"),"Քանի՞ խաղացող կա ֆուտբոլային (ֆուտբոլային) թիմում:")</f>
        <v>Քանի՞ խաղացող կա ֆուտբոլային (ֆուտբոլային) թիմում:</v>
      </c>
      <c r="D9455" s="6" t="str">
        <f>IFERROR(__xludf.DUMMYFUNCTION("GOOGLETRANSLATE(B9455,""en"",""hy"")"),"Ֆուտբոլային (ֆուտբոլային) թիմում կա տասնմեկ խաղացող:")</f>
        <v>Ֆուտբոլային (ֆուտբոլային) թիմում կա տասնմեկ խաղացող:</v>
      </c>
    </row>
    <row r="9456">
      <c r="A9456" s="5" t="s">
        <v>7679</v>
      </c>
      <c r="B9456" s="5" t="s">
        <v>7560</v>
      </c>
      <c r="C9456" s="5" t="str">
        <f>IFERROR(__xludf.DUMMYFUNCTION("GOOGLETRANSLATE(A9456,""en"",""hy"")"),"Ո՞վ է «The Catcher in the Rye»-ի հեղինակը.")</f>
        <v>Ո՞վ է «The Catcher in the Rye»-ի հեղինակը.</v>
      </c>
      <c r="D9456" s="6" t="str">
        <f>IFERROR(__xludf.DUMMYFUNCTION("GOOGLETRANSLATE(B9456,""en"",""hy"")"),"Ջ.Դ.Սելինջեր.")</f>
        <v>Ջ.Դ.Սելինջեր.</v>
      </c>
    </row>
    <row r="9457">
      <c r="A9457" s="5" t="s">
        <v>7738</v>
      </c>
      <c r="B9457" s="5" t="s">
        <v>7739</v>
      </c>
      <c r="C9457" s="5" t="str">
        <f>IFERROR(__xludf.DUMMYFUNCTION("GOOGLETRANSLATE(A9457,""en"",""hy"")"),"Ո՞րն է կալցիումի քիմիական նշանը:")</f>
        <v>Ո՞րն է կալցիումի քիմիական նշանը:</v>
      </c>
      <c r="D9457" s="6" t="str">
        <f>IFERROR(__xludf.DUMMYFUNCTION("GOOGLETRANSLATE(B9457,""en"",""hy"")"),"Կալցիումի քիմիական նշանը Ca է:")</f>
        <v>Կալցիումի քիմիական նշանը Ca է:</v>
      </c>
    </row>
    <row r="9458">
      <c r="A9458" s="5" t="s">
        <v>9184</v>
      </c>
      <c r="B9458" s="5" t="s">
        <v>9185</v>
      </c>
      <c r="C9458" s="5" t="str">
        <f>IFERROR(__xludf.DUMMYFUNCTION("GOOGLETRANSLATE(A9458,""en"",""hy"")"),"Ո՞րն է Հյուսիսային Ամերիկայի ամենամեծ լիճը:")</f>
        <v>Ո՞րն է Հյուսիսային Ամերիկայի ամենամեծ լիճը:</v>
      </c>
      <c r="D9458" s="6" t="str">
        <f>IFERROR(__xludf.DUMMYFUNCTION("GOOGLETRANSLATE(B9458,""en"",""hy"")"),"Հյուսիսային Ամերիկայի ամենամեծ լիճը Սուպերիոր լիճն է։")</f>
        <v>Հյուսիսային Ամերիկայի ամենամեծ լիճը Սուպերիոր լիճն է։</v>
      </c>
    </row>
    <row r="9459">
      <c r="A9459" s="5" t="s">
        <v>10075</v>
      </c>
      <c r="B9459" s="5" t="s">
        <v>10076</v>
      </c>
      <c r="C9459" s="5" t="str">
        <f>IFERROR(__xludf.DUMMYFUNCTION("GOOGLETRANSLATE(A9459,""en"",""hy"")"),"Ո՞վ է հորինել ռադիոն:")</f>
        <v>Ո՞վ է հորինել ռադիոն:</v>
      </c>
      <c r="D9459" s="6" t="str">
        <f>IFERROR(__xludf.DUMMYFUNCTION("GOOGLETRANSLATE(B9459,""en"",""hy"")"),"Գուլիելմո Մարկոնի.")</f>
        <v>Գուլիելմո Մարկոնի.</v>
      </c>
    </row>
    <row r="9460">
      <c r="A9460" s="5" t="s">
        <v>7515</v>
      </c>
      <c r="B9460" s="5" t="s">
        <v>9403</v>
      </c>
      <c r="C9460" s="5" t="str">
        <f>IFERROR(__xludf.DUMMYFUNCTION("GOOGLETRANSLATE(A9460,""en"",""hy"")"),"Ո՞րն է Բրազիլիայի մայրաքաղաքը:")</f>
        <v>Ո՞րն է Բրազիլիայի մայրաքաղաքը:</v>
      </c>
      <c r="D9460" s="6" t="str">
        <f>IFERROR(__xludf.DUMMYFUNCTION("GOOGLETRANSLATE(B9460,""en"",""hy"")"),"Բրազիլիա")</f>
        <v>Բրազիլիա</v>
      </c>
    </row>
    <row r="9461">
      <c r="A9461" s="5" t="s">
        <v>8129</v>
      </c>
      <c r="B9461" s="5" t="s">
        <v>8130</v>
      </c>
      <c r="C9461" s="5" t="str">
        <f>IFERROR(__xludf.DUMMYFUNCTION("GOOGLETRANSLATE(A9461,""en"",""hy"")"),"Քանի՞ ժամային գոտի կա աշխարհում:")</f>
        <v>Քանի՞ ժամային գոտի կա աշխարհում:</v>
      </c>
      <c r="D9461" s="6" t="str">
        <f>IFERROR(__xludf.DUMMYFUNCTION("GOOGLETRANSLATE(B9461,""en"",""hy"")"),"Աշխարհում կա 24 ժամային գոտի:")</f>
        <v>Աշխարհում կա 24 ժամային գոտի:</v>
      </c>
    </row>
    <row r="9462">
      <c r="A9462" s="5" t="s">
        <v>9500</v>
      </c>
      <c r="B9462" s="5" t="s">
        <v>8986</v>
      </c>
      <c r="C9462" s="5" t="str">
        <f>IFERROR(__xludf.DUMMYFUNCTION("GOOGLETRANSLATE(A9462,""en"",""hy"")"),"Ո՞ւմ է վերագրվում էլեկտրաէներգիայի հայտնաբերումը:")</f>
        <v>Ո՞ւմ է վերագրվում էլեկտրաէներգիայի հայտնաբերումը:</v>
      </c>
      <c r="D9462" s="6" t="str">
        <f>IFERROR(__xludf.DUMMYFUNCTION("GOOGLETRANSLATE(B9462,""en"",""hy"")"),"Բենջամին Ֆրանկլինին վերագրվում է էլեկտրաէներգիայի հայտնաբերումը:")</f>
        <v>Բենջամին Ֆրանկլինին վերագրվում է էլեկտրաէներգիայի հայտնաբերումը:</v>
      </c>
    </row>
    <row r="9463">
      <c r="A9463" s="5" t="s">
        <v>8280</v>
      </c>
      <c r="B9463" s="5" t="s">
        <v>7229</v>
      </c>
      <c r="C9463" s="5" t="str">
        <f>IFERROR(__xludf.DUMMYFUNCTION("GOOGLETRANSLATE(A9463,""en"",""hy"")"),"Ո՞րն է Ֆրանսիայի պաշտոնական լեզուն:")</f>
        <v>Ո՞րն է Ֆրանսիայի պաշտոնական լեզուն:</v>
      </c>
      <c r="D9463" s="6" t="str">
        <f>IFERROR(__xludf.DUMMYFUNCTION("GOOGLETRANSLATE(B9463,""en"",""hy"")"),"ֆրանսերեն.")</f>
        <v>ֆրանսերեն.</v>
      </c>
    </row>
    <row r="9464">
      <c r="A9464" s="5" t="s">
        <v>7526</v>
      </c>
      <c r="B9464" s="5" t="s">
        <v>7527</v>
      </c>
      <c r="C9464" s="5" t="str">
        <f>IFERROR(__xludf.DUMMYFUNCTION("GOOGLETRANSLATE(A9464,""en"",""hy"")"),"Ո՞րն է աշխարհի ամենամեծ կղզին:")</f>
        <v>Ո՞րն է աշխարհի ամենամեծ կղզին:</v>
      </c>
      <c r="D9464" s="6" t="str">
        <f>IFERROR(__xludf.DUMMYFUNCTION("GOOGLETRANSLATE(B9464,""en"",""hy"")"),"Գրենլանդիա.")</f>
        <v>Գրենլանդիա.</v>
      </c>
    </row>
    <row r="9465">
      <c r="A9465" s="5" t="s">
        <v>7978</v>
      </c>
      <c r="B9465" s="5" t="s">
        <v>7549</v>
      </c>
      <c r="C9465" s="5" t="str">
        <f>IFERROR(__xludf.DUMMYFUNCTION("GOOGLETRANSLATE(A9465,""en"",""hy"")"),"Ո՞վ է նկարել «Մարգարտյա ականջօղով աղջիկը».")</f>
        <v>Ո՞վ է նկարել «Մարգարտյա ականջօղով աղջիկը».</v>
      </c>
      <c r="D9465" s="6" t="str">
        <f>IFERROR(__xludf.DUMMYFUNCTION("GOOGLETRANSLATE(B9465,""en"",""hy"")"),"Յոհաննես Վերմեեր.")</f>
        <v>Յոհաննես Վերմեեր.</v>
      </c>
    </row>
    <row r="9466">
      <c r="A9466" s="5" t="s">
        <v>7893</v>
      </c>
      <c r="B9466" s="5" t="s">
        <v>7894</v>
      </c>
      <c r="C9466" s="5" t="str">
        <f>IFERROR(__xludf.DUMMYFUNCTION("GOOGLETRANSLATE(A9466,""en"",""hy"")"),"Ո՞րն է կալիումի քիմիական նշանը:")</f>
        <v>Ո՞րն է կալիումի քիմիական նշանը:</v>
      </c>
      <c r="D9466" s="6" t="str">
        <f>IFERROR(__xludf.DUMMYFUNCTION("GOOGLETRANSLATE(B9466,""en"",""hy"")"),"Կալիումի քիմիական նշանը Կ.")</f>
        <v>Կալիումի քիմիական նշանը Կ.</v>
      </c>
    </row>
    <row r="9467">
      <c r="A9467" s="5" t="s">
        <v>10077</v>
      </c>
      <c r="B9467" s="5" t="s">
        <v>10078</v>
      </c>
      <c r="C9467" s="5" t="str">
        <f>IFERROR(__xludf.DUMMYFUNCTION("GOOGLETRANSLATE(A9467,""en"",""hy"")"),"Ո՞րն է բոլոր ժամանակների ամենաբարձր եկամուտ ունեցող երաժշտական ​​արտիստը:")</f>
        <v>Ո՞րն է բոլոր ժամանակների ամենաբարձր եկամուտ ունեցող երաժշտական ​​արտիստը:</v>
      </c>
      <c r="D9467" s="6" t="str">
        <f>IFERROR(__xludf.DUMMYFUNCTION("GOOGLETRANSLATE(B9467,""en"",""hy"")"),"The Beatles.")</f>
        <v>The Beatles.</v>
      </c>
    </row>
    <row r="9468">
      <c r="A9468" s="5" t="s">
        <v>7897</v>
      </c>
      <c r="B9468" s="5" t="s">
        <v>10079</v>
      </c>
      <c r="C9468" s="5" t="str">
        <f>IFERROR(__xludf.DUMMYFUNCTION("GOOGLETRANSLATE(A9468,""en"",""hy"")"),"Ո՞րն է Արգենտինայի մայրաքաղաքը:")</f>
        <v>Ո՞րն է Արգենտինայի մայրաքաղաքը:</v>
      </c>
      <c r="D9468" s="6" t="str">
        <f>IFERROR(__xludf.DUMMYFUNCTION("GOOGLETRANSLATE(B9468,""en"",""hy"")"),"Արգենտինայի մայրաքաղաքը Բուենոս Այրեսն է։")</f>
        <v>Արգենտինայի մայրաքաղաքը Բուենոս Այրեսն է։</v>
      </c>
    </row>
    <row r="9469">
      <c r="A9469" s="5" t="s">
        <v>8276</v>
      </c>
      <c r="B9469" s="5" t="s">
        <v>8277</v>
      </c>
      <c r="C9469" s="5" t="str">
        <f>IFERROR(__xludf.DUMMYFUNCTION("GOOGLETRANSLATE(A9469,""en"",""hy"")"),"Մեր Արեգակնային համակարգում քանի՞ մոլորակ ունի օղակ:")</f>
        <v>Մեր Արեգակնային համակարգում քանի՞ մոլորակ ունի օղակ:</v>
      </c>
      <c r="D9469" s="6" t="str">
        <f>IFERROR(__xludf.DUMMYFUNCTION("GOOGLETRANSLATE(B9469,""en"",""hy"")"),"Մեր Արեգակնային համակարգի չորս մոլորակներ ունեն օղակներ:")</f>
        <v>Մեր Արեգակնային համակարգի չորս մոլորակներ ունեն օղակներ:</v>
      </c>
    </row>
    <row r="9470">
      <c r="A9470" s="5" t="s">
        <v>7443</v>
      </c>
      <c r="B9470" s="5" t="s">
        <v>7444</v>
      </c>
      <c r="C9470" s="5" t="str">
        <f>IFERROR(__xludf.DUMMYFUNCTION("GOOGLETRANSLATE(A9470,""en"",""hy"")"),"Ո՞վ է գրել «1984» վեպը։")</f>
        <v>Ո՞վ է գրել «1984» վեպը։</v>
      </c>
      <c r="D9470" s="6" t="str">
        <f>IFERROR(__xludf.DUMMYFUNCTION("GOOGLETRANSLATE(B9470,""en"",""hy"")"),"Ջորջ Օրուել.")</f>
        <v>Ջորջ Օրուել.</v>
      </c>
    </row>
    <row r="9471">
      <c r="A9471" s="5" t="s">
        <v>8384</v>
      </c>
      <c r="B9471" s="5" t="s">
        <v>8385</v>
      </c>
      <c r="C9471" s="5" t="str">
        <f>IFERROR(__xludf.DUMMYFUNCTION("GOOGLETRANSLATE(A9471,""en"",""hy"")"),"Ո՞րն է կապարի քիմիական նշանը:")</f>
        <v>Ո՞րն է կապարի քիմիական նշանը:</v>
      </c>
      <c r="D9471" s="6" t="str">
        <f>IFERROR(__xludf.DUMMYFUNCTION("GOOGLETRANSLATE(B9471,""en"",""hy"")"),"Կապարի քիմիական նշանը Pb է:")</f>
        <v>Կապարի քիմիական նշանը Pb է:</v>
      </c>
    </row>
    <row r="9472">
      <c r="A9472" s="5" t="s">
        <v>8938</v>
      </c>
      <c r="B9472" s="5" t="s">
        <v>7747</v>
      </c>
      <c r="C9472" s="5" t="str">
        <f>IFERROR(__xludf.DUMMYFUNCTION("GOOGLETRANSLATE(A9472,""en"",""hy"")"),"Ո՞րն է Աֆրիկայի ամենամեծ երկիրը ցամաքային տարածքով:")</f>
        <v>Ո՞րն է Աֆրիկայի ամենամեծ երկիրը ցամաքային տարածքով:</v>
      </c>
      <c r="D9472" s="6" t="str">
        <f>IFERROR(__xludf.DUMMYFUNCTION("GOOGLETRANSLATE(B9472,""en"",""hy"")"),"Ալժիր.")</f>
        <v>Ալժիր.</v>
      </c>
    </row>
    <row r="9473">
      <c r="A9473" s="5" t="s">
        <v>10080</v>
      </c>
      <c r="B9473" s="5" t="s">
        <v>10081</v>
      </c>
      <c r="C9473" s="5" t="str">
        <f>IFERROR(__xludf.DUMMYFUNCTION("GOOGLETRANSLATE(A9473,""en"",""hy"")"),"Ո՞վ է հորինել ինքնաթիռը:")</f>
        <v>Ո՞վ է հորինել ինքնաթիռը:</v>
      </c>
      <c r="D9473" s="6" t="str">
        <f>IFERROR(__xludf.DUMMYFUNCTION("GOOGLETRANSLATE(B9473,""en"",""hy"")"),"Ռայթ եղբայրները.")</f>
        <v>Ռայթ եղբայրները.</v>
      </c>
    </row>
    <row r="9474">
      <c r="A9474" s="5" t="s">
        <v>7795</v>
      </c>
      <c r="B9474" s="5" t="s">
        <v>7796</v>
      </c>
      <c r="C9474" s="5" t="str">
        <f>IFERROR(__xludf.DUMMYFUNCTION("GOOGLETRANSLATE(A9474,""en"",""hy"")"),"Ո՞րն է Եգիպտոսի մայրաքաղաքը:")</f>
        <v>Ո՞րն է Եգիպտոսի մայրաքաղաքը:</v>
      </c>
      <c r="D9474" s="6" t="str">
        <f>IFERROR(__xludf.DUMMYFUNCTION("GOOGLETRANSLATE(B9474,""en"",""hy"")"),"Կահիրե.")</f>
        <v>Կահիրե.</v>
      </c>
    </row>
    <row r="9475">
      <c r="A9475" s="5" t="s">
        <v>8088</v>
      </c>
      <c r="B9475" s="5" t="s">
        <v>8089</v>
      </c>
      <c r="C9475" s="5" t="str">
        <f>IFERROR(__xludf.DUMMYFUNCTION("GOOGLETRANSLATE(A9475,""en"",""hy"")"),"Քանի՞ կողմ ունի հնգանկյունը:")</f>
        <v>Քանի՞ կողմ ունի հնգանկյունը:</v>
      </c>
      <c r="D9475" s="6" t="str">
        <f>IFERROR(__xludf.DUMMYFUNCTION("GOOGLETRANSLATE(B9475,""en"",""hy"")"),"Պենտագոնն ունի 5 կողմ.")</f>
        <v>Պենտագոնն ունի 5 կողմ.</v>
      </c>
    </row>
    <row r="9476">
      <c r="A9476" s="5" t="s">
        <v>7873</v>
      </c>
      <c r="B9476" s="5" t="s">
        <v>10036</v>
      </c>
      <c r="C9476" s="5" t="str">
        <f>IFERROR(__xludf.DUMMYFUNCTION("GOOGLETRANSLATE(A9476,""en"",""hy"")"),"Ո՞վ է «Ալիսի արկածները հրաշքների աշխարհում» գրքի հեղինակը։")</f>
        <v>Ո՞վ է «Ալիսի արկածները հրաշքների աշխարհում» գրքի հեղինակը։</v>
      </c>
      <c r="D9476" s="6" t="str">
        <f>IFERROR(__xludf.DUMMYFUNCTION("GOOGLETRANSLATE(B9476,""en"",""hy"")"),"«Ալիսի արկածները հրաշքների աշխարհում» ֆիլմի հեղինակը Լյուիս Քերոլն է։")</f>
        <v>«Ալիսի արկածները հրաշքների աշխարհում» ֆիլմի հեղինակը Լյուիս Քերոլն է։</v>
      </c>
    </row>
    <row r="9477">
      <c r="A9477" s="5" t="s">
        <v>10082</v>
      </c>
      <c r="B9477" s="5" t="s">
        <v>10083</v>
      </c>
      <c r="C9477" s="5" t="str">
        <f>IFERROR(__xludf.DUMMYFUNCTION("GOOGLETRANSLATE(A9477,""en"",""hy"")"),"Ո՞րն է սնդիկի քիմիական նշանը:")</f>
        <v>Ո՞րն է սնդիկի քիմիական նշանը:</v>
      </c>
      <c r="D9477" s="6" t="str">
        <f>IFERROR(__xludf.DUMMYFUNCTION("GOOGLETRANSLATE(B9477,""en"",""hy"")"),"Սնդիկի քիմիական նշանը Hg է:")</f>
        <v>Սնդիկի քիմիական նշանը Hg է:</v>
      </c>
    </row>
    <row r="9478">
      <c r="A9478" s="5" t="s">
        <v>9956</v>
      </c>
      <c r="B9478" s="5" t="s">
        <v>9957</v>
      </c>
      <c r="C9478" s="5" t="str">
        <f>IFERROR(__xludf.DUMMYFUNCTION("GOOGLETRANSLATE(A9478,""en"",""hy"")"),"Ո՞րն է բոլոր ժամանակների ամենաբարձր եկամուտ ունեցող գիրքը:")</f>
        <v>Ո՞րն է բոլոր ժամանակների ամենաբարձր եկամուտ ունեցող գիրքը:</v>
      </c>
      <c r="D9478" s="6" t="str">
        <f>IFERROR(__xludf.DUMMYFUNCTION("GOOGLETRANSLATE(B9478,""en"",""hy"")"),"Աստվածաշունչ.")</f>
        <v>Աստվածաշունչ.</v>
      </c>
    </row>
    <row r="9479">
      <c r="A9479" s="5" t="s">
        <v>7626</v>
      </c>
      <c r="B9479" s="5" t="s">
        <v>8066</v>
      </c>
      <c r="C9479" s="5" t="str">
        <f>IFERROR(__xludf.DUMMYFUNCTION("GOOGLETRANSLATE(A9479,""en"",""hy"")"),"Ո՞րն է Գերմանիայի մայրաքաղաքը:")</f>
        <v>Ո՞րն է Գերմանիայի մայրաքաղաքը:</v>
      </c>
      <c r="D9479" s="6" t="str">
        <f>IFERROR(__xludf.DUMMYFUNCTION("GOOGLETRANSLATE(B9479,""en"",""hy"")"),"Բեռլին.")</f>
        <v>Բեռլին.</v>
      </c>
    </row>
    <row r="9480">
      <c r="A9480" s="5" t="s">
        <v>10084</v>
      </c>
      <c r="B9480" s="5" t="s">
        <v>8492</v>
      </c>
      <c r="C9480" s="5" t="str">
        <f>IFERROR(__xludf.DUMMYFUNCTION("GOOGLETRANSLATE(A9480,""en"",""hy"")"),"Քանի՞ ոսկոր կա մարդու ձեռքում:")</f>
        <v>Քանի՞ ոսկոր կա մարդու ձեռքում:</v>
      </c>
      <c r="D9480" s="6" t="str">
        <f>IFERROR(__xludf.DUMMYFUNCTION("GOOGLETRANSLATE(B9480,""en"",""hy"")"),"Մարդու ձեռքում կա 27 ոսկոր։")</f>
        <v>Մարդու ձեռքում կա 27 ոսկոր։</v>
      </c>
    </row>
    <row r="9481">
      <c r="A9481" s="5" t="s">
        <v>7463</v>
      </c>
      <c r="B9481" s="5" t="s">
        <v>7464</v>
      </c>
      <c r="C9481" s="5" t="str">
        <f>IFERROR(__xludf.DUMMYFUNCTION("GOOGLETRANSLATE(A9481,""en"",""hy"")"),"Ո՞րն է աշխարհի ամենաբարձր լեռը:")</f>
        <v>Ո՞րն է աշխարհի ամենաբարձր լեռը:</v>
      </c>
      <c r="D9481" s="6" t="str">
        <f>IFERROR(__xludf.DUMMYFUNCTION("GOOGLETRANSLATE(B9481,""en"",""hy"")"),"Էվերեստ լեռ.")</f>
        <v>Էվերեստ լեռ.</v>
      </c>
    </row>
    <row r="9482">
      <c r="A9482" s="5" t="s">
        <v>7779</v>
      </c>
      <c r="B9482" s="5" t="s">
        <v>7446</v>
      </c>
      <c r="C9482" s="5" t="str">
        <f>IFERROR(__xludf.DUMMYFUNCTION("GOOGLETRANSLATE(A9482,""en"",""hy"")"),"Ո՞ր մոլորակն է հայտնի որպես «Կարմիր մոլորակ»:")</f>
        <v>Ո՞ր մոլորակն է հայտնի որպես «Կարմիր մոլորակ»:</v>
      </c>
      <c r="D9482" s="6" t="str">
        <f>IFERROR(__xludf.DUMMYFUNCTION("GOOGLETRANSLATE(B9482,""en"",""hy"")"),"Մարս.")</f>
        <v>Մարս.</v>
      </c>
    </row>
    <row r="9483">
      <c r="A9483" s="5" t="s">
        <v>7485</v>
      </c>
      <c r="B9483" s="5" t="s">
        <v>7486</v>
      </c>
      <c r="C9483" s="5" t="str">
        <f>IFERROR(__xludf.DUMMYFUNCTION("GOOGLETRANSLATE(A9483,""en"",""hy"")"),"Ո՞վ է Հարի Փոթերի շարքի հեղինակը:")</f>
        <v>Ո՞վ է Հարի Փոթերի շարքի հեղինակը:</v>
      </c>
      <c r="D9483" s="6" t="str">
        <f>IFERROR(__xludf.DUMMYFUNCTION("GOOGLETRANSLATE(B9483,""en"",""hy"")"),"Ջ.Կ. Ռոուլինգ.")</f>
        <v>Ջ.Կ. Ռոուլինգ.</v>
      </c>
    </row>
    <row r="9484">
      <c r="A9484" s="5" t="s">
        <v>7780</v>
      </c>
      <c r="B9484" s="5" t="s">
        <v>2951</v>
      </c>
      <c r="C9484" s="5" t="str">
        <f>IFERROR(__xludf.DUMMYFUNCTION("GOOGLETRANSLATE(A9484,""en"",""hy"")"),"Ո՞րն է Կանադայի մայրաքաղաքը:")</f>
        <v>Ո՞րն է Կանադայի մայրաքաղաքը:</v>
      </c>
      <c r="D9484" s="6" t="str">
        <f>IFERROR(__xludf.DUMMYFUNCTION("GOOGLETRANSLATE(B9484,""en"",""hy"")"),"Օտտավա.")</f>
        <v>Օտտավա.</v>
      </c>
    </row>
    <row r="9485">
      <c r="A9485" s="5" t="s">
        <v>7645</v>
      </c>
      <c r="B9485" s="5" t="s">
        <v>7646</v>
      </c>
      <c r="C9485" s="5" t="str">
        <f>IFERROR(__xludf.DUMMYFUNCTION("GOOGLETRANSLATE(A9485,""en"",""hy"")"),"Ո՞րն է Երկրի ամենամեծ օվկիանոսը:")</f>
        <v>Ո՞րն է Երկրի ամենամեծ օվկիանոսը:</v>
      </c>
      <c r="D9485" s="6" t="str">
        <f>IFERROR(__xludf.DUMMYFUNCTION("GOOGLETRANSLATE(B9485,""en"",""hy"")"),"Խաղաղ օվկիանոս.")</f>
        <v>Խաղաղ օվկիանոս.</v>
      </c>
    </row>
    <row r="9486">
      <c r="A9486" s="5" t="s">
        <v>7447</v>
      </c>
      <c r="B9486" s="5" t="s">
        <v>7448</v>
      </c>
      <c r="C9486" s="5" t="str">
        <f>IFERROR(__xludf.DUMMYFUNCTION("GOOGLETRANSLATE(A9486,""en"",""hy"")"),"Ո՞վ է նկարել Մոնա Լիզան:")</f>
        <v>Ո՞վ է նկարել Մոնա Լիզան:</v>
      </c>
      <c r="D9486" s="6" t="str">
        <f>IFERROR(__xludf.DUMMYFUNCTION("GOOGLETRANSLATE(B9486,""en"",""hy"")"),"Լեոնարդո դա Վինչի.")</f>
        <v>Լեոնարդո դա Վինչի.</v>
      </c>
    </row>
    <row r="9487">
      <c r="A9487" s="5" t="s">
        <v>10085</v>
      </c>
      <c r="B9487" s="5" t="s">
        <v>10086</v>
      </c>
      <c r="C9487" s="5" t="str">
        <f>IFERROR(__xludf.DUMMYFUNCTION("GOOGLETRANSLATE(A9487,""en"",""hy"")"),"Քանի՞ օղակ է կազմում օլիմպիական խորհրդանիշը:")</f>
        <v>Քանի՞ օղակ է կազմում օլիմպիական խորհրդանիշը:</v>
      </c>
      <c r="D9487" s="6" t="str">
        <f>IFERROR(__xludf.DUMMYFUNCTION("GOOGLETRANSLATE(B9487,""en"",""hy"")"),"Հինգ")</f>
        <v>Հինգ</v>
      </c>
    </row>
    <row r="9488">
      <c r="A9488" s="5" t="s">
        <v>7915</v>
      </c>
      <c r="B9488" s="5" t="s">
        <v>7916</v>
      </c>
      <c r="C9488" s="5" t="str">
        <f>IFERROR(__xludf.DUMMYFUNCTION("GOOGLETRANSLATE(A9488,""en"",""hy"")"),"Քանի՞ ոսկոր կա մարդու մարմնում:")</f>
        <v>Քանի՞ ոսկոր կա մարդու մարմնում:</v>
      </c>
      <c r="D9488" s="6" t="str">
        <f>IFERROR(__xludf.DUMMYFUNCTION("GOOGLETRANSLATE(B9488,""en"",""hy"")"),"Մարդու մարմնում կա 206 ոսկոր։")</f>
        <v>Մարդու մարմնում կա 206 ոսկոր։</v>
      </c>
    </row>
    <row r="9489">
      <c r="A9489" s="5" t="s">
        <v>7452</v>
      </c>
      <c r="B9489" s="5" t="s">
        <v>7631</v>
      </c>
      <c r="C9489" s="5" t="str">
        <f>IFERROR(__xludf.DUMMYFUNCTION("GOOGLETRANSLATE(A9489,""en"",""hy"")"),"Ո՞րն է ոսկու քիմիական նշանը:")</f>
        <v>Ո՞րն է ոսկու քիմիական նշանը:</v>
      </c>
      <c r="D9489" s="6" t="str">
        <f>IFERROR(__xludf.DUMMYFUNCTION("GOOGLETRANSLATE(B9489,""en"",""hy"")"),"Ավ")</f>
        <v>Ավ</v>
      </c>
    </row>
    <row r="9490">
      <c r="A9490" s="5" t="s">
        <v>7457</v>
      </c>
      <c r="B9490" s="5" t="s">
        <v>7458</v>
      </c>
      <c r="C9490" s="5" t="str">
        <f>IFERROR(__xludf.DUMMYFUNCTION("GOOGLETRANSLATE(A9490,""en"",""hy"")"),"Ո՞վ է եղել Միացյալ Նահանգների առաջին նախագահը:")</f>
        <v>Ո՞վ է եղել Միացյալ Նահանգների առաջին նախագահը:</v>
      </c>
      <c r="D9490" s="6" t="str">
        <f>IFERROR(__xludf.DUMMYFUNCTION("GOOGLETRANSLATE(B9490,""en"",""hy"")"),"Ջորջ Վաշինգտոն.")</f>
        <v>Ջորջ Վաշինգտոն.</v>
      </c>
    </row>
    <row r="9491">
      <c r="A9491" s="5" t="s">
        <v>8580</v>
      </c>
      <c r="B9491" s="5" t="s">
        <v>7472</v>
      </c>
      <c r="C9491" s="5" t="str">
        <f>IFERROR(__xludf.DUMMYFUNCTION("GOOGLETRANSLATE(A9491,""en"",""hy"")"),"Ո՞րն է Երկրի վրա ամենամեծ կաթնասունը:")</f>
        <v>Ո՞րն է Երկրի վրա ամենամեծ կաթնասունը:</v>
      </c>
      <c r="D9491" s="6" t="str">
        <f>IFERROR(__xludf.DUMMYFUNCTION("GOOGLETRANSLATE(B9491,""en"",""hy"")"),"Կապույտ կետը.")</f>
        <v>Կապույտ կետը.</v>
      </c>
    </row>
    <row r="9492">
      <c r="A9492" s="5" t="s">
        <v>8287</v>
      </c>
      <c r="B9492" s="5" t="s">
        <v>8288</v>
      </c>
      <c r="C9492" s="5" t="str">
        <f>IFERROR(__xludf.DUMMYFUNCTION("GOOGLETRANSLATE(A9492,""en"",""hy"")"),"Քանի՞ մայրցամաք կա:")</f>
        <v>Քանի՞ մայրցամաք կա:</v>
      </c>
      <c r="D9492" s="6" t="str">
        <f>IFERROR(__xludf.DUMMYFUNCTION("GOOGLETRANSLATE(B9492,""en"",""hy"")"),"Կան յոթ մայրցամաքներ.")</f>
        <v>Կան յոթ մայրցամաքներ.</v>
      </c>
    </row>
    <row r="9493">
      <c r="A9493" s="5" t="s">
        <v>7454</v>
      </c>
      <c r="B9493" s="5" t="s">
        <v>1016</v>
      </c>
      <c r="C9493" s="5" t="str">
        <f>IFERROR(__xludf.DUMMYFUNCTION("GOOGLETRANSLATE(A9493,""en"",""hy"")"),"Ո՞վ է գրել Ռոմեո և Ջուլիետ պիեսը:")</f>
        <v>Ո՞վ է գրել Ռոմեո և Ջուլիետ պիեսը:</v>
      </c>
      <c r="D9493" s="6" t="str">
        <f>IFERROR(__xludf.DUMMYFUNCTION("GOOGLETRANSLATE(B9493,""en"",""hy"")"),"Ուիլյամ Շեքսպիր.")</f>
        <v>Ուիլյամ Շեքսպիր.</v>
      </c>
    </row>
    <row r="9494">
      <c r="A9494" s="5" t="s">
        <v>8078</v>
      </c>
      <c r="B9494" s="5" t="s">
        <v>7478</v>
      </c>
      <c r="C9494" s="5" t="str">
        <f>IFERROR(__xludf.DUMMYFUNCTION("GOOGLETRANSLATE(A9494,""en"",""hy"")"),"Ո՞ր երկիրն է հայտնի որպես Ծագող Արևի երկիր:")</f>
        <v>Ո՞ր երկիրն է հայտնի որպես Ծագող Արևի երկիր:</v>
      </c>
      <c r="D9494" s="6" t="str">
        <f>IFERROR(__xludf.DUMMYFUNCTION("GOOGLETRANSLATE(B9494,""en"",""hy"")"),"Ճապոնիա.")</f>
        <v>Ճապոնիա.</v>
      </c>
    </row>
    <row r="9495">
      <c r="A9495" s="5" t="s">
        <v>7791</v>
      </c>
      <c r="B9495" s="5" t="s">
        <v>7792</v>
      </c>
      <c r="C9495" s="5" t="str">
        <f>IFERROR(__xludf.DUMMYFUNCTION("GOOGLETRANSLATE(A9495,""en"",""hy"")"),"Ո՞րն է Ավստրալիայի ազգային կենդանին:")</f>
        <v>Ո՞րն է Ավստրալիայի ազգային կենդանին:</v>
      </c>
      <c r="D9495" s="6" t="str">
        <f>IFERROR(__xludf.DUMMYFUNCTION("GOOGLETRANSLATE(B9495,""en"",""hy"")"),"Ավստրալիայի ազգային կենդանին կենգուրուն է։")</f>
        <v>Ավստրալիայի ազգային կենդանին կենգուրուն է։</v>
      </c>
    </row>
    <row r="9496">
      <c r="A9496" s="5" t="s">
        <v>7534</v>
      </c>
      <c r="B9496" s="5" t="s">
        <v>7535</v>
      </c>
      <c r="C9496" s="5" t="str">
        <f>IFERROR(__xludf.DUMMYFUNCTION("GOOGLETRANSLATE(A9496,""en"",""hy"")"),"Ո՞վ է հորինել հեռախոսը:")</f>
        <v>Ո՞վ է հորինել հեռախոսը:</v>
      </c>
      <c r="D9496" s="6" t="str">
        <f>IFERROR(__xludf.DUMMYFUNCTION("GOOGLETRANSLATE(B9496,""en"",""hy"")"),"Ալեքսանդր Գրեհեմ Բել.")</f>
        <v>Ալեքսանդր Գրեհեմ Բել.</v>
      </c>
    </row>
    <row r="9497">
      <c r="A9497" s="5" t="s">
        <v>7632</v>
      </c>
      <c r="B9497" s="5" t="s">
        <v>7633</v>
      </c>
      <c r="C9497" s="5" t="str">
        <f>IFERROR(__xludf.DUMMYFUNCTION("GOOGLETRANSLATE(A9497,""en"",""hy"")"),"Ո՞րն է մեր արեգակնային համակարգի ամենամեծ մոլորակը:")</f>
        <v>Ո՞րն է մեր արեգակնային համակարգի ամենամեծ մոլորակը:</v>
      </c>
      <c r="D9497" s="6" t="str">
        <f>IFERROR(__xludf.DUMMYFUNCTION("GOOGLETRANSLATE(B9497,""en"",""hy"")"),"Յուպիտեր.")</f>
        <v>Յուպիտեր.</v>
      </c>
    </row>
    <row r="9498">
      <c r="A9498" s="5" t="s">
        <v>8296</v>
      </c>
      <c r="B9498" s="5" t="s">
        <v>7556</v>
      </c>
      <c r="C9498" s="5" t="str">
        <f>IFERROR(__xludf.DUMMYFUNCTION("GOOGLETRANSLATE(A9498,""en"",""hy"")"),"Ո՞ր հայտնի գիտնականն է մշակել հարաբերականության ընդհանուր տեսությունը:")</f>
        <v>Ո՞ր հայտնի գիտնականն է մշակել հարաբերականության ընդհանուր տեսությունը:</v>
      </c>
      <c r="D9498" s="6" t="str">
        <f>IFERROR(__xludf.DUMMYFUNCTION("GOOGLETRANSLATE(B9498,""en"",""hy"")"),"Albert Einstein.")</f>
        <v>Albert Einstein.</v>
      </c>
    </row>
    <row r="9499">
      <c r="A9499" s="5" t="s">
        <v>7450</v>
      </c>
      <c r="B9499" s="5" t="s">
        <v>7451</v>
      </c>
      <c r="C9499" s="5" t="str">
        <f>IFERROR(__xludf.DUMMYFUNCTION("GOOGLETRANSLATE(A9499,""en"",""hy"")"),"Ո՞րն է Ավստրալիայի մայրաքաղաքը:")</f>
        <v>Ո՞րն է Ավստրալիայի մայրաքաղաքը:</v>
      </c>
      <c r="D9499" s="6" t="str">
        <f>IFERROR(__xludf.DUMMYFUNCTION("GOOGLETRANSLATE(B9499,""en"",""hy"")"),"Կանբերա.")</f>
        <v>Կանբերա.</v>
      </c>
    </row>
    <row r="9500">
      <c r="A9500" s="5" t="s">
        <v>8172</v>
      </c>
      <c r="B9500" s="5" t="s">
        <v>7733</v>
      </c>
      <c r="C9500" s="5" t="str">
        <f>IFERROR(__xludf.DUMMYFUNCTION("GOOGLETRANSLATE(A9500,""en"",""hy"")"),"Ո՞րն է աշխարհի ամենաբարձր ջրվեժը:")</f>
        <v>Ո՞րն է աշխարհի ամենաբարձր ջրվեժը:</v>
      </c>
      <c r="D9500" s="6" t="str">
        <f>IFERROR(__xludf.DUMMYFUNCTION("GOOGLETRANSLATE(B9500,""en"",""hy"")"),"Angel Falls.")</f>
        <v>Angel Falls.</v>
      </c>
    </row>
    <row r="9501">
      <c r="A9501" s="5" t="s">
        <v>10087</v>
      </c>
      <c r="B9501" s="5" t="s">
        <v>7474</v>
      </c>
      <c r="C9501" s="5" t="str">
        <f>IFERROR(__xludf.DUMMYFUNCTION("GOOGLETRANSLATE(A9501,""en"",""hy"")"),"Ո՞վ է նկարել Սիքստինյան կապելլայի առաստաղը:")</f>
        <v>Ո՞վ է նկարել Սիքստինյան կապելլայի առաստաղը:</v>
      </c>
      <c r="D9501" s="6" t="str">
        <f>IFERROR(__xludf.DUMMYFUNCTION("GOOGLETRANSLATE(B9501,""en"",""hy"")"),"Միքելանջելո.")</f>
        <v>Միքելանջելո.</v>
      </c>
    </row>
    <row r="9502">
      <c r="A9502" s="5" t="s">
        <v>8440</v>
      </c>
      <c r="B9502" s="5" t="s">
        <v>7947</v>
      </c>
      <c r="C9502" s="5" t="str">
        <f>IFERROR(__xludf.DUMMYFUNCTION("GOOGLETRANSLATE(A9502,""en"",""hy"")"),"Քանի՞ խաղացող կա ֆուտբոլային թիմում:")</f>
        <v>Քանի՞ խաղացող կա ֆուտբոլային թիմում:</v>
      </c>
      <c r="D9502" s="6" t="str">
        <f>IFERROR(__xludf.DUMMYFUNCTION("GOOGLETRANSLATE(B9502,""en"",""hy"")"),"Ֆուտբոլային թիմում սովորաբար լինում է 11 խաղացող:")</f>
        <v>Ֆուտբոլային թիմում սովորաբար լինում է 11 խաղացող:</v>
      </c>
    </row>
    <row r="9503">
      <c r="A9503" s="5" t="s">
        <v>10088</v>
      </c>
      <c r="B9503" s="5" t="s">
        <v>10089</v>
      </c>
      <c r="C9503" s="5" t="str">
        <f>IFERROR(__xludf.DUMMYFUNCTION("GOOGLETRANSLATE(A9503,""en"",""hy"")"),"Ո՞րն է ջրածնի տարրի խորհրդանիշը պարբերական աղյուսակում:")</f>
        <v>Ո՞րն է ջրածնի տարրի խորհրդանիշը պարբերական աղյուսակում:</v>
      </c>
      <c r="D9503" s="6" t="str">
        <f>IFERROR(__xludf.DUMMYFUNCTION("GOOGLETRANSLATE(B9503,""en"",""hy"")"),"Պարբերական աղյուսակում ջրածին տարրի խորհրդանիշն է H:")</f>
        <v>Պարբերական աղյուսակում ջրածին տարրի խորհրդանիշն է H:</v>
      </c>
    </row>
    <row r="9504">
      <c r="A9504" s="5" t="s">
        <v>8105</v>
      </c>
      <c r="B9504" s="5" t="s">
        <v>7635</v>
      </c>
      <c r="C9504" s="5" t="str">
        <f>IFERROR(__xludf.DUMMYFUNCTION("GOOGLETRANSLATE(A9504,""en"",""hy"")"),"Ո՞վ էր առաջին մարդը, ով քայլեց լուսնի վրա:")</f>
        <v>Ո՞վ էր առաջին մարդը, ով քայլեց լուսնի վրա:</v>
      </c>
      <c r="D9504" s="6" t="str">
        <f>IFERROR(__xludf.DUMMYFUNCTION("GOOGLETRANSLATE(B9504,""en"",""hy"")"),"Նիլ Արմսթրոնգ.")</f>
        <v>Նիլ Արմսթրոնգ.</v>
      </c>
    </row>
    <row r="9505">
      <c r="A9505" s="5" t="s">
        <v>10090</v>
      </c>
      <c r="B9505" s="5" t="s">
        <v>3700</v>
      </c>
      <c r="C9505" s="5" t="str">
        <f>IFERROR(__xludf.DUMMYFUNCTION("GOOGLETRANSLATE(A9505,""en"",""hy"")"),"Ո՞ր երկիրն է հայտնի իր հայտնի Մեծ պարիսպով:")</f>
        <v>Ո՞ր երկիրն է հայտնի իր հայտնի Մեծ պարիսպով:</v>
      </c>
      <c r="D9505" s="6" t="str">
        <f>IFERROR(__xludf.DUMMYFUNCTION("GOOGLETRANSLATE(B9505,""en"",""hy"")"),"Չինաստան")</f>
        <v>Չինաստան</v>
      </c>
    </row>
    <row r="9506">
      <c r="A9506" s="5" t="s">
        <v>7467</v>
      </c>
      <c r="B9506" s="5" t="s">
        <v>7766</v>
      </c>
      <c r="C9506" s="5" t="str">
        <f>IFERROR(__xludf.DUMMYFUNCTION("GOOGLETRANSLATE(A9506,""en"",""hy"")"),"Ո՞րն է Ճապոնիայի արժույթը:")</f>
        <v>Ո՞րն է Ճապոնիայի արժույթը:</v>
      </c>
      <c r="D9506" s="6" t="str">
        <f>IFERROR(__xludf.DUMMYFUNCTION("GOOGLETRANSLATE(B9506,""en"",""hy"")"),"Ճապոնիայի արժույթը ճապոնական իենն է։")</f>
        <v>Ճապոնիայի արժույթը ճապոնական իենն է։</v>
      </c>
    </row>
    <row r="9507">
      <c r="A9507" s="5" t="s">
        <v>7465</v>
      </c>
      <c r="B9507" s="5" t="s">
        <v>7630</v>
      </c>
      <c r="C9507" s="5" t="str">
        <f>IFERROR(__xludf.DUMMYFUNCTION("GOOGLETRANSLATE(A9507,""en"",""hy"")"),"Ո՞վ է գրել «Հպարտություն և նախապաշարմունք» վեպը:")</f>
        <v>Ո՞վ է գրել «Հպարտություն և նախապաշարմունք» վեպը:</v>
      </c>
      <c r="D9507" s="6" t="str">
        <f>IFERROR(__xludf.DUMMYFUNCTION("GOOGLETRANSLATE(B9507,""en"",""hy"")"),"Ջեյն Օսթին.")</f>
        <v>Ջեյն Օսթին.</v>
      </c>
    </row>
    <row r="9508">
      <c r="A9508" s="5" t="s">
        <v>10091</v>
      </c>
      <c r="B9508" s="5" t="s">
        <v>10092</v>
      </c>
      <c r="C9508" s="5" t="str">
        <f>IFERROR(__xludf.DUMMYFUNCTION("GOOGLETRANSLATE(A9508,""en"",""hy"")"),"Ո՞ր երկու գույներն են հանդիպում Ֆրանսիայի դրոշի վրա:")</f>
        <v>Ո՞ր երկու գույներն են հանդիպում Ֆրանսիայի դրոշի վրա:</v>
      </c>
      <c r="D9508" s="6" t="str">
        <f>IFERROR(__xludf.DUMMYFUNCTION("GOOGLETRANSLATE(B9508,""en"",""hy"")"),"Կապույտ և սպիտակ.")</f>
        <v>Կապույտ և սպիտակ.</v>
      </c>
    </row>
    <row r="9509">
      <c r="A9509" s="5" t="s">
        <v>7513</v>
      </c>
      <c r="B9509" s="5" t="s">
        <v>8337</v>
      </c>
      <c r="C9509" s="5" t="str">
        <f>IFERROR(__xludf.DUMMYFUNCTION("GOOGLETRANSLATE(A9509,""en"",""hy"")"),"Ո՞րն է աշխարհի ամենամեծ անապատը:")</f>
        <v>Ո՞րն է աշխարհի ամենամեծ անապատը:</v>
      </c>
      <c r="D9509" s="6" t="str">
        <f>IFERROR(__xludf.DUMMYFUNCTION("GOOGLETRANSLATE(B9509,""en"",""hy"")"),"Աշխարհի ամենամեծ անապատը Անտարկտիդայի անապատն է։")</f>
        <v>Աշխարհի ամենամեծ անապատը Անտարկտիդայի անապատն է։</v>
      </c>
    </row>
    <row r="9510">
      <c r="A9510" s="5" t="s">
        <v>7852</v>
      </c>
      <c r="B9510" s="5" t="s">
        <v>9149</v>
      </c>
      <c r="C9510" s="5" t="str">
        <f>IFERROR(__xludf.DUMMYFUNCTION("GOOGLETRANSLATE(A9510,""en"",""hy"")"),"Ո՞վ է ներկայիս Անգլիայի թագուհին:")</f>
        <v>Ո՞վ է ներկայիս Անգլիայի թագուհին:</v>
      </c>
      <c r="D9510" s="6" t="str">
        <f>IFERROR(__xludf.DUMMYFUNCTION("GOOGLETRANSLATE(B9510,""en"",""hy"")"),"Անգլիայի ներկայիս թագուհին Էլիզաբեթ II թագուհին է։")</f>
        <v>Անգլիայի ներկայիս թագուհին Էլիզաբեթ II թագուհին է։</v>
      </c>
    </row>
    <row r="9511">
      <c r="A9511" s="5" t="s">
        <v>7608</v>
      </c>
      <c r="B9511" s="5" t="s">
        <v>7609</v>
      </c>
      <c r="C9511" s="5" t="str">
        <f>IFERROR(__xludf.DUMMYFUNCTION("GOOGLETRANSLATE(A9511,""en"",""hy"")"),"Ո՞րն է Հնդկաստանի մայրաքաղաքը:")</f>
        <v>Ո՞րն է Հնդկաստանի մայրաքաղաքը:</v>
      </c>
      <c r="D9511" s="6" t="str">
        <f>IFERROR(__xludf.DUMMYFUNCTION("GOOGLETRANSLATE(B9511,""en"",""hy"")"),"Նյու Դելի.")</f>
        <v>Նյու Դելի.</v>
      </c>
    </row>
    <row r="9512">
      <c r="A9512" s="5" t="s">
        <v>7483</v>
      </c>
      <c r="B9512" s="5" t="s">
        <v>8295</v>
      </c>
      <c r="C9512" s="5" t="str">
        <f>IFERROR(__xludf.DUMMYFUNCTION("GOOGLETRANSLATE(A9512,""en"",""hy"")"),"Ո՞րն է ջրի քիմիական բանաձևը:")</f>
        <v>Ո՞րն է ջրի քիմիական բանաձևը:</v>
      </c>
      <c r="D9512" s="6" t="str">
        <f>IFERROR(__xludf.DUMMYFUNCTION("GOOGLETRANSLATE(B9512,""en"",""hy"")"),"H2O")</f>
        <v>H2O</v>
      </c>
    </row>
    <row r="9513">
      <c r="A9513" s="5" t="s">
        <v>7491</v>
      </c>
      <c r="B9513" s="5" t="s">
        <v>7648</v>
      </c>
      <c r="C9513" s="5" t="str">
        <f>IFERROR(__xludf.DUMMYFUNCTION("GOOGLETRANSLATE(A9513,""en"",""hy"")"),"Ո՞վ է նկարել Աստղային գիշերը:")</f>
        <v>Ո՞վ է նկարել Աստղային գիշերը:</v>
      </c>
      <c r="D9513" s="6" t="str">
        <f>IFERROR(__xludf.DUMMYFUNCTION("GOOGLETRANSLATE(B9513,""en"",""hy"")"),"Վինսենթ վան Գոգ.")</f>
        <v>Վինսենթ վան Գոգ.</v>
      </c>
    </row>
    <row r="9514">
      <c r="A9514" s="5" t="s">
        <v>8118</v>
      </c>
      <c r="B9514" s="5" t="s">
        <v>8119</v>
      </c>
      <c r="C9514" s="5" t="str">
        <f>IFERROR(__xludf.DUMMYFUNCTION("GOOGLETRANSLATE(A9514,""en"",""hy"")"),"Քանի՞ սիրտ ունի ութոտնուկը:")</f>
        <v>Քանի՞ սիրտ ունի ութոտնուկը:</v>
      </c>
      <c r="D9514" s="6" t="str">
        <f>IFERROR(__xludf.DUMMYFUNCTION("GOOGLETRANSLATE(B9514,""en"",""hy"")"),"Ութոտնուկն ունի երեք սիրտ.")</f>
        <v>Ութոտնուկն ունի երեք սիրտ.</v>
      </c>
    </row>
    <row r="9515">
      <c r="A9515" s="5" t="s">
        <v>7772</v>
      </c>
      <c r="B9515" s="5" t="s">
        <v>3535</v>
      </c>
      <c r="C9515" s="5" t="str">
        <f>IFERROR(__xludf.DUMMYFUNCTION("GOOGLETRANSLATE(A9515,""en"",""hy"")"),"Ո՞ր երկիրն է հայտնի որպես «Land Down Under»:")</f>
        <v>Ո՞ր երկիրն է հայտնի որպես «Land Down Under»:</v>
      </c>
      <c r="D9515" s="6" t="str">
        <f>IFERROR(__xludf.DUMMYFUNCTION("GOOGLETRANSLATE(B9515,""en"",""hy"")"),"Ավստրալիա.")</f>
        <v>Ավստրալիա.</v>
      </c>
    </row>
    <row r="9516">
      <c r="A9516" s="5" t="s">
        <v>8031</v>
      </c>
      <c r="B9516" s="5" t="s">
        <v>8268</v>
      </c>
      <c r="C9516" s="5" t="str">
        <f>IFERROR(__xludf.DUMMYFUNCTION("GOOGLETRANSLATE(A9516,""en"",""hy"")"),"Ո՞րն է աշխարհի ամենամեծ թռչունը:")</f>
        <v>Ո՞րն է աշխարհի ամենամեծ թռչունը:</v>
      </c>
      <c r="D9516" s="6" t="str">
        <f>IFERROR(__xludf.DUMMYFUNCTION("GOOGLETRANSLATE(B9516,""en"",""hy"")"),"Աշխարհի ամենամեծ թռչունը ջայլամն է։")</f>
        <v>Աշխարհի ամենամեծ թռչունը ջայլամն է։</v>
      </c>
    </row>
    <row r="9517">
      <c r="A9517" s="5" t="s">
        <v>7540</v>
      </c>
      <c r="B9517" s="5" t="s">
        <v>7541</v>
      </c>
      <c r="C9517" s="5" t="str">
        <f>IFERROR(__xludf.DUMMYFUNCTION("GOOGLETRANSLATE(A9517,""en"",""hy"")"),"Ո՞վ է գրել «Սպանել ծաղրող թռչունին» վեպը:")</f>
        <v>Ո՞վ է գրել «Սպանել ծաղրող թռչունին» վեպը:</v>
      </c>
      <c r="D9517" s="6" t="str">
        <f>IFERROR(__xludf.DUMMYFUNCTION("GOOGLETRANSLATE(B9517,""en"",""hy"")"),"Հարփեր Լի.")</f>
        <v>Հարփեր Լի.</v>
      </c>
    </row>
    <row r="9518">
      <c r="A9518" s="5" t="s">
        <v>7553</v>
      </c>
      <c r="B9518" s="5" t="s">
        <v>7249</v>
      </c>
      <c r="C9518" s="5" t="str">
        <f>IFERROR(__xludf.DUMMYFUNCTION("GOOGLETRANSLATE(A9518,""en"",""hy"")"),"Ո՞րն է Հարավային Աֆրիկայի մայրաքաղաքը:")</f>
        <v>Ո՞րն է Հարավային Աֆրիկայի մայրաքաղաքը:</v>
      </c>
      <c r="D9518" s="6" t="str">
        <f>IFERROR(__xludf.DUMMYFUNCTION("GOOGLETRANSLATE(B9518,""en"",""hy"")"),"Հարավային Աֆրիկայի մայրաքաղաքը Պրետորիան է։")</f>
        <v>Հարավային Աֆրիկայի մայրաքաղաքը Պրետորիան է։</v>
      </c>
    </row>
    <row r="9519">
      <c r="A9519" s="5" t="s">
        <v>8815</v>
      </c>
      <c r="B9519" s="5" t="s">
        <v>8816</v>
      </c>
      <c r="C9519" s="5" t="str">
        <f>IFERROR(__xludf.DUMMYFUNCTION("GOOGLETRANSLATE(A9519,""en"",""hy"")"),"Ո՞րն է պարբերական աղյուսակի թթվածնի քիմիական նշանը:")</f>
        <v>Ո՞րն է պարբերական աղյուսակի թթվածնի քիմիական նշանը:</v>
      </c>
      <c r="D9519" s="6" t="str">
        <f>IFERROR(__xludf.DUMMYFUNCTION("GOOGLETRANSLATE(B9519,""en"",""hy"")"),"Պարբերական աղյուսակում թթվածնի քիմիական նշանը O է:")</f>
        <v>Պարբերական աղյուսակում թթվածնի քիմիական նշանը O է:</v>
      </c>
    </row>
    <row r="9520">
      <c r="A9520" s="5" t="s">
        <v>10093</v>
      </c>
      <c r="B9520" s="5" t="s">
        <v>10094</v>
      </c>
      <c r="C9520" s="5" t="str">
        <f>IFERROR(__xludf.DUMMYFUNCTION("GOOGLETRANSLATE(A9520,""en"",""hy"")"),"Ո՞վ էր Apple Inc.-ի հիմնադիրը:")</f>
        <v>Ո՞վ էր Apple Inc.-ի հիմնադիրը:</v>
      </c>
      <c r="D9520" s="6" t="str">
        <f>IFERROR(__xludf.DUMMYFUNCTION("GOOGLETRANSLATE(B9520,""en"",""hy"")"),"Սթիվ Ջոբս")</f>
        <v>Սթիվ Ջոբս</v>
      </c>
    </row>
    <row r="9521">
      <c r="A9521" s="5" t="s">
        <v>7711</v>
      </c>
      <c r="B9521" s="5" t="s">
        <v>7712</v>
      </c>
      <c r="C9521" s="5" t="str">
        <f>IFERROR(__xludf.DUMMYFUNCTION("GOOGLETRANSLATE(A9521,""en"",""hy"")"),"Ո՞րն է Միացյալ Նահանգների ամենամեծ քաղաքը:")</f>
        <v>Ո՞րն է Միացյալ Նահանգների ամենամեծ քաղաքը:</v>
      </c>
      <c r="D9521" s="6" t="str">
        <f>IFERROR(__xludf.DUMMYFUNCTION("GOOGLETRANSLATE(B9521,""en"",""hy"")"),"Նյու Յորք քաղաք.")</f>
        <v>Նյու Յորք քաղաք.</v>
      </c>
    </row>
    <row r="9522">
      <c r="A9522" s="5" t="s">
        <v>8042</v>
      </c>
      <c r="B9522" s="5" t="s">
        <v>7745</v>
      </c>
      <c r="C9522" s="5" t="str">
        <f>IFERROR(__xludf.DUMMYFUNCTION("GOOGLETRANSLATE(A9522,""en"",""hy"")"),"Ո՞վ է նկարել «Հիշողության համառություն» ստեղծագործությունը:")</f>
        <v>Ո՞վ է նկարել «Հիշողության համառություն» ստեղծագործությունը:</v>
      </c>
      <c r="D9522" s="6" t="str">
        <f>IFERROR(__xludf.DUMMYFUNCTION("GOOGLETRANSLATE(B9522,""en"",""hy"")"),"Սալվադոր Դալի.")</f>
        <v>Սալվադոր Դալի.</v>
      </c>
    </row>
    <row r="9523">
      <c r="A9523" s="5" t="s">
        <v>7515</v>
      </c>
      <c r="B9523" s="5" t="s">
        <v>7516</v>
      </c>
      <c r="C9523" s="5" t="str">
        <f>IFERROR(__xludf.DUMMYFUNCTION("GOOGLETRANSLATE(A9523,""en"",""hy"")"),"Ո՞րն է Բրազիլիայի մայրաքաղաքը:")</f>
        <v>Ո՞րն է Բրազիլիայի մայրաքաղաքը:</v>
      </c>
      <c r="D9523" s="6" t="str">
        <f>IFERROR(__xludf.DUMMYFUNCTION("GOOGLETRANSLATE(B9523,""en"",""hy"")"),"Բրազիլիա.")</f>
        <v>Բրազիլիա.</v>
      </c>
    </row>
    <row r="9524">
      <c r="A9524" s="5" t="s">
        <v>10095</v>
      </c>
      <c r="B9524" s="5" t="s">
        <v>10096</v>
      </c>
      <c r="C9524" s="5" t="str">
        <f>IFERROR(__xludf.DUMMYFUNCTION("GOOGLETRANSLATE(A9524,""en"",""hy"")"),"Քանի՞ արբանյակ ունի Երկիր մոլորակը:")</f>
        <v>Քանի՞ արբանյակ ունի Երկիր մոլորակը:</v>
      </c>
      <c r="D9524" s="6" t="str">
        <f>IFERROR(__xludf.DUMMYFUNCTION("GOOGLETRANSLATE(B9524,""en"",""hy"")"),"Երկիր մոլորակն ունի մեկ լուսին։")</f>
        <v>Երկիր մոլորակն ունի մեկ լուսին։</v>
      </c>
    </row>
    <row r="9525">
      <c r="A9525" s="5" t="s">
        <v>7511</v>
      </c>
      <c r="B9525" s="5" t="s">
        <v>7512</v>
      </c>
      <c r="C9525" s="5" t="str">
        <f>IFERROR(__xludf.DUMMYFUNCTION("GOOGLETRANSLATE(A9525,""en"",""hy"")"),"Ո՞ր երկիրն է հայտնի իր բուրգերով:")</f>
        <v>Ո՞ր երկիրն է հայտնի իր բուրգերով:</v>
      </c>
      <c r="D9525" s="6" t="str">
        <f>IFERROR(__xludf.DUMMYFUNCTION("GOOGLETRANSLATE(B9525,""en"",""hy"")"),"Եգիպտոս.")</f>
        <v>Եգիպտոս.</v>
      </c>
    </row>
    <row r="9526">
      <c r="A9526" s="5" t="s">
        <v>7817</v>
      </c>
      <c r="B9526" s="5" t="s">
        <v>7818</v>
      </c>
      <c r="C9526" s="5" t="str">
        <f>IFERROR(__xludf.DUMMYFUNCTION("GOOGLETRANSLATE(A9526,""en"",""hy"")"),"Ո՞րն է Կանադայի ազգային կենդանին:")</f>
        <v>Ո՞րն է Կանադայի ազգային կենդանին:</v>
      </c>
      <c r="D9526" s="6" t="str">
        <f>IFERROR(__xludf.DUMMYFUNCTION("GOOGLETRANSLATE(B9526,""en"",""hy"")"),"Կանադայի ազգային կենդանին կեղևն է:")</f>
        <v>Կանադայի ազգային կենդանին կեղևն է:</v>
      </c>
    </row>
    <row r="9527">
      <c r="A9527" s="5" t="s">
        <v>7508</v>
      </c>
      <c r="B9527" s="5" t="s">
        <v>7444</v>
      </c>
      <c r="C9527" s="5" t="str">
        <f>IFERROR(__xludf.DUMMYFUNCTION("GOOGLETRANSLATE(A9527,""en"",""hy"")"),"Ո՞վ է գրել վեպը 1984 թ.")</f>
        <v>Ո՞վ է գրել վեպը 1984 թ.</v>
      </c>
      <c r="D9527" s="6" t="str">
        <f>IFERROR(__xludf.DUMMYFUNCTION("GOOGLETRANSLATE(B9527,""en"",""hy"")"),"Ջորջ Օրուել.")</f>
        <v>Ջորջ Օրուել.</v>
      </c>
    </row>
    <row r="9528">
      <c r="A9528" s="5" t="s">
        <v>7691</v>
      </c>
      <c r="B9528" s="5" t="s">
        <v>7692</v>
      </c>
      <c r="C9528" s="5" t="str">
        <f>IFERROR(__xludf.DUMMYFUNCTION("GOOGLETRANSLATE(A9528,""en"",""hy"")"),"Ո՞րն է Աֆրիկայի ամենամեծ լիճը:")</f>
        <v>Ո՞րն է Աֆրիկայի ամենամեծ լիճը:</v>
      </c>
      <c r="D9528" s="6" t="str">
        <f>IFERROR(__xludf.DUMMYFUNCTION("GOOGLETRANSLATE(B9528,""en"",""hy"")"),"Վիկտորիա լիճ.")</f>
        <v>Վիկտորիա լիճ.</v>
      </c>
    </row>
    <row r="9529">
      <c r="A9529" s="5" t="s">
        <v>10097</v>
      </c>
      <c r="B9529" s="5" t="s">
        <v>7710</v>
      </c>
      <c r="C9529" s="5" t="str">
        <f>IFERROR(__xludf.DUMMYFUNCTION("GOOGLETRANSLATE(A9529,""en"",""hy"")"),"Ո՞վ է նկարել Գերնիկա արվեստի գործը:")</f>
        <v>Ո՞վ է նկարել Գերնիկա արվեստի գործը:</v>
      </c>
      <c r="D9529" s="6" t="str">
        <f>IFERROR(__xludf.DUMMYFUNCTION("GOOGLETRANSLATE(B9529,""en"",""hy"")"),"Պաբլո Պիկասո.")</f>
        <v>Պաբլո Պիկասո.</v>
      </c>
    </row>
    <row r="9530">
      <c r="A9530" s="5" t="s">
        <v>7574</v>
      </c>
      <c r="B9530" s="5" t="s">
        <v>9803</v>
      </c>
      <c r="C9530" s="5" t="str">
        <f>IFERROR(__xludf.DUMMYFUNCTION("GOOGLETRANSLATE(A9530,""en"",""hy"")"),"Ո՞րն է Չինաստանի մայրաքաղաքը:")</f>
        <v>Ո՞րն է Չինաստանի մայրաքաղաքը:</v>
      </c>
      <c r="D9530" s="6" t="str">
        <f>IFERROR(__xludf.DUMMYFUNCTION("GOOGLETRANSLATE(B9530,""en"",""hy"")"),"Չինաստանի մայրաքաղաքը Պեկինն է։")</f>
        <v>Չինաստանի մայրաքաղաքը Պեկինն է։</v>
      </c>
    </row>
    <row r="9531">
      <c r="A9531" s="5" t="s">
        <v>7604</v>
      </c>
      <c r="B9531" s="5" t="s">
        <v>7605</v>
      </c>
      <c r="C9531" s="5" t="str">
        <f>IFERROR(__xludf.DUMMYFUNCTION("GOOGLETRANSLATE(A9531,""en"",""hy"")"),"Ո՞րն է ածխաթթու գազի քիմիական բանաձևը:")</f>
        <v>Ո՞րն է ածխաթթու գազի քիմիական բանաձևը:</v>
      </c>
      <c r="D9531" s="6" t="str">
        <f>IFERROR(__xludf.DUMMYFUNCTION("GOOGLETRANSLATE(B9531,""en"",""hy"")"),"CO2")</f>
        <v>CO2</v>
      </c>
    </row>
    <row r="9532">
      <c r="A9532" s="5" t="s">
        <v>8238</v>
      </c>
      <c r="B9532" s="5" t="s">
        <v>7688</v>
      </c>
      <c r="C9532" s="5" t="str">
        <f>IFERROR(__xludf.DUMMYFUNCTION("GOOGLETRANSLATE(A9532,""en"",""hy"")"),"Ո՞վ է «Մատանիների տիրակալը» եռերգության հեղինակը:")</f>
        <v>Ո՞վ է «Մատանիների տիրակալը» եռերգության հեղինակը:</v>
      </c>
      <c r="D9532" s="6" t="str">
        <f>IFERROR(__xludf.DUMMYFUNCTION("GOOGLETRANSLATE(B9532,""en"",""hy"")"),"Ջ.Ռ.Ռ. Թոլքինը")</f>
        <v>Ջ.Ռ.Ռ. Թոլքինը</v>
      </c>
    </row>
    <row r="9533">
      <c r="A9533" s="5" t="s">
        <v>9249</v>
      </c>
      <c r="B9533" s="5" t="s">
        <v>7633</v>
      </c>
      <c r="C9533" s="5" t="str">
        <f>IFERROR(__xludf.DUMMYFUNCTION("GOOGLETRANSLATE(A9533,""en"",""hy"")"),"Ո՞ր մոլորակն է հայտնի որպես «Արեգակնային համակարգի հսկա»:")</f>
        <v>Ո՞ր մոլորակն է հայտնի որպես «Արեգակնային համակարգի հսկա»:</v>
      </c>
      <c r="D9533" s="6" t="str">
        <f>IFERROR(__xludf.DUMMYFUNCTION("GOOGLETRANSLATE(B9533,""en"",""hy"")"),"Յուպիտեր.")</f>
        <v>Յուպիտեր.</v>
      </c>
    </row>
    <row r="9534">
      <c r="A9534" s="5" t="s">
        <v>7845</v>
      </c>
      <c r="B9534" s="5" t="s">
        <v>3533</v>
      </c>
      <c r="C9534" s="5" t="str">
        <f>IFERROR(__xludf.DUMMYFUNCTION("GOOGLETRANSLATE(A9534,""en"",""hy"")"),"Ո՞րն է Բրազիլիայի պաշտոնական լեզուն:")</f>
        <v>Ո՞րն է Բրազիլիայի պաշտոնական լեզուն:</v>
      </c>
      <c r="D9534" s="6" t="str">
        <f>IFERROR(__xludf.DUMMYFUNCTION("GOOGLETRANSLATE(B9534,""en"",""hy"")"),"Բրազիլիայի պաշտոնական լեզուն պորտուգալերենն է։")</f>
        <v>Բրազիլիայի պաշտոնական լեզուն պորտուգալերենն է։</v>
      </c>
    </row>
    <row r="9535">
      <c r="A9535" s="5" t="s">
        <v>8120</v>
      </c>
      <c r="B9535" s="5" t="s">
        <v>7675</v>
      </c>
      <c r="C9535" s="5" t="str">
        <f>IFERROR(__xludf.DUMMYFUNCTION("GOOGLETRANSLATE(A9535,""en"",""hy"")"),"Ո՞վ էր հունական ծովի աստվածը:")</f>
        <v>Ո՞վ էր հունական ծովի աստվածը:</v>
      </c>
      <c r="D9535" s="6" t="str">
        <f>IFERROR(__xludf.DUMMYFUNCTION("GOOGLETRANSLATE(B9535,""en"",""hy"")"),"Պոսեյդոն.")</f>
        <v>Պոսեյդոն.</v>
      </c>
    </row>
    <row r="9536">
      <c r="A9536" s="5" t="s">
        <v>7575</v>
      </c>
      <c r="B9536" s="5" t="s">
        <v>7576</v>
      </c>
      <c r="C9536" s="5" t="str">
        <f>IFERROR(__xludf.DUMMYFUNCTION("GOOGLETRANSLATE(A9536,""en"",""hy"")"),"Քանի՞ գույն կա ծիածանի մեջ:")</f>
        <v>Քանի՞ գույն կա ծիածանի մեջ:</v>
      </c>
      <c r="D9536" s="6" t="str">
        <f>IFERROR(__xludf.DUMMYFUNCTION("GOOGLETRANSLATE(B9536,""en"",""hy"")"),"Ծիածանի մեջ յոթ գույն կա:")</f>
        <v>Ծիածանի մեջ յոթ գույն կա:</v>
      </c>
    </row>
    <row r="9537">
      <c r="A9537" s="5" t="s">
        <v>7500</v>
      </c>
      <c r="B9537" s="5" t="s">
        <v>7501</v>
      </c>
      <c r="C9537" s="5" t="str">
        <f>IFERROR(__xludf.DUMMYFUNCTION("GOOGLETRANSLATE(A9537,""en"",""hy"")"),"Ո՞րն է Ֆրանսիայի մայրաքաղաքը:")</f>
        <v>Ո՞րն է Ֆրանսիայի մայրաքաղաքը:</v>
      </c>
      <c r="D9537" s="6" t="str">
        <f>IFERROR(__xludf.DUMMYFUNCTION("GOOGLETRANSLATE(B9537,""en"",""hy"")"),"Փարիզ.")</f>
        <v>Փարիզ.</v>
      </c>
    </row>
    <row r="9538">
      <c r="A9538" s="5" t="s">
        <v>7509</v>
      </c>
      <c r="B9538" s="5" t="s">
        <v>7510</v>
      </c>
      <c r="C9538" s="5" t="str">
        <f>IFERROR(__xludf.DUMMYFUNCTION("GOOGLETRANSLATE(A9538,""en"",""hy"")"),"Ո՞րն է արծաթի քիմիական նշանը:")</f>
        <v>Ո՞րն է արծաթի քիմիական նշանը:</v>
      </c>
      <c r="D9538" s="6" t="str">
        <f>IFERROR(__xludf.DUMMYFUNCTION("GOOGLETRANSLATE(B9538,""en"",""hy"")"),"Ագ")</f>
        <v>Ագ</v>
      </c>
    </row>
    <row r="9539">
      <c r="A9539" s="5" t="s">
        <v>10098</v>
      </c>
      <c r="B9539" s="5" t="s">
        <v>7448</v>
      </c>
      <c r="C9539" s="5" t="str">
        <f>IFERROR(__xludf.DUMMYFUNCTION("GOOGLETRANSLATE(A9539,""en"",""hy"")"),"Ո՞վ է նկարել «Վերջին ընթրիքը»:")</f>
        <v>Ո՞վ է նկարել «Վերջին ընթրիքը»:</v>
      </c>
      <c r="D9539" s="6" t="str">
        <f>IFERROR(__xludf.DUMMYFUNCTION("GOOGLETRANSLATE(B9539,""en"",""hy"")"),"Լեոնարդո դա Վինչի.")</f>
        <v>Լեոնարդո դա Վինչի.</v>
      </c>
    </row>
    <row r="9540">
      <c r="A9540" s="5" t="s">
        <v>10099</v>
      </c>
      <c r="B9540" s="5" t="s">
        <v>7512</v>
      </c>
      <c r="C9540" s="5" t="str">
        <f>IFERROR(__xludf.DUMMYFUNCTION("GOOGLETRANSLATE(A9540,""en"",""hy"")"),"Ո՞ր երկիրն է հայտնի Գիզայի Մեծ Սֆինքսի համար:")</f>
        <v>Ո՞ր երկիրն է հայտնի Գիզայի Մեծ Սֆինքսի համար:</v>
      </c>
      <c r="D9540" s="6" t="str">
        <f>IFERROR(__xludf.DUMMYFUNCTION("GOOGLETRANSLATE(B9540,""en"",""hy"")"),"Եգիպտոս.")</f>
        <v>Եգիպտոս.</v>
      </c>
    </row>
    <row r="9541">
      <c r="A9541" s="5" t="s">
        <v>8151</v>
      </c>
      <c r="B9541" s="5" t="s">
        <v>8251</v>
      </c>
      <c r="C9541" s="5" t="str">
        <f>IFERROR(__xludf.DUMMYFUNCTION("GOOGLETRANSLATE(A9541,""en"",""hy"")"),"Ո՞րն է Հնդկաստանի ազգային կենդանին:")</f>
        <v>Ո՞րն է Հնդկաստանի ազգային կենդանին:</v>
      </c>
      <c r="D9541" s="6" t="str">
        <f>IFERROR(__xludf.DUMMYFUNCTION("GOOGLETRANSLATE(B9541,""en"",""hy"")"),"Հնդկաստանի ազգային կենդանին բենգալյան վագրն է։")</f>
        <v>Հնդկաստանի ազգային կենդանին բենգալյան վագրն է։</v>
      </c>
    </row>
    <row r="9542">
      <c r="A9542" s="5" t="s">
        <v>7577</v>
      </c>
      <c r="B9542" s="5" t="s">
        <v>7578</v>
      </c>
      <c r="C9542" s="5" t="str">
        <f>IFERROR(__xludf.DUMMYFUNCTION("GOOGLETRANSLATE(A9542,""en"",""hy"")"),"Ո՞վ է գրել Մոբի-Դիկ վեպը:")</f>
        <v>Ո՞վ է գրել Մոբի-Դիկ վեպը:</v>
      </c>
      <c r="D9542" s="6" t="str">
        <f>IFERROR(__xludf.DUMMYFUNCTION("GOOGLETRANSLATE(B9542,""en"",""hy"")"),"Հերման Մելվիլ.")</f>
        <v>Հերման Մելվիլ.</v>
      </c>
    </row>
    <row r="9543">
      <c r="A9543" s="5" t="s">
        <v>9641</v>
      </c>
      <c r="B9543" s="5" t="s">
        <v>9121</v>
      </c>
      <c r="C9543" s="5" t="str">
        <f>IFERROR(__xludf.DUMMYFUNCTION("GOOGLETRANSLATE(A9543,""en"",""hy"")"),"Քանի՞ շերտ կա ամերիկյան դրոշի վրա:")</f>
        <v>Քանի՞ շերտ կա ամերիկյան դրոշի վրա:</v>
      </c>
      <c r="D9543" s="6" t="str">
        <f>IFERROR(__xludf.DUMMYFUNCTION("GOOGLETRANSLATE(B9543,""en"",""hy"")"),"Ամերիկյան դրոշի վրա կա 13 գծեր։")</f>
        <v>Ամերիկյան դրոշի վրա կա 13 գծեր։</v>
      </c>
    </row>
    <row r="9544">
      <c r="A9544" s="5" t="s">
        <v>7536</v>
      </c>
      <c r="B9544" s="5" t="s">
        <v>7870</v>
      </c>
      <c r="C9544" s="5" t="str">
        <f>IFERROR(__xludf.DUMMYFUNCTION("GOOGLETRANSLATE(A9544,""en"",""hy"")"),"Ո՞րն է Ռուսաստանի մայրաքաղաքը:")</f>
        <v>Ո՞րն է Ռուսաստանի մայրաքաղաքը:</v>
      </c>
      <c r="D9544" s="6" t="str">
        <f>IFERROR(__xludf.DUMMYFUNCTION("GOOGLETRANSLATE(B9544,""en"",""hy"")"),"Մոսկվա.")</f>
        <v>Մոսկվա.</v>
      </c>
    </row>
    <row r="9545">
      <c r="A9545" s="5" t="s">
        <v>10100</v>
      </c>
      <c r="B9545" s="5" t="s">
        <v>10101</v>
      </c>
      <c r="C9545" s="5" t="str">
        <f>IFERROR(__xludf.DUMMYFUNCTION("GOOGLETRANSLATE(A9545,""en"",""hy"")"),"Ո՞րն է նատրիումի քլորիդի քիմիական բանաձևը:")</f>
        <v>Ո՞րն է նատրիումի քլորիդի քիմիական բանաձևը:</v>
      </c>
      <c r="D9545" s="6" t="str">
        <f>IFERROR(__xludf.DUMMYFUNCTION("GOOGLETRANSLATE(B9545,""en"",""hy"")"),"Նատրիումի քլորիդի քիմիական բանաձևը NaCl է:")</f>
        <v>Նատրիումի քլորիդի քիմիական բանաձևը NaCl է:</v>
      </c>
    </row>
    <row r="9546">
      <c r="A9546" s="5" t="s">
        <v>9478</v>
      </c>
      <c r="B9546" s="5" t="s">
        <v>7906</v>
      </c>
      <c r="C9546" s="5" t="str">
        <f>IFERROR(__xludf.DUMMYFUNCTION("GOOGLETRANSLATE(A9546,""en"",""hy"")"),"Ո՞վ է Նարնիայի քրոնիկները շարքի հեղինակը:")</f>
        <v>Ո՞վ է Նարնիայի քրոնիկները շարքի հեղինակը:</v>
      </c>
      <c r="D9546" s="6" t="str">
        <f>IFERROR(__xludf.DUMMYFUNCTION("GOOGLETRANSLATE(B9546,""en"",""hy"")"),"C.S. Լյուիս.")</f>
        <v>C.S. Լյուիս.</v>
      </c>
    </row>
    <row r="9547">
      <c r="A9547" s="5" t="s">
        <v>7805</v>
      </c>
      <c r="B9547" s="5" t="s">
        <v>7806</v>
      </c>
      <c r="C9547" s="5" t="str">
        <f>IFERROR(__xludf.DUMMYFUNCTION("GOOGLETRANSLATE(A9547,""en"",""hy"")"),"Ո՞ր մոլորակն է հայտնի որպես «Կապույտ մոլորակ»:")</f>
        <v>Ո՞ր մոլորակն է հայտնի որպես «Կապույտ մոլորակ»:</v>
      </c>
      <c r="D9547" s="6" t="str">
        <f>IFERROR(__xludf.DUMMYFUNCTION("GOOGLETRANSLATE(B9547,""en"",""hy"")"),"Երկիր.")</f>
        <v>Երկիր.</v>
      </c>
    </row>
    <row r="9548">
      <c r="A9548" s="5" t="s">
        <v>8025</v>
      </c>
      <c r="B9548" s="5" t="s">
        <v>8026</v>
      </c>
      <c r="C9548" s="5" t="str">
        <f>IFERROR(__xludf.DUMMYFUNCTION("GOOGLETRANSLATE(A9548,""en"",""hy"")"),"Ո՞րն է Չինաստանի պաշտոնական լեզուն:")</f>
        <v>Ո՞րն է Չինաստանի պաշտոնական լեզուն:</v>
      </c>
      <c r="D9548" s="6" t="str">
        <f>IFERROR(__xludf.DUMMYFUNCTION("GOOGLETRANSLATE(B9548,""en"",""hy"")"),"Չինաստանի պաշտոնական լեզուն մանդարին չինարենն է։")</f>
        <v>Չինաստանի պաշտոնական լեզուն մանդարին չինարենն է։</v>
      </c>
    </row>
    <row r="9549">
      <c r="A9549" s="5" t="s">
        <v>10102</v>
      </c>
      <c r="B9549" s="5" t="s">
        <v>10103</v>
      </c>
      <c r="C9549" s="5" t="str">
        <f>IFERROR(__xludf.DUMMYFUNCTION("GOOGLETRANSLATE(A9549,""en"",""hy"")"),"Ո՞վ էր հին հռոմեական պատերազմի աստվածը:")</f>
        <v>Ո՞վ էր հին հռոմեական պատերազմի աստվածը:</v>
      </c>
      <c r="D9549" s="6" t="str">
        <f>IFERROR(__xludf.DUMMYFUNCTION("GOOGLETRANSLATE(B9549,""en"",""hy"")"),"Հին հռոմեական պատերազմի աստվածը Մարսն էր:")</f>
        <v>Հին հռոմեական պատերազմի աստվածը Մարսն էր:</v>
      </c>
    </row>
    <row r="9550">
      <c r="A9550" s="5" t="s">
        <v>10104</v>
      </c>
      <c r="B9550" s="5" t="s">
        <v>10105</v>
      </c>
      <c r="C9550" s="5" t="str">
        <f>IFERROR(__xludf.DUMMYFUNCTION("GOOGLETRANSLATE(A9550,""en"",""hy"")"),"Քանի՞ ոսկոր կա մեծահասակ մարդու գանգում:")</f>
        <v>Քանի՞ ոսկոր կա մեծահասակ մարդու գանգում:</v>
      </c>
      <c r="D9550" s="6" t="str">
        <f>IFERROR(__xludf.DUMMYFUNCTION("GOOGLETRANSLATE(B9550,""en"",""hy"")"),"Հասուն մարդու գանգում կա 22 ոսկոր։")</f>
        <v>Հասուն մարդու գանգում կա 22 ոսկոր։</v>
      </c>
    </row>
    <row r="9551">
      <c r="A9551" s="5" t="s">
        <v>7526</v>
      </c>
      <c r="B9551" s="5" t="s">
        <v>7527</v>
      </c>
      <c r="C9551" s="5" t="str">
        <f>IFERROR(__xludf.DUMMYFUNCTION("GOOGLETRANSLATE(A9551,""en"",""hy"")"),"Ո՞րն է աշխարհի ամենամեծ կղզին:")</f>
        <v>Ո՞րն է աշխարհի ամենամեծ կղզին:</v>
      </c>
      <c r="D9551" s="6" t="str">
        <f>IFERROR(__xludf.DUMMYFUNCTION("GOOGLETRANSLATE(B9551,""en"",""hy"")"),"Գրենլանդիա.")</f>
        <v>Գրենլանդիա.</v>
      </c>
    </row>
    <row r="9552">
      <c r="A9552" s="5" t="s">
        <v>10106</v>
      </c>
      <c r="B9552" s="5" t="s">
        <v>7549</v>
      </c>
      <c r="C9552" s="5" t="str">
        <f>IFERROR(__xludf.DUMMYFUNCTION("GOOGLETRANSLATE(A9552,""en"",""hy"")"),"Ո՞վ է նկարել «Մարգարտյա ականջօղով աղջիկը» նկարը:")</f>
        <v>Ո՞վ է նկարել «Մարգարտյա ականջօղով աղջիկը» նկարը:</v>
      </c>
      <c r="D9552" s="6" t="str">
        <f>IFERROR(__xludf.DUMMYFUNCTION("GOOGLETRANSLATE(B9552,""en"",""hy"")"),"Յոհաննես Վերմեեր.")</f>
        <v>Յոհաննես Վերմեեր.</v>
      </c>
    </row>
    <row r="9553">
      <c r="A9553" s="5" t="s">
        <v>7589</v>
      </c>
      <c r="B9553" s="5" t="s">
        <v>7545</v>
      </c>
      <c r="C9553" s="5" t="str">
        <f>IFERROR(__xludf.DUMMYFUNCTION("GOOGLETRANSLATE(A9553,""en"",""hy"")"),"Ո՞րն է Իտալիայի մայրաքաղաքը:")</f>
        <v>Ո՞րն է Իտալիայի մայրաքաղաքը:</v>
      </c>
      <c r="D9553" s="6" t="str">
        <f>IFERROR(__xludf.DUMMYFUNCTION("GOOGLETRANSLATE(B9553,""en"",""hy"")"),"Հռոմ.")</f>
        <v>Հռոմ.</v>
      </c>
    </row>
    <row r="9554">
      <c r="A9554" s="5" t="s">
        <v>8796</v>
      </c>
      <c r="B9554" s="5" t="s">
        <v>7558</v>
      </c>
      <c r="C9554" s="5" t="str">
        <f>IFERROR(__xludf.DUMMYFUNCTION("GOOGLETRANSLATE(A9554,""en"",""hy"")"),"Ո՞րն է երկաթի քիմիական նշանը պարբերական աղյուսակում:")</f>
        <v>Ո՞րն է երկաթի քիմիական նշանը պարբերական աղյուսակում:</v>
      </c>
      <c r="D9554" s="6" t="str">
        <f>IFERROR(__xludf.DUMMYFUNCTION("GOOGLETRANSLATE(B9554,""en"",""hy"")"),"Ֆե")</f>
        <v>Ֆե</v>
      </c>
    </row>
    <row r="9555">
      <c r="A9555" s="5" t="s">
        <v>7559</v>
      </c>
      <c r="B9555" s="5" t="s">
        <v>7560</v>
      </c>
      <c r="C9555" s="5" t="str">
        <f>IFERROR(__xludf.DUMMYFUNCTION("GOOGLETRANSLATE(A9555,""en"",""hy"")"),"Ո՞վ է գրել «The Catcher in the Rye» վեպը:")</f>
        <v>Ո՞վ է գրել «The Catcher in the Rye» վեպը:</v>
      </c>
      <c r="D9555" s="6" t="str">
        <f>IFERROR(__xludf.DUMMYFUNCTION("GOOGLETRANSLATE(B9555,""en"",""hy"")"),"Ջ.Դ.Սելինջեր.")</f>
        <v>Ջ.Դ.Սելինջեր.</v>
      </c>
    </row>
    <row r="9556">
      <c r="A9556" s="5" t="s">
        <v>8039</v>
      </c>
      <c r="B9556" s="5" t="s">
        <v>7921</v>
      </c>
      <c r="C9556" s="5" t="str">
        <f>IFERROR(__xludf.DUMMYFUNCTION("GOOGLETRANSLATE(A9556,""en"",""hy"")"),"Ո՞ր երկիրն է հայտնի Թաջ Մահալով:")</f>
        <v>Ո՞ր երկիրն է հայտնի Թաջ Մահալով:</v>
      </c>
      <c r="D9556" s="6" t="str">
        <f>IFERROR(__xludf.DUMMYFUNCTION("GOOGLETRANSLATE(B9556,""en"",""hy"")"),"Հնդկաստան.")</f>
        <v>Հնդկաստան.</v>
      </c>
    </row>
    <row r="9557">
      <c r="A9557" s="5" t="s">
        <v>8290</v>
      </c>
      <c r="B9557" s="5" t="s">
        <v>8291</v>
      </c>
      <c r="C9557" s="5" t="str">
        <f>IFERROR(__xludf.DUMMYFUNCTION("GOOGLETRANSLATE(A9557,""en"",""hy"")"),"Ո՞րն է Հարավային Աֆրիկայի ազգային կենդանին:")</f>
        <v>Ո՞րն է Հարավային Աֆրիկայի ազգային կենդանին:</v>
      </c>
      <c r="D9557" s="6" t="str">
        <f>IFERROR(__xludf.DUMMYFUNCTION("GOOGLETRANSLATE(B9557,""en"",""hy"")"),"Հարավային Աֆրիկայի ազգային կենդանին սփրինգբոկն է։")</f>
        <v>Հարավային Աֆրիկայի ազգային կենդանին սփրինգբոկն է։</v>
      </c>
    </row>
    <row r="9558">
      <c r="A9558" s="5" t="s">
        <v>10107</v>
      </c>
      <c r="B9558" s="5" t="s">
        <v>10108</v>
      </c>
      <c r="C9558" s="5" t="str">
        <f>IFERROR(__xludf.DUMMYFUNCTION("GOOGLETRANSLATE(A9558,""en"",""hy"")"),"Ո՞վ էր հին եգիպտական ​​արևի աստվածը:")</f>
        <v>Ո՞վ էր հին եգիպտական ​​արևի աստվածը:</v>
      </c>
      <c r="D9558" s="6" t="str">
        <f>IFERROR(__xludf.DUMMYFUNCTION("GOOGLETRANSLATE(B9558,""en"",""hy"")"),"Հին եգիպտական ​​արևի աստվածը Ռա էր։")</f>
        <v>Հին եգիպտական ​​արևի աստվածը Ռա էր։</v>
      </c>
    </row>
    <row r="9559">
      <c r="A9559" s="5" t="s">
        <v>8129</v>
      </c>
      <c r="B9559" s="5" t="s">
        <v>8130</v>
      </c>
      <c r="C9559" s="5" t="str">
        <f>IFERROR(__xludf.DUMMYFUNCTION("GOOGLETRANSLATE(A9559,""en"",""hy"")"),"Քանի՞ ժամային գոտի կա աշխարհում:")</f>
        <v>Քանի՞ ժամային գոտի կա աշխարհում:</v>
      </c>
      <c r="D9559" s="6" t="str">
        <f>IFERROR(__xludf.DUMMYFUNCTION("GOOGLETRANSLATE(B9559,""en"",""hy"")"),"Աշխարհում կա 24 ժամային գոտի:")</f>
        <v>Աշխարհում կա 24 ժամային գոտի:</v>
      </c>
    </row>
    <row r="9560">
      <c r="A9560" s="5" t="s">
        <v>7626</v>
      </c>
      <c r="B9560" s="5" t="s">
        <v>8066</v>
      </c>
      <c r="C9560" s="5" t="str">
        <f>IFERROR(__xludf.DUMMYFUNCTION("GOOGLETRANSLATE(A9560,""en"",""hy"")"),"Ո՞րն է Գերմանիայի մայրաքաղաքը:")</f>
        <v>Ո՞րն է Գերմանիայի մայրաքաղաքը:</v>
      </c>
      <c r="D9560" s="6" t="str">
        <f>IFERROR(__xludf.DUMMYFUNCTION("GOOGLETRANSLATE(B9560,""en"",""hy"")"),"Բեռլին.")</f>
        <v>Բեռլին.</v>
      </c>
    </row>
    <row r="9561">
      <c r="A9561" s="5" t="s">
        <v>7570</v>
      </c>
      <c r="B9561" s="5" t="s">
        <v>7571</v>
      </c>
      <c r="C9561" s="5" t="str">
        <f>IFERROR(__xludf.DUMMYFUNCTION("GOOGLETRANSLATE(A9561,""en"",""hy"")"),"Ո՞րն է գլյուկոզայի քիմիական բանաձևը:")</f>
        <v>Ո՞րն է գլյուկոզայի քիմիական բանաձևը:</v>
      </c>
      <c r="D9561" s="6" t="str">
        <f>IFERROR(__xludf.DUMMYFUNCTION("GOOGLETRANSLATE(B9561,""en"",""hy"")"),"Գլյուկոզայի քիմիական բանաձևը C6H12O6 է:")</f>
        <v>Գլյուկոզայի քիմիական բանաձևը C6H12O6 է:</v>
      </c>
    </row>
    <row r="9562">
      <c r="A9562" s="5" t="s">
        <v>10109</v>
      </c>
      <c r="B9562" s="5" t="s">
        <v>7661</v>
      </c>
      <c r="C9562" s="5" t="str">
        <f>IFERROR(__xludf.DUMMYFUNCTION("GOOGLETRANSLATE(A9562,""en"",""hy"")"),"Ո՞վ է «Մեծն Գեթսբի» գրքի հեղինակը:")</f>
        <v>Ո՞վ է «Մեծն Գեթսբի» գրքի հեղինակը:</v>
      </c>
      <c r="D9562" s="6" t="str">
        <f>IFERROR(__xludf.DUMMYFUNCTION("GOOGLETRANSLATE(B9562,""en"",""hy"")"),"F. Scott Fitzgerald.")</f>
        <v>F. Scott Fitzgerald.</v>
      </c>
    </row>
    <row r="9563">
      <c r="A9563" s="5" t="s">
        <v>9766</v>
      </c>
      <c r="B9563" s="5" t="s">
        <v>8740</v>
      </c>
      <c r="C9563" s="5" t="str">
        <f>IFERROR(__xludf.DUMMYFUNCTION("GOOGLETRANSLATE(A9563,""en"",""hy"")"),"Ո՞ր մոլորակն է հայտնի որպես «Առավոտյան աստղ» կամ «Երեկոյան աստղ»:")</f>
        <v>Ո՞ր մոլորակն է հայտնի որպես «Առավոտյան աստղ» կամ «Երեկոյան աստղ»:</v>
      </c>
      <c r="D9563" s="6" t="str">
        <f>IFERROR(__xludf.DUMMYFUNCTION("GOOGLETRANSLATE(B9563,""en"",""hy"")"),"Վեներա.")</f>
        <v>Վեներա.</v>
      </c>
    </row>
    <row r="9564">
      <c r="A9564" s="5" t="s">
        <v>8144</v>
      </c>
      <c r="B9564" s="5" t="s">
        <v>8145</v>
      </c>
      <c r="C9564" s="5" t="str">
        <f>IFERROR(__xludf.DUMMYFUNCTION("GOOGLETRANSLATE(A9564,""en"",""hy"")"),"Ո՞րն է Իսպանիայի պաշտոնական լեզուն:")</f>
        <v>Ո՞րն է Իսպանիայի պաշտոնական լեզուն:</v>
      </c>
      <c r="D9564" s="6" t="str">
        <f>IFERROR(__xludf.DUMMYFUNCTION("GOOGLETRANSLATE(B9564,""en"",""hy"")"),"Իսպանիայի պաշտոնական լեզուն իսպաներենն է։")</f>
        <v>Իսպանիայի պաշտոնական լեզուն իսպաներենն է։</v>
      </c>
    </row>
    <row r="9565">
      <c r="A9565" s="5" t="s">
        <v>9600</v>
      </c>
      <c r="B9565" s="5" t="s">
        <v>10110</v>
      </c>
      <c r="C9565" s="5" t="str">
        <f>IFERROR(__xludf.DUMMYFUNCTION("GOOGLETRANSLATE(A9565,""en"",""hy"")"),"Ո՞վ էր սկանդինավյան ամպրոպի աստվածը:")</f>
        <v>Ո՞վ էր սկանդինավյան ամպրոպի աստվածը:</v>
      </c>
      <c r="D9565" s="6" t="str">
        <f>IFERROR(__xludf.DUMMYFUNCTION("GOOGLETRANSLATE(B9565,""en"",""hy"")"),"Թոր")</f>
        <v>Թոր</v>
      </c>
    </row>
    <row r="9566">
      <c r="A9566" s="5" t="s">
        <v>8408</v>
      </c>
      <c r="B9566" s="5" t="s">
        <v>10111</v>
      </c>
      <c r="C9566" s="5" t="str">
        <f>IFERROR(__xludf.DUMMYFUNCTION("GOOGLETRANSLATE(A9566,""en"",""hy"")"),"Քանի՞ ոտք ունի սարդը:")</f>
        <v>Քանի՞ ոտք ունի սարդը:</v>
      </c>
      <c r="D9566" s="6" t="str">
        <f>IFERROR(__xludf.DUMMYFUNCTION("GOOGLETRANSLATE(B9566,""en"",""hy"")"),"Սարդը սովորաբար ունի ութ ոտք:")</f>
        <v>Սարդը սովորաբար ունի ութ ոտք:</v>
      </c>
    </row>
    <row r="9567">
      <c r="A9567" s="5" t="s">
        <v>7983</v>
      </c>
      <c r="B9567" s="5" t="s">
        <v>7725</v>
      </c>
      <c r="C9567" s="5" t="str">
        <f>IFERROR(__xludf.DUMMYFUNCTION("GOOGLETRANSLATE(A9567,""en"",""hy"")"),"Ո՞րն է աշխարհի ամենամեծ անձրևային անտառը:")</f>
        <v>Ո՞րն է աշխարհի ամենամեծ անձրևային անտառը:</v>
      </c>
      <c r="D9567" s="6" t="str">
        <f>IFERROR(__xludf.DUMMYFUNCTION("GOOGLETRANSLATE(B9567,""en"",""hy"")"),"Ամազոնի անձրևային անտառ.")</f>
        <v>Ամազոնի անձրևային անտառ.</v>
      </c>
    </row>
    <row r="9568">
      <c r="A9568" s="5" t="s">
        <v>8083</v>
      </c>
      <c r="B9568" s="5" t="s">
        <v>7648</v>
      </c>
      <c r="C9568" s="5" t="str">
        <f>IFERROR(__xludf.DUMMYFUNCTION("GOOGLETRANSLATE(A9568,""en"",""hy"")"),"Ո՞վ է նկարել «Աստղային գիշեր» նկարը:")</f>
        <v>Ո՞վ է նկարել «Աստղային գիշեր» նկարը:</v>
      </c>
      <c r="D9568" s="6" t="str">
        <f>IFERROR(__xludf.DUMMYFUNCTION("GOOGLETRANSLATE(B9568,""en"",""hy"")"),"Վինսենթ վան Գոգ.")</f>
        <v>Վինսենթ վան Գոգ.</v>
      </c>
    </row>
    <row r="9569">
      <c r="A9569" s="5" t="s">
        <v>7795</v>
      </c>
      <c r="B9569" s="5" t="s">
        <v>9898</v>
      </c>
      <c r="C9569" s="5" t="str">
        <f>IFERROR(__xludf.DUMMYFUNCTION("GOOGLETRANSLATE(A9569,""en"",""hy"")"),"Ո՞րն է Եգիպտոսի մայրաքաղաքը:")</f>
        <v>Ո՞րն է Եգիպտոսի մայրաքաղաքը:</v>
      </c>
      <c r="D9569" s="6" t="str">
        <f>IFERROR(__xludf.DUMMYFUNCTION("GOOGLETRANSLATE(B9569,""en"",""hy"")"),"Կահիրե")</f>
        <v>Կահիրե</v>
      </c>
    </row>
    <row r="9570">
      <c r="A9570" s="5" t="s">
        <v>9196</v>
      </c>
      <c r="B9570" s="5" t="s">
        <v>9828</v>
      </c>
      <c r="C9570" s="5" t="str">
        <f>IFERROR(__xludf.DUMMYFUNCTION("GOOGLETRANSLATE(A9570,""en"",""hy"")"),"Ո՞րն է ազոտի քիմիական նշանը պարբերական աղյուսակում:")</f>
        <v>Ո՞րն է ազոտի քիմիական նշանը պարբերական աղյուսակում:</v>
      </c>
      <c r="D9570" s="6" t="str">
        <f>IFERROR(__xludf.DUMMYFUNCTION("GOOGLETRANSLATE(B9570,""en"",""hy"")"),"Ն")</f>
        <v>Ն</v>
      </c>
    </row>
    <row r="9571">
      <c r="A9571" s="5" t="s">
        <v>7521</v>
      </c>
      <c r="B9571" s="5" t="s">
        <v>8107</v>
      </c>
      <c r="C9571" s="5" t="str">
        <f>IFERROR(__xludf.DUMMYFUNCTION("GOOGLETRANSLATE(A9571,""en"",""hy"")"),"Ո՞վ է գրել Համլետ պիեսը:")</f>
        <v>Ո՞վ է գրել Համլետ պիեսը:</v>
      </c>
      <c r="D9571" s="6" t="str">
        <f>IFERROR(__xludf.DUMMYFUNCTION("GOOGLETRANSLATE(B9571,""en"",""hy"")"),"Ուիլյամ Շեքսպիր")</f>
        <v>Ուիլյամ Շեքսպիր</v>
      </c>
    </row>
    <row r="9572">
      <c r="A9572" s="5" t="s">
        <v>7823</v>
      </c>
      <c r="B9572" s="5" t="s">
        <v>7824</v>
      </c>
      <c r="C9572" s="5" t="str">
        <f>IFERROR(__xludf.DUMMYFUNCTION("GOOGLETRANSLATE(A9572,""en"",""hy"")"),"Ո՞ր երկիրն է հայտնի որպես «կրակի և սառույցի երկիր»:")</f>
        <v>Ո՞ր երկիրն է հայտնի որպես «կրակի և սառույցի երկիր»:</v>
      </c>
      <c r="D9572" s="6" t="str">
        <f>IFERROR(__xludf.DUMMYFUNCTION("GOOGLETRANSLATE(B9572,""en"",""hy"")"),"Իսլանդիա.")</f>
        <v>Իսլանդիա.</v>
      </c>
    </row>
    <row r="9573">
      <c r="A9573" s="5" t="s">
        <v>8198</v>
      </c>
      <c r="B9573" s="5" t="s">
        <v>8199</v>
      </c>
      <c r="C9573" s="5" t="str">
        <f>IFERROR(__xludf.DUMMYFUNCTION("GOOGLETRANSLATE(A9573,""en"",""hy"")"),"Ո՞րն է Չինաստանի ազգային կենդանին:")</f>
        <v>Ո՞րն է Չինաստանի ազգային կենդանին:</v>
      </c>
      <c r="D9573" s="6" t="str">
        <f>IFERROR(__xludf.DUMMYFUNCTION("GOOGLETRANSLATE(B9573,""en"",""hy"")"),"Չինաստանի ազգային կենդանին հսկա պանդան է։")</f>
        <v>Չինաստանի ազգային կենդանին հսկա պանդան է։</v>
      </c>
    </row>
    <row r="9574">
      <c r="A9574" s="5" t="s">
        <v>10112</v>
      </c>
      <c r="B9574" s="5" t="s">
        <v>8309</v>
      </c>
      <c r="C9574" s="5" t="str">
        <f>IFERROR(__xludf.DUMMYFUNCTION("GOOGLETRANSLATE(A9574,""en"",""hy"")"),"Ո՞վ էր հին հունական իմաստության աստվածուհին:")</f>
        <v>Ո՞վ էր հին հունական իմաստության աստվածուհին:</v>
      </c>
      <c r="D9574" s="6" t="str">
        <f>IFERROR(__xludf.DUMMYFUNCTION("GOOGLETRANSLATE(B9574,""en"",""hy"")"),"Աթենա.")</f>
        <v>Աթենա.</v>
      </c>
    </row>
    <row r="9575">
      <c r="A9575" s="5" t="s">
        <v>8446</v>
      </c>
      <c r="B9575" s="5" t="s">
        <v>8447</v>
      </c>
      <c r="C9575" s="5" t="str">
        <f>IFERROR(__xludf.DUMMYFUNCTION("GOOGLETRANSLATE(A9575,""en"",""hy"")"),"Քանի՞ լար է սովորաբար ունենում ջութակը:")</f>
        <v>Քանի՞ լար է սովորաբար ունենում ջութակը:</v>
      </c>
      <c r="D9575" s="6" t="str">
        <f>IFERROR(__xludf.DUMMYFUNCTION("GOOGLETRANSLATE(B9575,""en"",""hy"")"),"Ջութակը սովորաբար ունի չորս լար:")</f>
        <v>Ջութակը սովորաբար ունի չորս լար:</v>
      </c>
    </row>
    <row r="9576">
      <c r="A9576" s="5" t="s">
        <v>10113</v>
      </c>
      <c r="B9576" s="5" t="s">
        <v>10114</v>
      </c>
      <c r="C9576" s="5" t="str">
        <f>IFERROR(__xludf.DUMMYFUNCTION("GOOGLETRANSLATE(A9576,""en"",""hy"")"),"Ո՞րն է աշխարհի ամենամեծ լեռնաշղթան:")</f>
        <v>Ո՞րն է աշխարհի ամենամեծ լեռնաշղթան:</v>
      </c>
      <c r="D9576" s="6" t="str">
        <f>IFERROR(__xludf.DUMMYFUNCTION("GOOGLETRANSLATE(B9576,""en"",""hy"")"),"Աշխարհի ամենամեծ լեռնաշղթան Անդերն են։")</f>
        <v>Աշխարհի ամենամեծ լեռնաշղթան Անդերն են։</v>
      </c>
    </row>
    <row r="9577">
      <c r="A9577" s="5" t="s">
        <v>8095</v>
      </c>
      <c r="B9577" s="5" t="s">
        <v>7621</v>
      </c>
      <c r="C9577" s="5" t="str">
        <f>IFERROR(__xludf.DUMMYFUNCTION("GOOGLETRANSLATE(A9577,""en"",""hy"")"),"Ո՞վ է նկարել «Վեներայի ծնունդը» նկարը:")</f>
        <v>Ո՞վ է նկարել «Վեներայի ծնունդը» նկարը:</v>
      </c>
      <c r="D9577" s="6" t="str">
        <f>IFERROR(__xludf.DUMMYFUNCTION("GOOGLETRANSLATE(B9577,""en"",""hy"")"),"Սանդրո Բոտիչելի.")</f>
        <v>Սանդրո Բոտիչելի.</v>
      </c>
    </row>
    <row r="9578">
      <c r="A9578" s="5" t="s">
        <v>7839</v>
      </c>
      <c r="B9578" s="5" t="s">
        <v>10115</v>
      </c>
      <c r="C9578" s="5" t="str">
        <f>IFERROR(__xludf.DUMMYFUNCTION("GOOGLETRANSLATE(A9578,""en"",""hy"")"),"Ո՞րն է Ճապոնիայի մայրաքաղաքը:")</f>
        <v>Ո՞րն է Ճապոնիայի մայրաքաղաքը:</v>
      </c>
      <c r="D9578" s="6" t="str">
        <f>IFERROR(__xludf.DUMMYFUNCTION("GOOGLETRANSLATE(B9578,""en"",""hy"")"),"Ճապոնիայի մայրաքաղաքը Տոկիոն է։")</f>
        <v>Ճապոնիայի մայրաքաղաքը Տոկիոն է։</v>
      </c>
    </row>
    <row r="9579">
      <c r="A9579" s="5" t="s">
        <v>7864</v>
      </c>
      <c r="B9579" s="5" t="s">
        <v>7865</v>
      </c>
      <c r="C9579" s="5" t="str">
        <f>IFERROR(__xludf.DUMMYFUNCTION("GOOGLETRANSLATE(A9579,""en"",""hy"")"),"Ո՞րն է ծծմբաթթվի քիմիական բանաձևը:")</f>
        <v>Ո՞րն է ծծմբաթթվի քիմիական բանաձևը:</v>
      </c>
      <c r="D9579" s="6" t="str">
        <f>IFERROR(__xludf.DUMMYFUNCTION("GOOGLETRANSLATE(B9579,""en"",""hy"")"),"Ծծմբաթթվի քիմիական բանաձևը H2SO4 է:")</f>
        <v>Ծծմբաթթվի քիմիական բանաձևը H2SO4 է:</v>
      </c>
    </row>
    <row r="9580">
      <c r="A9580" s="5" t="s">
        <v>10116</v>
      </c>
      <c r="B9580" s="5" t="s">
        <v>7444</v>
      </c>
      <c r="C9580" s="5" t="str">
        <f>IFERROR(__xludf.DUMMYFUNCTION("GOOGLETRANSLATE(A9580,""en"",""hy"")"),"Ո՞վ է 1984 գրքի հեղինակը։")</f>
        <v>Ո՞վ է 1984 գրքի հեղինակը։</v>
      </c>
      <c r="D9580" s="6" t="str">
        <f>IFERROR(__xludf.DUMMYFUNCTION("GOOGLETRANSLATE(B9580,""en"",""hy"")"),"Ջորջ Օրուել.")</f>
        <v>Ջորջ Օրուել.</v>
      </c>
    </row>
    <row r="9581">
      <c r="A9581" s="5" t="s">
        <v>7780</v>
      </c>
      <c r="B9581" s="5" t="s">
        <v>2951</v>
      </c>
      <c r="C9581" s="5" t="str">
        <f>IFERROR(__xludf.DUMMYFUNCTION("GOOGLETRANSLATE(A9581,""en"",""hy"")"),"Ո՞րն է Կանադայի մայրաքաղաքը:")</f>
        <v>Ո՞րն է Կանադայի մայրաքաղաքը:</v>
      </c>
      <c r="D9581" s="6" t="str">
        <f>IFERROR(__xludf.DUMMYFUNCTION("GOOGLETRANSLATE(B9581,""en"",""hy"")"),"Օտտավա.")</f>
        <v>Օտտավա.</v>
      </c>
    </row>
    <row r="9582">
      <c r="A9582" s="5" t="s">
        <v>7779</v>
      </c>
      <c r="B9582" s="5" t="s">
        <v>7446</v>
      </c>
      <c r="C9582" s="5" t="str">
        <f>IFERROR(__xludf.DUMMYFUNCTION("GOOGLETRANSLATE(A9582,""en"",""hy"")"),"Ո՞ր մոլորակն է հայտնի որպես «Կարմիր մոլորակ»:")</f>
        <v>Ո՞ր մոլորակն է հայտնի որպես «Կարմիր մոլորակ»:</v>
      </c>
      <c r="D9582" s="6" t="str">
        <f>IFERROR(__xludf.DUMMYFUNCTION("GOOGLETRANSLATE(B9582,""en"",""hy"")"),"Մարս.")</f>
        <v>Մարս.</v>
      </c>
    </row>
    <row r="9583">
      <c r="A9583" s="5" t="s">
        <v>7447</v>
      </c>
      <c r="B9583" s="5" t="s">
        <v>7448</v>
      </c>
      <c r="C9583" s="5" t="str">
        <f>IFERROR(__xludf.DUMMYFUNCTION("GOOGLETRANSLATE(A9583,""en"",""hy"")"),"Ո՞վ է նկարել Մոնա Լիզան:")</f>
        <v>Ո՞վ է նկարել Մոնա Լիզան:</v>
      </c>
      <c r="D9583" s="6" t="str">
        <f>IFERROR(__xludf.DUMMYFUNCTION("GOOGLETRANSLATE(B9583,""en"",""hy"")"),"Լեոնարդո դա Վինչի.")</f>
        <v>Լեոնարդո դա Վինչի.</v>
      </c>
    </row>
    <row r="9584">
      <c r="A9584" s="5" t="s">
        <v>7455</v>
      </c>
      <c r="B9584" s="5" t="s">
        <v>7646</v>
      </c>
      <c r="C9584" s="5" t="str">
        <f>IFERROR(__xludf.DUMMYFUNCTION("GOOGLETRANSLATE(A9584,""en"",""hy"")"),"Ո՞րն է աշխարհի ամենամեծ օվկիանոսը:")</f>
        <v>Ո՞րն է աշխարհի ամենամեծ օվկիանոսը:</v>
      </c>
      <c r="D9584" s="6" t="str">
        <f>IFERROR(__xludf.DUMMYFUNCTION("GOOGLETRANSLATE(B9584,""en"",""hy"")"),"Խաղաղ օվկիանոս.")</f>
        <v>Խաղաղ օվկիանոս.</v>
      </c>
    </row>
    <row r="9585">
      <c r="A9585" s="5" t="s">
        <v>8108</v>
      </c>
      <c r="B9585" s="5" t="s">
        <v>7556</v>
      </c>
      <c r="C9585" s="5" t="str">
        <f>IFERROR(__xludf.DUMMYFUNCTION("GOOGLETRANSLATE(A9585,""en"",""hy"")"),"Ո՞ր հայտնի գիտնականն է մշակել հարաբերականության տեսությունը:")</f>
        <v>Ո՞ր հայտնի գիտնականն է մշակել հարաբերականության տեսությունը:</v>
      </c>
      <c r="D9585" s="6" t="str">
        <f>IFERROR(__xludf.DUMMYFUNCTION("GOOGLETRANSLATE(B9585,""en"",""hy"")"),"Albert Einstein.")</f>
        <v>Albert Einstein.</v>
      </c>
    </row>
    <row r="9586">
      <c r="A9586" s="5" t="s">
        <v>7463</v>
      </c>
      <c r="B9586" s="5" t="s">
        <v>7464</v>
      </c>
      <c r="C9586" s="5" t="str">
        <f>IFERROR(__xludf.DUMMYFUNCTION("GOOGLETRANSLATE(A9586,""en"",""hy"")"),"Ո՞րն է աշխարհի ամենաբարձր լեռը:")</f>
        <v>Ո՞րն է աշխարհի ամենաբարձր լեռը:</v>
      </c>
      <c r="D9586" s="6" t="str">
        <f>IFERROR(__xludf.DUMMYFUNCTION("GOOGLETRANSLATE(B9586,""en"",""hy"")"),"Էվերեստ լեռ.")</f>
        <v>Էվերեստ լեռ.</v>
      </c>
    </row>
    <row r="9587">
      <c r="A9587" s="5" t="s">
        <v>7698</v>
      </c>
      <c r="B9587" s="5" t="s">
        <v>7630</v>
      </c>
      <c r="C9587" s="5" t="str">
        <f>IFERROR(__xludf.DUMMYFUNCTION("GOOGLETRANSLATE(A9587,""en"",""hy"")"),"Ո՞վ է գրել «Հպարտություն և նախապաշարմունք» վեպը:")</f>
        <v>Ո՞վ է գրել «Հպարտություն և նախապաշարմունք» վեպը:</v>
      </c>
      <c r="D9587" s="6" t="str">
        <f>IFERROR(__xludf.DUMMYFUNCTION("GOOGLETRANSLATE(B9587,""en"",""hy"")"),"Ջեյն Օսթին.")</f>
        <v>Ջեյն Օսթին.</v>
      </c>
    </row>
    <row r="9588">
      <c r="A9588" s="5" t="s">
        <v>7452</v>
      </c>
      <c r="B9588" s="5" t="s">
        <v>7631</v>
      </c>
      <c r="C9588" s="5" t="str">
        <f>IFERROR(__xludf.DUMMYFUNCTION("GOOGLETRANSLATE(A9588,""en"",""hy"")"),"Ո՞րն է ոսկու քիմիական նշանը:")</f>
        <v>Ո՞րն է ոսկու քիմիական նշանը:</v>
      </c>
      <c r="D9588" s="6" t="str">
        <f>IFERROR(__xludf.DUMMYFUNCTION("GOOGLETRANSLATE(B9588,""en"",""hy"")"),"Ավ")</f>
        <v>Ավ</v>
      </c>
    </row>
    <row r="9589">
      <c r="A9589" s="5" t="s">
        <v>8103</v>
      </c>
      <c r="B9589" s="5" t="s">
        <v>7671</v>
      </c>
      <c r="C9589" s="5" t="str">
        <f>IFERROR(__xludf.DUMMYFUNCTION("GOOGLETRANSLATE(A9589,""en"",""hy"")"),"Ո՞րն է Աֆրիկայի ամենաերկար գետը:")</f>
        <v>Ո՞րն է Աֆրիկայի ամենաերկար գետը:</v>
      </c>
      <c r="D9589" s="6" t="str">
        <f>IFERROR(__xludf.DUMMYFUNCTION("GOOGLETRANSLATE(B9589,""en"",""hy"")"),"Նեղոս գետ.")</f>
        <v>Նեղոս գետ.</v>
      </c>
    </row>
    <row r="9590">
      <c r="A9590" s="5" t="s">
        <v>7852</v>
      </c>
      <c r="B9590" s="5" t="s">
        <v>7853</v>
      </c>
      <c r="C9590" s="5" t="str">
        <f>IFERROR(__xludf.DUMMYFUNCTION("GOOGLETRANSLATE(A9590,""en"",""hy"")"),"Ո՞վ է ներկայիս Անգլիայի թագուհին:")</f>
        <v>Ո՞վ է ներկայիս Անգլիայի թագուհին:</v>
      </c>
      <c r="D9590" s="6" t="str">
        <f>IFERROR(__xludf.DUMMYFUNCTION("GOOGLETRANSLATE(B9590,""en"",""hy"")"),"Եղիսաբեթ II թագուհին.")</f>
        <v>Եղիսաբեթ II թագուհին.</v>
      </c>
    </row>
    <row r="9591">
      <c r="A9591" s="5" t="s">
        <v>7471</v>
      </c>
      <c r="B9591" s="5" t="s">
        <v>7472</v>
      </c>
      <c r="C9591" s="5" t="str">
        <f>IFERROR(__xludf.DUMMYFUNCTION("GOOGLETRANSLATE(A9591,""en"",""hy"")"),"Ո՞րն է Երկրի ամենամեծ կենդանին:")</f>
        <v>Ո՞րն է Երկրի ամենամեծ կենդանին:</v>
      </c>
      <c r="D9591" s="6" t="str">
        <f>IFERROR(__xludf.DUMMYFUNCTION("GOOGLETRANSLATE(B9591,""en"",""hy"")"),"Կապույտ կետը.")</f>
        <v>Կապույտ կետը.</v>
      </c>
    </row>
    <row r="9592">
      <c r="A9592" s="5" t="s">
        <v>8018</v>
      </c>
      <c r="B9592" s="5" t="s">
        <v>8635</v>
      </c>
      <c r="C9592" s="5" t="str">
        <f>IFERROR(__xludf.DUMMYFUNCTION("GOOGLETRANSLATE(A9592,""en"",""hy"")"),"Ո՞ր երկրում է գտնվում Էյֆելյան աշտարակը:")</f>
        <v>Ո՞ր երկրում է գտնվում Էյֆելյան աշտարակը:</v>
      </c>
      <c r="D9592" s="6" t="str">
        <f>IFERROR(__xludf.DUMMYFUNCTION("GOOGLETRANSLATE(B9592,""en"",""hy"")"),"Ֆրանսիա")</f>
        <v>Ֆրանսիա</v>
      </c>
    </row>
    <row r="9593">
      <c r="A9593" s="5" t="s">
        <v>7644</v>
      </c>
      <c r="B9593" s="5" t="s">
        <v>7541</v>
      </c>
      <c r="C9593" s="5" t="str">
        <f>IFERROR(__xludf.DUMMYFUNCTION("GOOGLETRANSLATE(A9593,""en"",""hy"")"),"Ո՞վ է «Սպանել ծաղրող թռչունին» գրքի հեղինակը.")</f>
        <v>Ո՞վ է «Սպանել ծաղրող թռչունին» գրքի հեղինակը.</v>
      </c>
      <c r="D9593" s="6" t="str">
        <f>IFERROR(__xludf.DUMMYFUNCTION("GOOGLETRANSLATE(B9593,""en"",""hy"")"),"Հարփեր Լի.")</f>
        <v>Հարփեր Լի.</v>
      </c>
    </row>
    <row r="9594">
      <c r="A9594" s="5" t="s">
        <v>7922</v>
      </c>
      <c r="B9594" s="5" t="s">
        <v>7923</v>
      </c>
      <c r="C9594" s="5" t="str">
        <f>IFERROR(__xludf.DUMMYFUNCTION("GOOGLETRANSLATE(A9594,""en"",""hy"")"),"Ո՞րն է Բրազիլիայում խոսվող հիմնական լեզուն:")</f>
        <v>Ո՞րն է Բրազիլիայում խոսվող հիմնական լեզուն:</v>
      </c>
      <c r="D9594" s="6" t="str">
        <f>IFERROR(__xludf.DUMMYFUNCTION("GOOGLETRANSLATE(B9594,""en"",""hy"")"),"Բրազիլիայում խոսվող հիմնական լեզուն պորտուգալերենն է։")</f>
        <v>Բրազիլիայում խոսվող հիմնական լեզուն պորտուգալերենն է։</v>
      </c>
    </row>
    <row r="9595">
      <c r="A9595" s="5" t="s">
        <v>10117</v>
      </c>
      <c r="B9595" s="5" t="s">
        <v>10118</v>
      </c>
      <c r="C9595" s="5" t="str">
        <f>IFERROR(__xludf.DUMMYFUNCTION("GOOGLETRANSLATE(A9595,""en"",""hy"")"),"Ո՞րն է գուակամոլի հիմնական բաղադրիչը:")</f>
        <v>Ո՞րն է գուակամոլի հիմնական բաղադրիչը:</v>
      </c>
      <c r="D9595" s="6" t="str">
        <f>IFERROR(__xludf.DUMMYFUNCTION("GOOGLETRANSLATE(B9595,""en"",""hy"")"),"Գուակամոլի հիմնական բաղադրիչը ավոկադոն է։")</f>
        <v>Գուակամոլի հիմնական բաղադրիչը ավոկադոն է։</v>
      </c>
    </row>
    <row r="9596">
      <c r="A9596" s="5" t="s">
        <v>7467</v>
      </c>
      <c r="B9596" s="5" t="s">
        <v>7468</v>
      </c>
      <c r="C9596" s="5" t="str">
        <f>IFERROR(__xludf.DUMMYFUNCTION("GOOGLETRANSLATE(A9596,""en"",""hy"")"),"Ո՞րն է Ճապոնիայի արժույթը:")</f>
        <v>Ո՞րն է Ճապոնիայի արժույթը:</v>
      </c>
      <c r="D9596" s="6" t="str">
        <f>IFERROR(__xludf.DUMMYFUNCTION("GOOGLETRANSLATE(B9596,""en"",""hy"")"),"Ճապոնիայի արժույթը ճապոնական իենն է։")</f>
        <v>Ճապոնիայի արժույթը ճապոնական իենն է։</v>
      </c>
    </row>
    <row r="9597">
      <c r="A9597" s="5" t="s">
        <v>7513</v>
      </c>
      <c r="B9597" s="5" t="s">
        <v>8337</v>
      </c>
      <c r="C9597" s="5" t="str">
        <f>IFERROR(__xludf.DUMMYFUNCTION("GOOGLETRANSLATE(A9597,""en"",""hy"")"),"Ո՞րն է աշխարհի ամենամեծ անապատը:")</f>
        <v>Ո՞րն է աշխարհի ամենամեծ անապատը:</v>
      </c>
      <c r="D9597" s="6" t="str">
        <f>IFERROR(__xludf.DUMMYFUNCTION("GOOGLETRANSLATE(B9597,""en"",""hy"")"),"Աշխարհի ամենամեծ անապատը Անտարկտիդայի անապատն է։")</f>
        <v>Աշխարհի ամենամեծ անապատը Անտարկտիդայի անապատն է։</v>
      </c>
    </row>
    <row r="9598">
      <c r="A9598" s="5" t="s">
        <v>8246</v>
      </c>
      <c r="B9598" s="5" t="s">
        <v>7648</v>
      </c>
      <c r="C9598" s="5" t="str">
        <f>IFERROR(__xludf.DUMMYFUNCTION("GOOGLETRANSLATE(A9598,""en"",""hy"")"),"Ո՞վ է նկարել հայտնի «Աստղային գիշերը» արվեստի գործը:")</f>
        <v>Ո՞վ է նկարել հայտնի «Աստղային գիշերը» արվեստի գործը:</v>
      </c>
      <c r="D9598" s="6" t="str">
        <f>IFERROR(__xludf.DUMMYFUNCTION("GOOGLETRANSLATE(B9598,""en"",""hy"")"),"Վինսենթ վան Գոգ.")</f>
        <v>Վինսենթ վան Գոգ.</v>
      </c>
    </row>
    <row r="9599">
      <c r="A9599" s="5" t="s">
        <v>8247</v>
      </c>
      <c r="B9599" s="5" t="s">
        <v>3535</v>
      </c>
      <c r="C9599" s="5" t="str">
        <f>IFERROR(__xludf.DUMMYFUNCTION("GOOGLETRANSLATE(A9599,""en"",""hy"")"),"Ո՞ր երկրում է գտնվում Մեծ արգելախութը:")</f>
        <v>Ո՞ր երկրում է գտնվում Մեծ արգելախութը:</v>
      </c>
      <c r="D9599" s="6" t="str">
        <f>IFERROR(__xludf.DUMMYFUNCTION("GOOGLETRANSLATE(B9599,""en"",""hy"")"),"Ավստրալիա.")</f>
        <v>Ավստրալիա.</v>
      </c>
    </row>
    <row r="9600">
      <c r="A9600" s="5" t="s">
        <v>7667</v>
      </c>
      <c r="B9600" s="5" t="s">
        <v>7554</v>
      </c>
      <c r="C9600" s="5" t="str">
        <f>IFERROR(__xludf.DUMMYFUNCTION("GOOGLETRANSLATE(A9600,""en"",""hy"")"),"Ո՞րն է Հարավային Աֆրիկայի մայրաքաղաքը:")</f>
        <v>Ո՞րն է Հարավային Աֆրիկայի մայրաքաղաքը:</v>
      </c>
      <c r="D9600" s="6" t="str">
        <f>IFERROR(__xludf.DUMMYFUNCTION("GOOGLETRANSLATE(B9600,""en"",""hy"")"),"Պրետորիա.")</f>
        <v>Պրետորիա.</v>
      </c>
    </row>
    <row r="9601">
      <c r="A9601" s="5" t="s">
        <v>7557</v>
      </c>
      <c r="B9601" s="5" t="s">
        <v>7857</v>
      </c>
      <c r="C9601" s="5" t="str">
        <f>IFERROR(__xludf.DUMMYFUNCTION("GOOGLETRANSLATE(A9601,""en"",""hy"")"),"Ո՞րն է երկաթի քիմիական նշանը:")</f>
        <v>Ո՞րն է երկաթի քիմիական նշանը:</v>
      </c>
      <c r="D9601" s="6" t="str">
        <f>IFERROR(__xludf.DUMMYFUNCTION("GOOGLETRANSLATE(B9601,""en"",""hy"")"),"Երկաթի քիմիական նշանը Fe է:")</f>
        <v>Երկաթի քիմիական նշանը Fe է:</v>
      </c>
    </row>
    <row r="9602">
      <c r="A9602" s="5" t="s">
        <v>7640</v>
      </c>
      <c r="B9602" s="5" t="s">
        <v>1016</v>
      </c>
      <c r="C9602" s="5" t="str">
        <f>IFERROR(__xludf.DUMMYFUNCTION("GOOGLETRANSLATE(A9602,""en"",""hy"")"),"Ո՞վ է գրել «Ռոմեո և Ջուլիետ» պիեսը:")</f>
        <v>Ո՞վ է գրել «Ռոմեո և Ջուլիետ» պիեսը:</v>
      </c>
      <c r="D9602" s="6" t="str">
        <f>IFERROR(__xludf.DUMMYFUNCTION("GOOGLETRANSLATE(B9602,""en"",""hy"")"),"Ուիլյամ Շեքսպիր.")</f>
        <v>Ուիլյամ Շեքսպիր.</v>
      </c>
    </row>
    <row r="9603">
      <c r="A9603" s="5" t="s">
        <v>10119</v>
      </c>
      <c r="B9603" s="5" t="s">
        <v>10120</v>
      </c>
      <c r="C9603" s="5" t="str">
        <f>IFERROR(__xludf.DUMMYFUNCTION("GOOGLETRANSLATE(A9603,""en"",""hy"")"),"Հայտնի է, որ ո՞ր կենդանին է ամենաարագը ցամաքում:")</f>
        <v>Հայտնի է, որ ո՞ր կենդանին է ամենաարագը ցամաքում:</v>
      </c>
      <c r="D9603" s="6" t="str">
        <f>IFERROR(__xludf.DUMMYFUNCTION("GOOGLETRANSLATE(B9603,""en"",""hy"")"),"Չիտա")</f>
        <v>Չիտա</v>
      </c>
    </row>
    <row r="9604">
      <c r="A9604" s="5" t="s">
        <v>7711</v>
      </c>
      <c r="B9604" s="5" t="s">
        <v>7712</v>
      </c>
      <c r="C9604" s="5" t="str">
        <f>IFERROR(__xludf.DUMMYFUNCTION("GOOGLETRANSLATE(A9604,""en"",""hy"")"),"Ո՞րն է Միացյալ Նահանգների ամենամեծ քաղաքը:")</f>
        <v>Ո՞րն է Միացյալ Նահանգների ամենամեծ քաղաքը:</v>
      </c>
      <c r="D9604" s="6" t="str">
        <f>IFERROR(__xludf.DUMMYFUNCTION("GOOGLETRANSLATE(B9604,""en"",""hy"")"),"Նյու Յորք քաղաք.")</f>
        <v>Նյու Յորք քաղաք.</v>
      </c>
    </row>
    <row r="9605">
      <c r="A9605" s="5" t="s">
        <v>8950</v>
      </c>
      <c r="B9605" s="5" t="s">
        <v>8951</v>
      </c>
      <c r="C9605" s="5" t="str">
        <f>IFERROR(__xludf.DUMMYFUNCTION("GOOGLETRANSLATE(A9605,""en"",""hy"")"),"Ո՞րն է Հնդկաստանի պաշտոնական լեզուն:")</f>
        <v>Ո՞րն է Հնդկաստանի պաշտոնական լեզուն:</v>
      </c>
      <c r="D9605" s="6" t="str">
        <f>IFERROR(__xludf.DUMMYFUNCTION("GOOGLETRANSLATE(B9605,""en"",""hy"")"),"Հնդկաստանի պաշտոնական լեզուն հինդին է։")</f>
        <v>Հնդկաստանի պաշտոնական լեզուն հինդին է։</v>
      </c>
    </row>
    <row r="9606">
      <c r="A9606" s="5" t="s">
        <v>7534</v>
      </c>
      <c r="B9606" s="5" t="s">
        <v>7535</v>
      </c>
      <c r="C9606" s="5" t="str">
        <f>IFERROR(__xludf.DUMMYFUNCTION("GOOGLETRANSLATE(A9606,""en"",""hy"")"),"Ո՞վ է հորինել հեռախոսը:")</f>
        <v>Ո՞վ է հորինել հեռախոսը:</v>
      </c>
      <c r="D9606" s="6" t="str">
        <f>IFERROR(__xludf.DUMMYFUNCTION("GOOGLETRANSLATE(B9606,""en"",""hy"")"),"Ալեքսանդր Գրեհեմ Բել.")</f>
        <v>Ալեքսանդր Գրեհեմ Բել.</v>
      </c>
    </row>
    <row r="9607">
      <c r="A9607" s="5" t="s">
        <v>7850</v>
      </c>
      <c r="B9607" s="5" t="s">
        <v>8301</v>
      </c>
      <c r="C9607" s="5" t="str">
        <f>IFERROR(__xludf.DUMMYFUNCTION("GOOGLETRANSLATE(A9607,""en"",""hy"")"),"Ո՞րն է մեր արեգակնային համակարգի ամենափոքր մոլորակը:")</f>
        <v>Ո՞րն է մեր արեգակնային համակարգի ամենափոքր մոլորակը:</v>
      </c>
      <c r="D9607" s="6" t="str">
        <f>IFERROR(__xludf.DUMMYFUNCTION("GOOGLETRANSLATE(B9607,""en"",""hy"")"),"Մերկուրի.")</f>
        <v>Մերկուրի.</v>
      </c>
    </row>
    <row r="9608">
      <c r="A9608" s="5" t="s">
        <v>7672</v>
      </c>
      <c r="B9608" s="5" t="s">
        <v>7673</v>
      </c>
      <c r="C9608" s="5" t="str">
        <f>IFERROR(__xludf.DUMMYFUNCTION("GOOGLETRANSLATE(A9608,""en"",""hy"")"),"Ո՞րն է Հարավային Ամերիկայի ամենամեծ երկիրը:")</f>
        <v>Ո՞րն է Հարավային Ամերիկայի ամենամեծ երկիրը:</v>
      </c>
      <c r="D9608" s="6" t="str">
        <f>IFERROR(__xludf.DUMMYFUNCTION("GOOGLETRANSLATE(B9608,""en"",""hy"")"),"Բրազիլիա.")</f>
        <v>Բրազիլիա.</v>
      </c>
    </row>
    <row r="9609">
      <c r="A9609" s="5" t="s">
        <v>7473</v>
      </c>
      <c r="B9609" s="5" t="s">
        <v>7878</v>
      </c>
      <c r="C9609" s="5" t="str">
        <f>IFERROR(__xludf.DUMMYFUNCTION("GOOGLETRANSLATE(A9609,""en"",""hy"")"),"Ո՞վ է նկարել Սիքստինյան կապելլայի առաստաղը:")</f>
        <v>Ո՞վ է նկարել Սիքստինյան կապելլայի առաստաղը:</v>
      </c>
      <c r="D9609" s="6" t="str">
        <f>IFERROR(__xludf.DUMMYFUNCTION("GOOGLETRANSLATE(B9609,""en"",""hy"")"),"Միքելանջելո")</f>
        <v>Միքելանջելո</v>
      </c>
    </row>
    <row r="9610">
      <c r="A9610" s="5" t="s">
        <v>8643</v>
      </c>
      <c r="B9610" s="5" t="s">
        <v>7712</v>
      </c>
      <c r="C9610" s="5" t="str">
        <f>IFERROR(__xludf.DUMMYFUNCTION("GOOGLETRANSLATE(A9610,""en"",""hy"")"),"Ո՞ր քաղաքն է հայտնի որպես «Մեծ խնձոր»:")</f>
        <v>Ո՞ր քաղաքն է հայտնի որպես «Մեծ խնձոր»:</v>
      </c>
      <c r="D9610" s="6" t="str">
        <f>IFERROR(__xludf.DUMMYFUNCTION("GOOGLETRANSLATE(B9610,""en"",""hy"")"),"Նյու Յորք քաղաք.")</f>
        <v>Նյու Յորք քաղաք.</v>
      </c>
    </row>
    <row r="9611">
      <c r="A9611" s="5" t="s">
        <v>8025</v>
      </c>
      <c r="B9611" s="5" t="s">
        <v>8595</v>
      </c>
      <c r="C9611" s="5" t="str">
        <f>IFERROR(__xludf.DUMMYFUNCTION("GOOGLETRANSLATE(A9611,""en"",""hy"")"),"Ո՞րն է Չինաստանի պաշտոնական լեզուն:")</f>
        <v>Ո՞րն է Չինաստանի պաշտոնական լեզուն:</v>
      </c>
      <c r="D9611" s="6" t="str">
        <f>IFERROR(__xludf.DUMMYFUNCTION("GOOGLETRANSLATE(B9611,""en"",""hy"")"),"Չինաստանի պաշտոնական լեզուն մանդարինն է։")</f>
        <v>Չինաստանի պաշտոնական լեզուն մանդարինն է։</v>
      </c>
    </row>
    <row r="9612">
      <c r="A9612" s="5" t="s">
        <v>7443</v>
      </c>
      <c r="B9612" s="5" t="s">
        <v>7444</v>
      </c>
      <c r="C9612" s="5" t="str">
        <f>IFERROR(__xludf.DUMMYFUNCTION("GOOGLETRANSLATE(A9612,""en"",""hy"")"),"Ո՞վ է գրել «1984» վեպը։")</f>
        <v>Ո՞վ է գրել «1984» վեպը։</v>
      </c>
      <c r="D9612" s="6" t="str">
        <f>IFERROR(__xludf.DUMMYFUNCTION("GOOGLETRANSLATE(B9612,""en"",""hy"")"),"Ջորջ Օրուել.")</f>
        <v>Ջորջ Օրուել.</v>
      </c>
    </row>
    <row r="9613">
      <c r="A9613" s="5" t="s">
        <v>7703</v>
      </c>
      <c r="B9613" s="5" t="s">
        <v>7545</v>
      </c>
      <c r="C9613" s="5" t="str">
        <f>IFERROR(__xludf.DUMMYFUNCTION("GOOGLETRANSLATE(A9613,""en"",""hy"")"),"Ո՞րն է Իտալիայի մայրաքաղաքը:")</f>
        <v>Ո՞րն է Իտալիայի մայրաքաղաքը:</v>
      </c>
      <c r="D9613" s="6" t="str">
        <f>IFERROR(__xludf.DUMMYFUNCTION("GOOGLETRANSLATE(B9613,""en"",""hy"")"),"Հռոմ.")</f>
        <v>Հռոմ.</v>
      </c>
    </row>
    <row r="9614">
      <c r="A9614" s="5" t="s">
        <v>10121</v>
      </c>
      <c r="B9614" s="5" t="s">
        <v>10122</v>
      </c>
      <c r="C9614" s="5" t="str">
        <f>IFERROR(__xludf.DUMMYFUNCTION("GOOGLETRANSLATE(A9614,""en"",""hy"")"),"Ո՞ր գազն է կազմում Երկրի մթնոլորտի մեծ մասը:")</f>
        <v>Ո՞ր գազն է կազմում Երկրի մթնոլորտի մեծ մասը:</v>
      </c>
      <c r="D9614" s="6" t="str">
        <f>IFERROR(__xludf.DUMMYFUNCTION("GOOGLETRANSLATE(B9614,""en"",""hy"")"),"Ազոտ.")</f>
        <v>Ազոտ.</v>
      </c>
    </row>
    <row r="9615">
      <c r="A9615" s="5" t="s">
        <v>7489</v>
      </c>
      <c r="B9615" s="5" t="s">
        <v>7490</v>
      </c>
      <c r="C9615" s="5" t="str">
        <f>IFERROR(__xludf.DUMMYFUNCTION("GOOGLETRANSLATE(A9615,""en"",""hy"")"),"Ո՞րն է աշխարհի ամենաբարձր շենքը:")</f>
        <v>Ո՞րն է աշխարհի ամենաբարձր շենքը:</v>
      </c>
      <c r="D9615" s="6" t="str">
        <f>IFERROR(__xludf.DUMMYFUNCTION("GOOGLETRANSLATE(B9615,""en"",""hy"")"),"Աշխարհի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9616">
      <c r="A9616" s="5" t="s">
        <v>7773</v>
      </c>
      <c r="B9616" s="5" t="s">
        <v>8253</v>
      </c>
      <c r="C9616" s="5" t="str">
        <f>IFERROR(__xludf.DUMMYFUNCTION("GOOGLETRANSLATE(A9616,""en"",""hy"")"),"Ո՞վ է հայտնաբերել պենիցիլինը:")</f>
        <v>Ո՞վ է հայտնաբերել պենիցիլինը:</v>
      </c>
      <c r="D9616" s="6" t="str">
        <f>IFERROR(__xludf.DUMMYFUNCTION("GOOGLETRANSLATE(B9616,""en"",""hy"")"),"Ալեքսանդր Ֆլեմինգ.")</f>
        <v>Ալեքսանդր Ֆլեմինգ.</v>
      </c>
    </row>
    <row r="9617">
      <c r="A9617" s="5" t="s">
        <v>8144</v>
      </c>
      <c r="B9617" s="5" t="s">
        <v>8145</v>
      </c>
      <c r="C9617" s="5" t="str">
        <f>IFERROR(__xludf.DUMMYFUNCTION("GOOGLETRANSLATE(A9617,""en"",""hy"")"),"Ո՞րն է Իսպանիայի պաշտոնական լեզուն:")</f>
        <v>Ո՞րն է Իսպանիայի պաշտոնական լեզուն:</v>
      </c>
      <c r="D9617" s="6" t="str">
        <f>IFERROR(__xludf.DUMMYFUNCTION("GOOGLETRANSLATE(B9617,""en"",""hy"")"),"Իսպանիայի պաշտոնական լեզուն իսպաներենն է։")</f>
        <v>Իսպանիայի պաշտոնական լեզուն իսպաներենն է։</v>
      </c>
    </row>
    <row r="9618">
      <c r="A9618" s="5" t="s">
        <v>8161</v>
      </c>
      <c r="B9618" s="5" t="s">
        <v>8162</v>
      </c>
      <c r="C9618" s="5" t="str">
        <f>IFERROR(__xludf.DUMMYFUNCTION("GOOGLETRANSLATE(A9618,""en"",""hy"")"),"Ո՞րն է Ճապոնիայի ազգային ծաղիկը:")</f>
        <v>Ո՞րն է Ճապոնիայի ազգային ծաղիկը:</v>
      </c>
      <c r="D9618" s="6" t="str">
        <f>IFERROR(__xludf.DUMMYFUNCTION("GOOGLETRANSLATE(B9618,""en"",""hy"")"),"Ճապոնիայի ազգային ծաղիկը բալի ծաղիկն է:")</f>
        <v>Ճապոնիայի ազգային ծաղիկը բալի ծաղիկն է:</v>
      </c>
    </row>
    <row r="9619">
      <c r="A9619" s="5" t="s">
        <v>8501</v>
      </c>
      <c r="B9619" s="5" t="s">
        <v>9016</v>
      </c>
      <c r="C9619" s="5" t="str">
        <f>IFERROR(__xludf.DUMMYFUNCTION("GOOGLETRANSLATE(A9619,""en"",""hy"")"),"Ո՞ր քաղաքն է ընդունել 2016 թվականի ամառային օլիմպիական խաղերը:")</f>
        <v>Ո՞ր քաղաքն է ընդունել 2016 թվականի ամառային օլիմպիական խաղերը:</v>
      </c>
      <c r="D9619" s="6" t="str">
        <f>IFERROR(__xludf.DUMMYFUNCTION("GOOGLETRANSLATE(B9619,""en"",""hy"")"),"Ռիո դե Ժանեյրո.")</f>
        <v>Ռիո դե Ժանեյրո.</v>
      </c>
    </row>
    <row r="9620">
      <c r="A9620" s="5" t="s">
        <v>10123</v>
      </c>
      <c r="B9620" s="5" t="s">
        <v>8536</v>
      </c>
      <c r="C9620" s="5" t="str">
        <f>IFERROR(__xludf.DUMMYFUNCTION("GOOGLETRANSLATE(A9620,""en"",""hy"")"),"Ո՞վ է հայտնի հույն փիլիսոփային վերագրված «Ճանաչիր ինքդ քեզ» մեջբերումը:")</f>
        <v>Ո՞վ է հայտնի հույն փիլիսոփային վերագրված «Ճանաչիր ինքդ քեզ» մեջբերումը:</v>
      </c>
      <c r="D9620" s="6" t="str">
        <f>IFERROR(__xludf.DUMMYFUNCTION("GOOGLETRANSLATE(B9620,""en"",""hy"")"),"Սոկրատես")</f>
        <v>Սոկրատես</v>
      </c>
    </row>
    <row r="9621">
      <c r="A9621" s="5" t="s">
        <v>8410</v>
      </c>
      <c r="B9621" s="5" t="s">
        <v>8881</v>
      </c>
      <c r="C9621" s="5" t="str">
        <f>IFERROR(__xludf.DUMMYFUNCTION("GOOGLETRANSLATE(A9621,""en"",""hy"")"),"Ո՞րն է բոլոր ժամանակների ամենաշատ եկամուտ ստացած ֆիլմը:")</f>
        <v>Ո՞րն է բոլոր ժամանակների ամենաշատ եկամուտ ստացած ֆիլմը:</v>
      </c>
      <c r="D9621" s="6" t="str">
        <f>IFERROR(__xludf.DUMMYFUNCTION("GOOGLETRANSLATE(B9621,""en"",""hy"")"),"Անձնանշան")</f>
        <v>Անձնանշան</v>
      </c>
    </row>
    <row r="9622">
      <c r="A9622" s="5" t="s">
        <v>7691</v>
      </c>
      <c r="B9622" s="5" t="s">
        <v>7692</v>
      </c>
      <c r="C9622" s="5" t="str">
        <f>IFERROR(__xludf.DUMMYFUNCTION("GOOGLETRANSLATE(A9622,""en"",""hy"")"),"Ո՞րն է Աֆրիկայի ամենամեծ լիճը:")</f>
        <v>Ո՞րն է Աֆրիկայի ամենամեծ լիճը:</v>
      </c>
      <c r="D9622" s="6" t="str">
        <f>IFERROR(__xludf.DUMMYFUNCTION("GOOGLETRANSLATE(B9622,""en"",""hy"")"),"Վիկտորիա լիճ.")</f>
        <v>Վիկտորիա լիճ.</v>
      </c>
    </row>
    <row r="9623">
      <c r="A9623" s="5" t="s">
        <v>7572</v>
      </c>
      <c r="B9623" s="5" t="s">
        <v>7573</v>
      </c>
      <c r="C9623" s="5" t="str">
        <f>IFERROR(__xludf.DUMMYFUNCTION("GOOGLETRANSLATE(A9623,""en"",""hy"")"),"Ո՞վ է հորինել լամպը:")</f>
        <v>Ո՞վ է հորինել լամպը:</v>
      </c>
      <c r="D9623" s="6" t="str">
        <f>IFERROR(__xludf.DUMMYFUNCTION("GOOGLETRANSLATE(B9623,""en"",""hy"")"),"Թոմաս Էդիսոն.")</f>
        <v>Թոմաս Էդիսոն.</v>
      </c>
    </row>
    <row r="9624">
      <c r="A9624" s="5" t="s">
        <v>8078</v>
      </c>
      <c r="B9624" s="5" t="s">
        <v>7478</v>
      </c>
      <c r="C9624" s="5" t="str">
        <f>IFERROR(__xludf.DUMMYFUNCTION("GOOGLETRANSLATE(A9624,""en"",""hy"")"),"Ո՞ր երկիրն է հայտնի որպես Ծագող Արևի երկիր:")</f>
        <v>Ո՞ր երկիրն է հայտնի որպես Ծագող Արևի երկիր:</v>
      </c>
      <c r="D9624" s="6" t="str">
        <f>IFERROR(__xludf.DUMMYFUNCTION("GOOGLETRANSLATE(B9624,""en"",""hy"")"),"Ճապոնիա.")</f>
        <v>Ճապոնիա.</v>
      </c>
    </row>
    <row r="9625">
      <c r="A9625" s="5" t="s">
        <v>7791</v>
      </c>
      <c r="B9625" s="5" t="s">
        <v>8128</v>
      </c>
      <c r="C9625" s="5" t="str">
        <f>IFERROR(__xludf.DUMMYFUNCTION("GOOGLETRANSLATE(A9625,""en"",""hy"")"),"Ո՞րն է Ավստրալիայի ազգային կենդանին:")</f>
        <v>Ո՞րն է Ավստրալիայի ազգային կենդանին:</v>
      </c>
      <c r="D9625" s="6" t="str">
        <f>IFERROR(__xludf.DUMMYFUNCTION("GOOGLETRANSLATE(B9625,""en"",""hy"")"),"Կենգուրու.")</f>
        <v>Կենգուրու.</v>
      </c>
    </row>
    <row r="9626">
      <c r="A9626" s="5" t="s">
        <v>7485</v>
      </c>
      <c r="B9626" s="5" t="s">
        <v>8110</v>
      </c>
      <c r="C9626" s="5" t="str">
        <f>IFERROR(__xludf.DUMMYFUNCTION("GOOGLETRANSLATE(A9626,""en"",""hy"")"),"Ո՞վ է Հարի Փոթերի շարքի հեղինակը:")</f>
        <v>Ո՞վ է Հարի Փոթերի շարքի հեղինակը:</v>
      </c>
      <c r="D9626" s="6" t="str">
        <f>IFERROR(__xludf.DUMMYFUNCTION("GOOGLETRANSLATE(B9626,""en"",""hy"")"),"Ջ.Կ. Ռոուլինգ")</f>
        <v>Ջ.Կ. Ռոուլինգ</v>
      </c>
    </row>
    <row r="9627">
      <c r="A9627" s="5" t="s">
        <v>7920</v>
      </c>
      <c r="B9627" s="5" t="s">
        <v>7921</v>
      </c>
      <c r="C9627" s="5" t="str">
        <f>IFERROR(__xludf.DUMMYFUNCTION("GOOGLETRANSLATE(A9627,""en"",""hy"")"),"Ո՞ր երկրում է գտնվում Թաջ Մահալը:")</f>
        <v>Ո՞ր երկրում է գտնվում Թաջ Մահալը:</v>
      </c>
      <c r="D9627" s="6" t="str">
        <f>IFERROR(__xludf.DUMMYFUNCTION("GOOGLETRANSLATE(B9627,""en"",""hy"")"),"Հնդկաստան.")</f>
        <v>Հնդկաստան.</v>
      </c>
    </row>
    <row r="9628">
      <c r="A9628" s="5" t="s">
        <v>9537</v>
      </c>
      <c r="B9628" s="5" t="s">
        <v>7537</v>
      </c>
      <c r="C9628" s="5" t="str">
        <f>IFERROR(__xludf.DUMMYFUNCTION("GOOGLETRANSLATE(A9628,""en"",""hy"")"),"Ո՞րն է Ռուսաստանի մայրաքաղաքը:")</f>
        <v>Ո՞րն է Ռուսաստանի մայրաքաղաքը:</v>
      </c>
      <c r="D9628" s="6" t="str">
        <f>IFERROR(__xludf.DUMMYFUNCTION("GOOGLETRANSLATE(B9628,""en"",""hy"")"),"Մոսկվա")</f>
        <v>Մոսկվա</v>
      </c>
    </row>
    <row r="9629">
      <c r="A9629" s="5" t="s">
        <v>7592</v>
      </c>
      <c r="B9629" s="5" t="s">
        <v>7593</v>
      </c>
      <c r="C9629" s="5" t="str">
        <f>IFERROR(__xludf.DUMMYFUNCTION("GOOGLETRANSLATE(A9629,""en"",""hy"")"),"Ո՞րն է թթվածնի քիմիական նշանը:")</f>
        <v>Ո՞րն է թթվածնի քիմիական նշանը:</v>
      </c>
      <c r="D9629" s="6" t="str">
        <f>IFERROR(__xludf.DUMMYFUNCTION("GOOGLETRANSLATE(B9629,""en"",""hy"")"),"Թթվածնի քիմիական նշանը O է:")</f>
        <v>Թթվածնի քիմիական նշանը O է:</v>
      </c>
    </row>
    <row r="9630">
      <c r="A9630" s="5" t="s">
        <v>7926</v>
      </c>
      <c r="B9630" s="5" t="s">
        <v>7635</v>
      </c>
      <c r="C9630" s="5" t="str">
        <f>IFERROR(__xludf.DUMMYFUNCTION("GOOGLETRANSLATE(A9630,""en"",""hy"")"),"Ո՞վ էր առաջին մարդը, ով քայլեց լուսնի վրա:")</f>
        <v>Ո՞վ էր առաջին մարդը, ով քայլեց լուսնի վրա:</v>
      </c>
      <c r="D9630" s="6" t="str">
        <f>IFERROR(__xludf.DUMMYFUNCTION("GOOGLETRANSLATE(B9630,""en"",""hy"")"),"Նիլ Արմսթրոնգ.")</f>
        <v>Նիլ Արմսթրոնգ.</v>
      </c>
    </row>
    <row r="9631">
      <c r="A9631" s="5" t="s">
        <v>10124</v>
      </c>
      <c r="B9631" s="5" t="s">
        <v>10125</v>
      </c>
      <c r="C9631" s="5" t="str">
        <f>IFERROR(__xludf.DUMMYFUNCTION("GOOGLETRANSLATE(A9631,""en"",""hy"")"),"Ո՞րն է պատմության մեջ ամենաերկարատև հեռուստաշոուն:")</f>
        <v>Ո՞րն է պատմության մեջ ամենաերկարատև հեռուստաշոուն:</v>
      </c>
      <c r="D9631" s="6" t="str">
        <f>IFERROR(__xludf.DUMMYFUNCTION("GOOGLETRANSLATE(B9631,""en"",""hy"")"),"Պատմության մեջ ամենաերկարատև հեռուստաշոուն «Սիմփսոններն» են։")</f>
        <v>Պատմության մեջ ամենաերկարատև հեռուստաշոուն «Սիմփսոններն» են։</v>
      </c>
    </row>
    <row r="9632">
      <c r="A9632" s="5" t="s">
        <v>7504</v>
      </c>
      <c r="B9632" s="5" t="s">
        <v>7505</v>
      </c>
      <c r="C9632" s="5" t="str">
        <f>IFERROR(__xludf.DUMMYFUNCTION("GOOGLETRANSLATE(A9632,""en"",""hy"")"),"Ո՞վ է Միացյալ Նահանգների ներկայիս նախագահը:")</f>
        <v>Ո՞վ է Միացյալ Նահանգների ներկայիս նախագահը:</v>
      </c>
      <c r="D9632" s="6" t="str">
        <f>IFERROR(__xludf.DUMMYFUNCTION("GOOGLETRANSLATE(B9632,""en"",""hy"")"),"Ջո Բայդեն.")</f>
        <v>Ջո Բայդեն.</v>
      </c>
    </row>
    <row r="9633">
      <c r="A9633" s="5" t="s">
        <v>7579</v>
      </c>
      <c r="B9633" s="5" t="s">
        <v>8035</v>
      </c>
      <c r="C9633" s="5" t="str">
        <f>IFERROR(__xludf.DUMMYFUNCTION("GOOGLETRANSLATE(A9633,""en"",""hy"")"),"Ո՞րն է Գերմանիայի արժույթը:")</f>
        <v>Ո՞րն է Գերմանիայի արժույթը:</v>
      </c>
      <c r="D9633" s="6" t="str">
        <f>IFERROR(__xludf.DUMMYFUNCTION("GOOGLETRANSLATE(B9633,""en"",""hy"")"),"եվրո.")</f>
        <v>եվրո.</v>
      </c>
    </row>
    <row r="9634">
      <c r="A9634" s="5" t="s">
        <v>7734</v>
      </c>
      <c r="B9634" s="5" t="s">
        <v>7828</v>
      </c>
      <c r="C9634" s="5" t="str">
        <f>IFERROR(__xludf.DUMMYFUNCTION("GOOGLETRANSLATE(A9634,""en"",""hy"")"),"Ո՞վ է նկարել հայտնի «Մոնա Լիզա» ստեղծագործությունը:")</f>
        <v>Ո՞վ է նկարել հայտնի «Մոնա Լիզա» ստեղծագործությունը:</v>
      </c>
      <c r="D9634" s="6" t="str">
        <f>IFERROR(__xludf.DUMMYFUNCTION("GOOGLETRANSLATE(B9634,""en"",""hy"")"),"Լեոնարդո դա Վինչի")</f>
        <v>Լեոնարդո դա Վինչի</v>
      </c>
    </row>
    <row r="9635">
      <c r="A9635" s="5" t="s">
        <v>8235</v>
      </c>
      <c r="B9635" s="5" t="s">
        <v>6334</v>
      </c>
      <c r="C9635" s="5" t="str">
        <f>IFERROR(__xludf.DUMMYFUNCTION("GOOGLETRANSLATE(A9635,""en"",""hy"")"),"Ո՞ր երկրում է գտնվում Կոլիզեյը:")</f>
        <v>Ո՞ր երկրում է գտնվում Կոլիզեյը:</v>
      </c>
      <c r="D9635" s="6" t="str">
        <f>IFERROR(__xludf.DUMMYFUNCTION("GOOGLETRANSLATE(B9635,""en"",""hy"")"),"Իտալիա.")</f>
        <v>Իտալիա.</v>
      </c>
    </row>
    <row r="9636">
      <c r="A9636" s="5" t="s">
        <v>7948</v>
      </c>
      <c r="B9636" s="5" t="s">
        <v>2930</v>
      </c>
      <c r="C9636" s="5" t="str">
        <f>IFERROR(__xludf.DUMMYFUNCTION("GOOGLETRANSLATE(A9636,""en"",""hy"")"),"Ո՞րն է Ռուսաստանում խոսվող հիմնական լեզուն:")</f>
        <v>Ո՞րն է Ռուսաստանում խոսվող հիմնական լեզուն:</v>
      </c>
      <c r="D9636" s="6" t="str">
        <f>IFERROR(__xludf.DUMMYFUNCTION("GOOGLETRANSLATE(B9636,""en"",""hy"")"),"ռուսերեն.")</f>
        <v>ռուսերեն.</v>
      </c>
    </row>
    <row r="9637">
      <c r="A9637" s="5" t="s">
        <v>7746</v>
      </c>
      <c r="B9637" s="5" t="s">
        <v>7747</v>
      </c>
      <c r="C9637" s="5" t="str">
        <f>IFERROR(__xludf.DUMMYFUNCTION("GOOGLETRANSLATE(A9637,""en"",""hy"")"),"Ո՞րն է Աֆրիկայի ամենամեծ երկիրը:")</f>
        <v>Ո՞րն է Աֆրիկայի ամենամեծ երկիրը:</v>
      </c>
      <c r="D9637" s="6" t="str">
        <f>IFERROR(__xludf.DUMMYFUNCTION("GOOGLETRANSLATE(B9637,""en"",""hy"")"),"Ալժիր.")</f>
        <v>Ալժիր.</v>
      </c>
    </row>
    <row r="9638">
      <c r="A9638" s="5" t="s">
        <v>7737</v>
      </c>
      <c r="B9638" s="5" t="s">
        <v>10126</v>
      </c>
      <c r="C9638" s="5" t="str">
        <f>IFERROR(__xludf.DUMMYFUNCTION("GOOGLETRANSLATE(A9638,""en"",""hy"")"),"Ո՞վ է գրել «Շորայի մեջ բռնողը» վեպը:")</f>
        <v>Ո՞վ է գրել «Շորայի մեջ բռնողը» վեպը:</v>
      </c>
      <c r="D9638" s="6" t="str">
        <f>IFERROR(__xludf.DUMMYFUNCTION("GOOGLETRANSLATE(B9638,""en"",""hy"")"),"Ջ.Դ Սելինջերը գրել է «The Catcher in the Rye»:")</f>
        <v>Ջ.Դ Սելինջերը գրել է «The Catcher in the Rye»:</v>
      </c>
    </row>
    <row r="9639">
      <c r="A9639" s="5" t="s">
        <v>10127</v>
      </c>
      <c r="B9639" s="5" t="s">
        <v>10128</v>
      </c>
      <c r="C9639" s="5" t="str">
        <f>IFERROR(__xludf.DUMMYFUNCTION("GOOGLETRANSLATE(A9639,""en"",""hy"")"),"Ո՞րն է մակարոնեղենի հիմնական բաղադրիչը:")</f>
        <v>Ո՞րն է մակարոնեղենի հիմնական բաղադրիչը:</v>
      </c>
      <c r="D9639" s="6" t="str">
        <f>IFERROR(__xludf.DUMMYFUNCTION("GOOGLETRANSLATE(B9639,""en"",""hy"")"),"Մակարոնեղենի հիմնական բաղադրիչը ցորենի ալյուրն է։")</f>
        <v>Մակարոնեղենի հիմնական բաղադրիչը ցորենի ալյուրն է։</v>
      </c>
    </row>
    <row r="9640">
      <c r="A9640" s="5" t="s">
        <v>7678</v>
      </c>
      <c r="B9640" s="5" t="s">
        <v>7451</v>
      </c>
      <c r="C9640" s="5" t="str">
        <f>IFERROR(__xludf.DUMMYFUNCTION("GOOGLETRANSLATE(A9640,""en"",""hy"")"),"Ո՞րն է Ավստրալիայի մայրաքաղաքը:")</f>
        <v>Ո՞րն է Ավստրալիայի մայրաքաղաքը:</v>
      </c>
      <c r="D9640" s="6" t="str">
        <f>IFERROR(__xludf.DUMMYFUNCTION("GOOGLETRANSLATE(B9640,""en"",""hy"")"),"Կանբերա.")</f>
        <v>Կանբերա.</v>
      </c>
    </row>
    <row r="9641">
      <c r="A9641" s="5" t="s">
        <v>7699</v>
      </c>
      <c r="B9641" s="5" t="s">
        <v>8615</v>
      </c>
      <c r="C9641" s="5" t="str">
        <f>IFERROR(__xludf.DUMMYFUNCTION("GOOGLETRANSLATE(A9641,""en"",""hy"")"),"Ո՞րն է ածխածնի քիմիական նշանը:")</f>
        <v>Ո՞րն է ածխածնի քիմիական նշանը:</v>
      </c>
      <c r="D9641" s="6" t="str">
        <f>IFERROR(__xludf.DUMMYFUNCTION("GOOGLETRANSLATE(B9641,""en"",""hy"")"),"Գ")</f>
        <v>Գ</v>
      </c>
    </row>
    <row r="9642">
      <c r="A9642" s="5" t="s">
        <v>7660</v>
      </c>
      <c r="B9642" s="5" t="s">
        <v>7661</v>
      </c>
      <c r="C9642" s="5" t="str">
        <f>IFERROR(__xludf.DUMMYFUNCTION("GOOGLETRANSLATE(A9642,""en"",""hy"")"),"Ո՞վ է «Մեծն Գեթսբիի» հեղինակը.")</f>
        <v>Ո՞վ է «Մեծն Գեթսբիի» հեղինակը.</v>
      </c>
      <c r="D9642" s="6" t="str">
        <f>IFERROR(__xludf.DUMMYFUNCTION("GOOGLETRANSLATE(B9642,""en"",""hy"")"),"F. Scott Fitzgerald.")</f>
        <v>F. Scott Fitzgerald.</v>
      </c>
    </row>
    <row r="9643">
      <c r="A9643" s="5" t="s">
        <v>8280</v>
      </c>
      <c r="B9643" s="5" t="s">
        <v>7229</v>
      </c>
      <c r="C9643" s="5" t="str">
        <f>IFERROR(__xludf.DUMMYFUNCTION("GOOGLETRANSLATE(A9643,""en"",""hy"")"),"Ո՞րն է Ֆրանսիայի պաշտոնական լեզուն:")</f>
        <v>Ո՞րն է Ֆրանսիայի պաշտոնական լեզուն:</v>
      </c>
      <c r="D9643" s="6" t="str">
        <f>IFERROR(__xludf.DUMMYFUNCTION("GOOGLETRANSLATE(B9643,""en"",""hy"")"),"ֆրանսերեն.")</f>
        <v>ֆրանսերեն.</v>
      </c>
    </row>
    <row r="9644">
      <c r="A9644" s="5" t="s">
        <v>7618</v>
      </c>
      <c r="B9644" s="5" t="s">
        <v>7733</v>
      </c>
      <c r="C9644" s="5" t="str">
        <f>IFERROR(__xludf.DUMMYFUNCTION("GOOGLETRANSLATE(A9644,""en"",""hy"")"),"Ո՞րն է աշխարհի ամենամեծ ջրվեժը:")</f>
        <v>Ո՞րն է աշխարհի ամենամեծ ջրվեժը:</v>
      </c>
      <c r="D9644" s="6" t="str">
        <f>IFERROR(__xludf.DUMMYFUNCTION("GOOGLETRANSLATE(B9644,""en"",""hy"")"),"Angel Falls.")</f>
        <v>Angel Falls.</v>
      </c>
    </row>
    <row r="9645">
      <c r="A9645" s="5" t="s">
        <v>7701</v>
      </c>
      <c r="B9645" s="5" t="s">
        <v>10129</v>
      </c>
      <c r="C9645" s="5" t="str">
        <f>IFERROR(__xludf.DUMMYFUNCTION("GOOGLETRANSLATE(A9645,""en"",""hy"")"),"Ո՞վ է հորինել համակարգիչը:")</f>
        <v>Ո՞վ է հորինել համակարգիչը:</v>
      </c>
      <c r="D9645" s="6" t="str">
        <f>IFERROR(__xludf.DUMMYFUNCTION("GOOGLETRANSLATE(B9645,""en"",""hy"")"),"Համակարգիչը հայտնագործվել է ոչ թե մեկ անձի, այլ մի քանի անհատների և թիմերի կողմից մի քանի տասնամյակների ընթացքում:")</f>
        <v>Համակարգիչը հայտնագործվել է ոչ թե մեկ անձի, այլ մի քանի անհատների և թիմերի կողմից մի քանի տասնամյակների ընթացքում:</v>
      </c>
    </row>
    <row r="9646">
      <c r="A9646" s="5" t="s">
        <v>7506</v>
      </c>
      <c r="B9646" s="5" t="s">
        <v>7507</v>
      </c>
      <c r="C9646" s="5" t="str">
        <f>IFERROR(__xludf.DUMMYFUNCTION("GOOGLETRANSLATE(A9646,""en"",""hy"")"),"Ո՞րն է աշխարհի ամենափոքր երկիրը:")</f>
        <v>Ո՞րն է աշխարհի ամենափոքր երկիրը:</v>
      </c>
      <c r="D9646" s="6" t="str">
        <f>IFERROR(__xludf.DUMMYFUNCTION("GOOGLETRANSLATE(B9646,""en"",""hy"")"),"Քաղաք Վատիկան.")</f>
        <v>Քաղաք Վատիկան.</v>
      </c>
    </row>
    <row r="9647">
      <c r="A9647" s="5" t="s">
        <v>8751</v>
      </c>
      <c r="B9647" s="5" t="s">
        <v>8109</v>
      </c>
      <c r="C9647" s="5" t="str">
        <f>IFERROR(__xludf.DUMMYFUNCTION("GOOGLETRANSLATE(A9647,""en"",""hy"")"),"Ո՞ր կենդանին է հայտնի իր երկար պարանոցով:")</f>
        <v>Ո՞ր կենդանին է հայտնի իր երկար պարանոցով:</v>
      </c>
      <c r="D9647" s="6" t="str">
        <f>IFERROR(__xludf.DUMMYFUNCTION("GOOGLETRANSLATE(B9647,""en"",""hy"")"),"Ընձուղտ.")</f>
        <v>Ընձուղտ.</v>
      </c>
    </row>
    <row r="9648">
      <c r="A9648" s="5" t="s">
        <v>9409</v>
      </c>
      <c r="B9648" s="5" t="s">
        <v>9410</v>
      </c>
      <c r="C9648" s="5" t="str">
        <f>IFERROR(__xludf.DUMMYFUNCTION("GOOGLETRANSLATE(A9648,""en"",""hy"")"),"Ո՞րն է Չինաստանի ամենամեծ քաղաքը:")</f>
        <v>Ո՞րն է Չինաստանի ամենամեծ քաղաքը:</v>
      </c>
      <c r="D9648" s="6" t="str">
        <f>IFERROR(__xludf.DUMMYFUNCTION("GOOGLETRANSLATE(B9648,""en"",""hy"")"),"Շանհայ.")</f>
        <v>Շանհայ.</v>
      </c>
    </row>
    <row r="9649">
      <c r="A9649" s="5" t="s">
        <v>8049</v>
      </c>
      <c r="B9649" s="5" t="s">
        <v>8050</v>
      </c>
      <c r="C9649" s="5" t="str">
        <f>IFERROR(__xludf.DUMMYFUNCTION("GOOGLETRANSLATE(A9649,""en"",""hy"")"),"Ո՞րն է Մեքսիկայի պաշտոնական լեզուն:")</f>
        <v>Ո՞րն է Մեքսիկայի պաշտոնական լեզուն:</v>
      </c>
      <c r="D9649" s="6" t="str">
        <f>IFERROR(__xludf.DUMMYFUNCTION("GOOGLETRANSLATE(B9649,""en"",""hy"")"),"Մեքսիկայի պաշտոնական լեզուն իսպաներենն է։")</f>
        <v>Մեքսիկայի պաշտոնական լեզուն իսպաներենն է։</v>
      </c>
    </row>
    <row r="9650">
      <c r="A9650" s="5" t="s">
        <v>7606</v>
      </c>
      <c r="B9650" s="5" t="s">
        <v>7607</v>
      </c>
      <c r="C9650" s="5" t="str">
        <f>IFERROR(__xludf.DUMMYFUNCTION("GOOGLETRANSLATE(A9650,""en"",""hy"")"),"Ո՞վ է հորինել էվոլյուցիայի տեսությունը:")</f>
        <v>Ո՞վ է հորինել էվոլյուցիայի տեսությունը:</v>
      </c>
      <c r="D9650" s="6" t="str">
        <f>IFERROR(__xludf.DUMMYFUNCTION("GOOGLETRANSLATE(B9650,""en"",""hy"")"),"Չարլզ Դարվին.")</f>
        <v>Չարլզ Դարվին.</v>
      </c>
    </row>
    <row r="9651">
      <c r="A9651" s="5" t="s">
        <v>10130</v>
      </c>
      <c r="B9651" s="5" t="s">
        <v>10131</v>
      </c>
      <c r="C9651" s="5" t="str">
        <f>IFERROR(__xludf.DUMMYFUNCTION("GOOGLETRANSLATE(A9651,""en"",""hy"")"),"Ո՞րն է Միացյալ Թագավորության երկրի կոդը:")</f>
        <v>Ո՞րն է Միացյալ Թագավորության երկրի կոդը:</v>
      </c>
      <c r="D9651" s="6" t="str">
        <f>IFERROR(__xludf.DUMMYFUNCTION("GOOGLETRANSLATE(B9651,""en"",""hy"")"),"Միացյալ Թագավորության երկրի կոդը +44 է։")</f>
        <v>Միացյալ Թագավորության երկրի կոդը +44 է։</v>
      </c>
    </row>
    <row r="9652">
      <c r="A9652" s="5" t="s">
        <v>8123</v>
      </c>
      <c r="B9652" s="5" t="s">
        <v>7448</v>
      </c>
      <c r="C9652" s="5" t="str">
        <f>IFERROR(__xludf.DUMMYFUNCTION("GOOGLETRANSLATE(A9652,""en"",""hy"")"),"Ո՞վ է նկարել հայտնի «Վերջին ընթրիքը» ստեղծագործությունը:")</f>
        <v>Ո՞վ է նկարել հայտնի «Վերջին ընթրիքը» ստեղծագործությունը:</v>
      </c>
      <c r="D9652" s="6" t="str">
        <f>IFERROR(__xludf.DUMMYFUNCTION("GOOGLETRANSLATE(B9652,""en"",""hy"")"),"Լեոնարդո դա Վինչի.")</f>
        <v>Լեոնարդո դա Վինչի.</v>
      </c>
    </row>
    <row r="9653">
      <c r="A9653" s="5" t="s">
        <v>8808</v>
      </c>
      <c r="B9653" s="5" t="s">
        <v>8201</v>
      </c>
      <c r="C9653" s="5" t="str">
        <f>IFERROR(__xludf.DUMMYFUNCTION("GOOGLETRANSLATE(A9653,""en"",""hy"")"),"Ո՞ր երկրում է գտնվում Ակրոպոլիսը:")</f>
        <v>Ո՞ր երկրում է գտնվում Ակրոպոլիսը:</v>
      </c>
      <c r="D9653" s="6" t="str">
        <f>IFERROR(__xludf.DUMMYFUNCTION("GOOGLETRANSLATE(B9653,""en"",""hy"")"),"Հունաստան.")</f>
        <v>Հունաստան.</v>
      </c>
    </row>
    <row r="9654">
      <c r="A9654" s="5" t="s">
        <v>9241</v>
      </c>
      <c r="B9654" s="5" t="s">
        <v>10132</v>
      </c>
      <c r="C9654" s="5" t="str">
        <f>IFERROR(__xludf.DUMMYFUNCTION("GOOGLETRANSLATE(A9654,""en"",""hy"")"),"Ո՞րն է Եգիպտոսի մայրաքաղաքը:")</f>
        <v>Ո՞րն է Եգիպտոսի մայրաքաղաքը:</v>
      </c>
      <c r="D9654" s="6" t="str">
        <f>IFERROR(__xludf.DUMMYFUNCTION("GOOGLETRANSLATE(B9654,""en"",""hy"")"),"Եգիպտոսի մայրաքաղաքը Կահիրեն է։")</f>
        <v>Եգիպտոսի մայրաքաղաքը Կահիրեն է։</v>
      </c>
    </row>
    <row r="9655">
      <c r="A9655" s="5" t="s">
        <v>7665</v>
      </c>
      <c r="B9655" s="5" t="s">
        <v>7666</v>
      </c>
      <c r="C9655" s="5" t="str">
        <f>IFERROR(__xludf.DUMMYFUNCTION("GOOGLETRANSLATE(A9655,""en"",""hy"")"),"Ո՞րն է նատրիումի քիմիական նշանը:")</f>
        <v>Ո՞րն է նատրիումի քիմիական նշանը:</v>
      </c>
      <c r="D9655" s="6" t="str">
        <f>IFERROR(__xludf.DUMMYFUNCTION("GOOGLETRANSLATE(B9655,""en"",""hy"")"),"Նա")</f>
        <v>Նա</v>
      </c>
    </row>
    <row r="9656">
      <c r="A9656" s="5" t="s">
        <v>9256</v>
      </c>
      <c r="B9656" s="5" t="s">
        <v>7867</v>
      </c>
      <c r="C9656" s="5" t="str">
        <f>IFERROR(__xludf.DUMMYFUNCTION("GOOGLETRANSLATE(A9656,""en"",""hy"")"),"Ո՞վ է «Մատանիների տիրակալը» վեպի հեղինակը.")</f>
        <v>Ո՞վ է «Մատանիների տիրակալը» վեպի հեղինակը.</v>
      </c>
      <c r="D9656" s="6" t="str">
        <f>IFERROR(__xludf.DUMMYFUNCTION("GOOGLETRANSLATE(B9656,""en"",""hy"")"),"Ջ.Ռ.Ռ. Թոլքինը։")</f>
        <v>Ջ.Ռ.Ռ. Թոլքինը։</v>
      </c>
    </row>
    <row r="9657">
      <c r="A9657" s="5" t="s">
        <v>7845</v>
      </c>
      <c r="B9657" s="5" t="s">
        <v>3533</v>
      </c>
      <c r="C9657" s="5" t="str">
        <f>IFERROR(__xludf.DUMMYFUNCTION("GOOGLETRANSLATE(A9657,""en"",""hy"")"),"Ո՞րն է Բրազիլիայի պաշտոնական լեզուն:")</f>
        <v>Ո՞րն է Բրազիլիայի պաշտոնական լեզուն:</v>
      </c>
      <c r="D9657" s="6" t="str">
        <f>IFERROR(__xludf.DUMMYFUNCTION("GOOGLETRANSLATE(B9657,""en"",""hy"")"),"Բրազիլիայի պաշտոնական լեզուն պորտուգալերենն է։")</f>
        <v>Բրազիլիայի պաշտոնական լեզուն պորտուգալերենն է։</v>
      </c>
    </row>
    <row r="9658">
      <c r="A9658" s="5" t="s">
        <v>7526</v>
      </c>
      <c r="B9658" s="5" t="s">
        <v>7527</v>
      </c>
      <c r="C9658" s="5" t="str">
        <f>IFERROR(__xludf.DUMMYFUNCTION("GOOGLETRANSLATE(A9658,""en"",""hy"")"),"Ո՞րն է աշխարհի ամենամեծ կղզին:")</f>
        <v>Ո՞րն է աշխարհի ամենամեծ կղզին:</v>
      </c>
      <c r="D9658" s="6" t="str">
        <f>IFERROR(__xludf.DUMMYFUNCTION("GOOGLETRANSLATE(B9658,""en"",""hy"")"),"Գրենլանդիա.")</f>
        <v>Գրենլանդիա.</v>
      </c>
    </row>
    <row r="9659">
      <c r="A9659" s="5" t="s">
        <v>8166</v>
      </c>
      <c r="B9659" s="5" t="s">
        <v>5756</v>
      </c>
      <c r="C9659" s="5" t="str">
        <f>IFERROR(__xludf.DUMMYFUNCTION("GOOGLETRANSLATE(A9659,""en"",""hy"")"),"Ո՞վ է Ճապոնիայի ներկայիս վարչապետը:")</f>
        <v>Ո՞վ է Ճապոնիայի ներկայիս վարչապետը:</v>
      </c>
      <c r="D9659" s="6" t="str">
        <f>IFERROR(__xludf.DUMMYFUNCTION("GOOGLETRANSLATE(B9659,""en"",""hy"")"),"Յոսիհիդե Շուգա.")</f>
        <v>Յոսիհիդե Շուգա.</v>
      </c>
    </row>
    <row r="9660">
      <c r="A9660" s="5" t="s">
        <v>7817</v>
      </c>
      <c r="B9660" s="5" t="s">
        <v>7818</v>
      </c>
      <c r="C9660" s="5" t="str">
        <f>IFERROR(__xludf.DUMMYFUNCTION("GOOGLETRANSLATE(A9660,""en"",""hy"")"),"Ո՞րն է Կանադայի ազգային կենդանին:")</f>
        <v>Ո՞րն է Կանադայի ազգային կենդանին:</v>
      </c>
      <c r="D9660" s="6" t="str">
        <f>IFERROR(__xludf.DUMMYFUNCTION("GOOGLETRANSLATE(B9660,""en"",""hy"")"),"Կանադայի ազգային կենդանին կեղևն է:")</f>
        <v>Կանադայի ազգային կենդանին կեղևն է:</v>
      </c>
    </row>
    <row r="9661">
      <c r="A9661" s="5" t="s">
        <v>7955</v>
      </c>
      <c r="B9661" s="5" t="s">
        <v>8759</v>
      </c>
      <c r="C9661" s="5" t="str">
        <f>IFERROR(__xludf.DUMMYFUNCTION("GOOGLETRANSLATE(A9661,""en"",""hy"")"),"Ո՞վ է հայտնաբերել գրավիտացիան:")</f>
        <v>Ո՞վ է հայտնաբերել գրավիտացիան:</v>
      </c>
      <c r="D9661" s="6" t="str">
        <f>IFERROR(__xludf.DUMMYFUNCTION("GOOGLETRANSLATE(B9661,""en"",""hy"")"),"Սըր Իսահակ Նյուտոն.")</f>
        <v>Սըր Իսահակ Նյուտոն.</v>
      </c>
    </row>
    <row r="9662">
      <c r="A9662" s="5" t="s">
        <v>8270</v>
      </c>
      <c r="B9662" s="5" t="s">
        <v>8271</v>
      </c>
      <c r="C9662" s="5" t="str">
        <f>IFERROR(__xludf.DUMMYFUNCTION("GOOGLETRANSLATE(A9662,""en"",""hy"")"),"Ո՞րն է Գերմանիայի պաշտոնական լեզուն:")</f>
        <v>Ո՞րն է Գերմանիայի պաշտոնական լեզուն:</v>
      </c>
      <c r="D9662" s="6" t="str">
        <f>IFERROR(__xludf.DUMMYFUNCTION("GOOGLETRANSLATE(B9662,""en"",""hy"")"),"Գերմանիայի պաշտոնական լեզուն գերմաներենն է։")</f>
        <v>Գերմանիայի պաշտոնական լեզուն գերմաներենն է։</v>
      </c>
    </row>
    <row r="9663">
      <c r="A9663" s="5" t="s">
        <v>8753</v>
      </c>
      <c r="B9663" s="5" t="s">
        <v>8754</v>
      </c>
      <c r="C9663" s="5" t="str">
        <f>IFERROR(__xludf.DUMMYFUNCTION("GOOGLETRANSLATE(A9663,""en"",""hy"")"),"Ո՞րն է Հյուսիսային Ամերիկայի ամենաբարձր լեռը:")</f>
        <v>Ո՞րն է Հյուսիսային Ամերիկայի ամենաբարձր լեռը:</v>
      </c>
      <c r="D9663" s="6" t="str">
        <f>IFERROR(__xludf.DUMMYFUNCTION("GOOGLETRANSLATE(B9663,""en"",""hy"")"),"Դենալի լեռ.")</f>
        <v>Դենալի լեռ.</v>
      </c>
    </row>
    <row r="9664">
      <c r="A9664" s="5" t="s">
        <v>7726</v>
      </c>
      <c r="B9664" s="5" t="s">
        <v>8107</v>
      </c>
      <c r="C9664" s="5" t="str">
        <f>IFERROR(__xludf.DUMMYFUNCTION("GOOGLETRANSLATE(A9664,""en"",""hy"")"),"Ո՞վ է գրել «Մակբեթ» պիեսը։")</f>
        <v>Ո՞վ է գրել «Մակբեթ» պիեսը։</v>
      </c>
      <c r="D9664" s="6" t="str">
        <f>IFERROR(__xludf.DUMMYFUNCTION("GOOGLETRANSLATE(B9664,""en"",""hy"")"),"Ուիլյամ Շեքսպիր")</f>
        <v>Ուիլյամ Շեքսպիր</v>
      </c>
    </row>
    <row r="9665">
      <c r="A9665" s="5" t="s">
        <v>10133</v>
      </c>
      <c r="B9665" s="5" t="s">
        <v>10134</v>
      </c>
      <c r="C9665" s="5" t="str">
        <f>IFERROR(__xludf.DUMMYFUNCTION("GOOGLETRANSLATE(A9665,""en"",""hy"")"),"Ո՞րն է սուշիի հիմնական բաղադրիչը:")</f>
        <v>Ո՞րն է սուշիի հիմնական բաղադրիչը:</v>
      </c>
      <c r="D9665" s="6" t="str">
        <f>IFERROR(__xludf.DUMMYFUNCTION("GOOGLETRANSLATE(B9665,""en"",""hy"")"),"Սուշիի հիմնական բաղադրիչը բրինձն է։")</f>
        <v>Սուշիի հիմնական բաղադրիչը բրինձն է։</v>
      </c>
    </row>
    <row r="9666">
      <c r="A9666" s="5" t="s">
        <v>7653</v>
      </c>
      <c r="B9666" s="5" t="s">
        <v>6011</v>
      </c>
      <c r="C9666" s="5" t="str">
        <f>IFERROR(__xludf.DUMMYFUNCTION("GOOGLETRANSLATE(A9666,""en"",""hy"")"),"Ո՞րն է Իսպանիայի մայրաքաղաքը:")</f>
        <v>Ո՞րն է Իսպանիայի մայրաքաղաքը:</v>
      </c>
      <c r="D9666" s="6" t="str">
        <f>IFERROR(__xludf.DUMMYFUNCTION("GOOGLETRANSLATE(B9666,""en"",""hy"")"),"Մադրիդ")</f>
        <v>Մադրիդ</v>
      </c>
    </row>
    <row r="9667">
      <c r="A9667" s="5" t="s">
        <v>7509</v>
      </c>
      <c r="B9667" s="5" t="s">
        <v>7510</v>
      </c>
      <c r="C9667" s="5" t="str">
        <f>IFERROR(__xludf.DUMMYFUNCTION("GOOGLETRANSLATE(A9667,""en"",""hy"")"),"Ո՞րն է արծաթի քիմիական նշանը:")</f>
        <v>Ո՞րն է արծաթի քիմիական նշանը:</v>
      </c>
      <c r="D9667" s="6" t="str">
        <f>IFERROR(__xludf.DUMMYFUNCTION("GOOGLETRANSLATE(B9667,""en"",""hy"")"),"Ագ")</f>
        <v>Ագ</v>
      </c>
    </row>
    <row r="9668">
      <c r="A9668" s="5" t="s">
        <v>7730</v>
      </c>
      <c r="B9668" s="5" t="s">
        <v>7906</v>
      </c>
      <c r="C9668" s="5" t="str">
        <f>IFERROR(__xludf.DUMMYFUNCTION("GOOGLETRANSLATE(A9668,""en"",""hy"")"),"Ո՞վ է «Նարնիայի քրոնիկները» գրքի հեղինակը։")</f>
        <v>Ո՞վ է «Նարնիայի քրոնիկները» գրքի հեղինակը։</v>
      </c>
      <c r="D9668" s="6" t="str">
        <f>IFERROR(__xludf.DUMMYFUNCTION("GOOGLETRANSLATE(B9668,""en"",""hy"")"),"C.S. Լյուիս.")</f>
        <v>C.S. Լյուիս.</v>
      </c>
    </row>
    <row r="9669">
      <c r="A9669" s="5" t="s">
        <v>7957</v>
      </c>
      <c r="B9669" s="5" t="s">
        <v>3700</v>
      </c>
      <c r="C9669" s="5" t="str">
        <f>IFERROR(__xludf.DUMMYFUNCTION("GOOGLETRANSLATE(A9669,""en"",""hy"")"),"Ո՞ր երկրում է գտնվում Մեծ պարիսպը:")</f>
        <v>Ո՞ր երկրում է գտնվում Մեծ պարիսպը:</v>
      </c>
      <c r="D9669" s="6" t="str">
        <f>IFERROR(__xludf.DUMMYFUNCTION("GOOGLETRANSLATE(B9669,""en"",""hy"")"),"Չինաստան")</f>
        <v>Չինաստան</v>
      </c>
    </row>
    <row r="9670">
      <c r="A9670" s="5" t="s">
        <v>7717</v>
      </c>
      <c r="B9670" s="5" t="s">
        <v>7609</v>
      </c>
      <c r="C9670" s="5" t="str">
        <f>IFERROR(__xludf.DUMMYFUNCTION("GOOGLETRANSLATE(A9670,""en"",""hy"")"),"Ո՞րն է Հնդկաստանի մայրաքաղաքը:")</f>
        <v>Ո՞րն է Հնդկաստանի մայրաքաղաքը:</v>
      </c>
      <c r="D9670" s="6" t="str">
        <f>IFERROR(__xludf.DUMMYFUNCTION("GOOGLETRANSLATE(B9670,""en"",""hy"")"),"Նյու Դելի.")</f>
        <v>Նյու Դելի.</v>
      </c>
    </row>
    <row r="9671">
      <c r="A9671" s="5" t="s">
        <v>7724</v>
      </c>
      <c r="B9671" s="5" t="s">
        <v>7725</v>
      </c>
      <c r="C9671" s="5" t="str">
        <f>IFERROR(__xludf.DUMMYFUNCTION("GOOGLETRANSLATE(A9671,""en"",""hy"")"),"Ո՞րն է աշխարհի ամենամեծ անտառը:")</f>
        <v>Ո՞րն է աշխարհի ամենամեծ անտառը:</v>
      </c>
      <c r="D9671" s="6" t="str">
        <f>IFERROR(__xludf.DUMMYFUNCTION("GOOGLETRANSLATE(B9671,""en"",""hy"")"),"Ամազոնի անձրևային անտառ.")</f>
        <v>Ամազոնի անձրևային անտառ.</v>
      </c>
    </row>
    <row r="9672">
      <c r="A9672" s="5" t="s">
        <v>7807</v>
      </c>
      <c r="B9672" s="5" t="s">
        <v>7808</v>
      </c>
      <c r="C9672" s="5" t="str">
        <f>IFERROR(__xludf.DUMMYFUNCTION("GOOGLETRANSLATE(A9672,""en"",""hy"")"),"Ո՞վ է հորինել տպագրական մեքենան:")</f>
        <v>Ո՞վ է հորինել տպագրական մեքենան:</v>
      </c>
      <c r="D9672" s="6" t="str">
        <f>IFERROR(__xludf.DUMMYFUNCTION("GOOGLETRANSLATE(B9672,""en"",""hy"")"),"Յոհաննես Գուտենբերգ.")</f>
        <v>Յոհաննես Գուտենբերգ.</v>
      </c>
    </row>
    <row r="9673">
      <c r="A9673" s="5" t="s">
        <v>8262</v>
      </c>
      <c r="B9673" s="5" t="s">
        <v>8837</v>
      </c>
      <c r="C9673" s="5" t="str">
        <f>IFERROR(__xludf.DUMMYFUNCTION("GOOGLETRANSLATE(A9673,""en"",""hy"")"),"Ո՞րն է Ճապոնիայի պաշտոնական լեզուն:")</f>
        <v>Ո՞րն է Ճապոնիայի պաշտոնական լեզուն:</v>
      </c>
      <c r="D9673" s="6" t="str">
        <f>IFERROR(__xludf.DUMMYFUNCTION("GOOGLETRANSLATE(B9673,""en"",""hy"")"),"Ճապոնիայի պաշտոնական լեզուն ճապոներենն է։")</f>
        <v>Ճապոնիայի պաշտոնական լեզուն ճապոներենն է։</v>
      </c>
    </row>
    <row r="9674">
      <c r="A9674" s="5" t="s">
        <v>8136</v>
      </c>
      <c r="B9674" s="5" t="s">
        <v>9061</v>
      </c>
      <c r="C9674" s="5" t="str">
        <f>IFERROR(__xludf.DUMMYFUNCTION("GOOGLETRANSLATE(A9674,""en"",""hy"")"),"Ո՞րն է Ֆրանսիայի ազգային ծաղիկը:")</f>
        <v>Ո՞րն է Ֆրանսիայի ազգային ծաղիկը:</v>
      </c>
      <c r="D9674" s="6" t="str">
        <f>IFERROR(__xludf.DUMMYFUNCTION("GOOGLETRANSLATE(B9674,""en"",""hy"")"),"Ֆրանսիայի ազգային ծաղիկը Շուշանն է։")</f>
        <v>Ֆրանսիայի ազգային ծաղիկը Շուշանն է։</v>
      </c>
    </row>
    <row r="9675">
      <c r="A9675" s="5" t="s">
        <v>10135</v>
      </c>
      <c r="B9675" s="5" t="s">
        <v>4457</v>
      </c>
      <c r="C9675" s="5" t="str">
        <f>IFERROR(__xludf.DUMMYFUNCTION("GOOGLETRANSLATE(A9675,""en"",""hy"")"),"Ո՞ր քաղաքն է ընդունել 2020 թվականի ամառային օլիմպիական խաղերը:")</f>
        <v>Ո՞ր քաղաքն է ընդունել 2020 թվականի ամառային օլիմպիական խաղերը:</v>
      </c>
      <c r="D9675" s="6" t="str">
        <f>IFERROR(__xludf.DUMMYFUNCTION("GOOGLETRANSLATE(B9675,""en"",""hy"")"),"Տոկիո, Ճապոնիա.")</f>
        <v>Տոկիո, Ճապոնիա.</v>
      </c>
    </row>
    <row r="9676">
      <c r="A9676" s="5" t="s">
        <v>10136</v>
      </c>
      <c r="B9676" s="5" t="s">
        <v>7956</v>
      </c>
      <c r="C9676" s="5" t="str">
        <f>IFERROR(__xludf.DUMMYFUNCTION("GOOGLETRANSLATE(A9676,""en"",""hy"")"),"Ո՞վ է գրավիտացիայի իր տեսությամբ հայտնի հայտնի գիտնականը:")</f>
        <v>Ո՞վ է գրավիտացիայի իր տեսությամբ հայտնի հայտնի գիտնականը:</v>
      </c>
      <c r="D9676" s="6" t="str">
        <f>IFERROR(__xludf.DUMMYFUNCTION("GOOGLETRANSLATE(B9676,""en"",""hy"")"),"Իսահակ Նյուտոն.")</f>
        <v>Իսահակ Նյուտոն.</v>
      </c>
    </row>
    <row r="9677">
      <c r="A9677" s="5" t="s">
        <v>7614</v>
      </c>
      <c r="B9677" s="5" t="s">
        <v>7721</v>
      </c>
      <c r="C9677" s="5" t="str">
        <f>IFERROR(__xludf.DUMMYFUNCTION("GOOGLETRANSLATE(A9677,""en"",""hy"")"),"Ո՞րն է Ֆրանսիայի արժույթը:")</f>
        <v>Ո՞րն է Ֆրանսիայի արժույթը:</v>
      </c>
      <c r="D9677" s="6" t="str">
        <f>IFERROR(__xludf.DUMMYFUNCTION("GOOGLETRANSLATE(B9677,""en"",""hy"")"),"Ֆրանսիայի արժույթը եվրոն է։")</f>
        <v>Ֆրանսիայի արժույթը եվրոն է։</v>
      </c>
    </row>
    <row r="9678">
      <c r="A9678" s="5" t="s">
        <v>9181</v>
      </c>
      <c r="B9678" s="5" t="s">
        <v>10137</v>
      </c>
      <c r="C9678" s="5" t="str">
        <f>IFERROR(__xludf.DUMMYFUNCTION("GOOGLETRANSLATE(A9678,""en"",""hy"")"),"Ո՞րն է Հյուսիսային Ամերիկայի ամենաբարձր ջրվեժը:")</f>
        <v>Ո՞րն է Հյուսիսային Ամերիկայի ամենաբարձր ջրվեժը:</v>
      </c>
      <c r="D9678" s="6" t="str">
        <f>IFERROR(__xludf.DUMMYFUNCTION("GOOGLETRANSLATE(B9678,""en"",""hy"")"),"Յոսեմիտի ջրվեժ")</f>
        <v>Յոսեմիտի ջրվեժ</v>
      </c>
    </row>
    <row r="9679">
      <c r="A9679" s="5" t="s">
        <v>8010</v>
      </c>
      <c r="B9679" s="5" t="s">
        <v>7578</v>
      </c>
      <c r="C9679" s="5" t="str">
        <f>IFERROR(__xludf.DUMMYFUNCTION("GOOGLETRANSLATE(A9679,""en"",""hy"")"),"Ո՞վ է գրել «Մոբի-Դիկ» վեպը:")</f>
        <v>Ո՞վ է գրել «Մոբի-Դիկ» վեպը:</v>
      </c>
      <c r="D9679" s="6" t="str">
        <f>IFERROR(__xludf.DUMMYFUNCTION("GOOGLETRANSLATE(B9679,""en"",""hy"")"),"Հերման Մելվիլ.")</f>
        <v>Հերման Մելվիլ.</v>
      </c>
    </row>
    <row r="9680">
      <c r="A9680" s="5" t="s">
        <v>8676</v>
      </c>
      <c r="B9680" s="5" t="s">
        <v>8677</v>
      </c>
      <c r="C9680" s="5" t="str">
        <f>IFERROR(__xludf.DUMMYFUNCTION("GOOGLETRANSLATE(A9680,""en"",""hy"")"),"Ո՞րն է շոկոլադի հիմնական բաղադրիչը:")</f>
        <v>Ո՞րն է շոկոլադի հիմնական բաղադրիչը:</v>
      </c>
      <c r="D9680" s="6" t="str">
        <f>IFERROR(__xludf.DUMMYFUNCTION("GOOGLETRANSLATE(B9680,""en"",""hy"")"),"Շոկոլադի հիմնական բաղադրիչը կակաոյի հատիկներն են։")</f>
        <v>Շոկոլադի հիմնական բաղադրիչը կակաոյի հատիկներն են։</v>
      </c>
    </row>
    <row r="9681">
      <c r="A9681" s="5" t="s">
        <v>7450</v>
      </c>
      <c r="B9681" s="5" t="s">
        <v>7451</v>
      </c>
      <c r="C9681" s="5" t="str">
        <f>IFERROR(__xludf.DUMMYFUNCTION("GOOGLETRANSLATE(A9681,""en"",""hy"")"),"Ո՞րն է Ավստրալիայի մայրաքաղաքը:")</f>
        <v>Ո՞րն է Ավստրալիայի մայրաքաղաքը:</v>
      </c>
      <c r="D9681" s="6" t="str">
        <f>IFERROR(__xludf.DUMMYFUNCTION("GOOGLETRANSLATE(B9681,""en"",""hy"")"),"Կանբերա.")</f>
        <v>Կանբերա.</v>
      </c>
    </row>
    <row r="9682">
      <c r="A9682" s="5" t="s">
        <v>7447</v>
      </c>
      <c r="B9682" s="5" t="s">
        <v>7448</v>
      </c>
      <c r="C9682" s="5" t="str">
        <f>IFERROR(__xludf.DUMMYFUNCTION("GOOGLETRANSLATE(A9682,""en"",""hy"")"),"Ո՞վ է նկարել Մոնա Լիզան:")</f>
        <v>Ո՞վ է նկարել Մոնա Լիզան:</v>
      </c>
      <c r="D9682" s="6" t="str">
        <f>IFERROR(__xludf.DUMMYFUNCTION("GOOGLETRANSLATE(B9682,""en"",""hy"")"),"Լեոնարդո դա Վինչի.")</f>
        <v>Լեոնարդո դա Վինչի.</v>
      </c>
    </row>
    <row r="9683">
      <c r="A9683" s="5" t="s">
        <v>7632</v>
      </c>
      <c r="B9683" s="5" t="s">
        <v>7912</v>
      </c>
      <c r="C9683" s="5" t="str">
        <f>IFERROR(__xludf.DUMMYFUNCTION("GOOGLETRANSLATE(A9683,""en"",""hy"")"),"Ո՞րն է մեր արեգակնային համակարգի ամենամեծ մոլորակը:")</f>
        <v>Ո՞րն է մեր արեգակնային համակարգի ամենամեծ մոլորակը:</v>
      </c>
      <c r="D9683" s="6" t="str">
        <f>IFERROR(__xludf.DUMMYFUNCTION("GOOGLETRANSLATE(B9683,""en"",""hy"")"),"Յուպիտեր")</f>
        <v>Յուպիտեր</v>
      </c>
    </row>
    <row r="9684">
      <c r="A9684" s="5" t="s">
        <v>7463</v>
      </c>
      <c r="B9684" s="5" t="s">
        <v>7464</v>
      </c>
      <c r="C9684" s="5" t="str">
        <f>IFERROR(__xludf.DUMMYFUNCTION("GOOGLETRANSLATE(A9684,""en"",""hy"")"),"Ո՞րն է աշխարհի ամենաբարձր լեռը:")</f>
        <v>Ո՞րն է աշխարհի ամենաբարձր լեռը:</v>
      </c>
      <c r="D9684" s="6" t="str">
        <f>IFERROR(__xludf.DUMMYFUNCTION("GOOGLETRANSLATE(B9684,""en"",""hy"")"),"Էվերեստ լեռ.")</f>
        <v>Էվերեստ լեռ.</v>
      </c>
    </row>
    <row r="9685">
      <c r="A9685" s="5" t="s">
        <v>9050</v>
      </c>
      <c r="B9685" s="5" t="s">
        <v>7486</v>
      </c>
      <c r="C9685" s="5" t="str">
        <f>IFERROR(__xludf.DUMMYFUNCTION("GOOGLETRANSLATE(A9685,""en"",""hy"")"),"Ո՞վ է գրել Հարի Փոթերի գրքերի շարքը:")</f>
        <v>Ո՞վ է գրել Հարի Փոթերի գրքերի շարքը:</v>
      </c>
      <c r="D9685" s="6" t="str">
        <f>IFERROR(__xludf.DUMMYFUNCTION("GOOGLETRANSLATE(B9685,""en"",""hy"")"),"Ջ.Կ. Ռոուլինգ.")</f>
        <v>Ջ.Կ. Ռոուլինգ.</v>
      </c>
    </row>
    <row r="9686">
      <c r="A9686" s="5" t="s">
        <v>8198</v>
      </c>
      <c r="B9686" s="5" t="s">
        <v>8199</v>
      </c>
      <c r="C9686" s="5" t="str">
        <f>IFERROR(__xludf.DUMMYFUNCTION("GOOGLETRANSLATE(A9686,""en"",""hy"")"),"Ո՞րն է Չինաստանի ազգային կենդանին:")</f>
        <v>Ո՞րն է Չինաստանի ազգային կենդանին:</v>
      </c>
      <c r="D9686" s="6" t="str">
        <f>IFERROR(__xludf.DUMMYFUNCTION("GOOGLETRANSLATE(B9686,""en"",""hy"")"),"Չինաստանի ազգային կենդանին հսկա պանդան է։")</f>
        <v>Չինաստանի ազգային կենդանին հսկա պանդան է։</v>
      </c>
    </row>
    <row r="9687">
      <c r="A9687" s="5" t="s">
        <v>8011</v>
      </c>
      <c r="B9687" s="7">
        <v>1945.0</v>
      </c>
      <c r="C9687" s="5" t="str">
        <f>IFERROR(__xludf.DUMMYFUNCTION("GOOGLETRANSLATE(A9687,""en"",""hy"")"),"Ո՞ր թվականին ավարտվեց Երկրորդ համաշխարհային պատերազմը:")</f>
        <v>Ո՞ր թվականին ավարտվեց Երկրորդ համաշխարհային պատերազմը:</v>
      </c>
      <c r="D9687" s="6" t="str">
        <f>IFERROR(__xludf.DUMMYFUNCTION("GOOGLETRANSLATE(B9687,""en"",""hy"")"),"1945 թ")</f>
        <v>1945 թ</v>
      </c>
    </row>
    <row r="9688">
      <c r="A9688" s="5" t="s">
        <v>7763</v>
      </c>
      <c r="B9688" s="5" t="s">
        <v>7505</v>
      </c>
      <c r="C9688" s="5" t="str">
        <f>IFERROR(__xludf.DUMMYFUNCTION("GOOGLETRANSLATE(A9688,""en"",""hy"")"),"Ո՞վ է Միացյալ Նահանգների ներկայիս նախագահը.")</f>
        <v>Ո՞վ է Միացյալ Նահանգների ներկայիս նախագահը.</v>
      </c>
      <c r="D9688" s="6" t="str">
        <f>IFERROR(__xludf.DUMMYFUNCTION("GOOGLETRANSLATE(B9688,""en"",""hy"")"),"Ջո Բայդեն.")</f>
        <v>Ջո Բայդեն.</v>
      </c>
    </row>
    <row r="9689">
      <c r="A9689" s="5" t="s">
        <v>7452</v>
      </c>
      <c r="B9689" s="5" t="s">
        <v>7453</v>
      </c>
      <c r="C9689" s="5" t="str">
        <f>IFERROR(__xludf.DUMMYFUNCTION("GOOGLETRANSLATE(A9689,""en"",""hy"")"),"Ո՞րն է ոսկու քիմիական նշանը:")</f>
        <v>Ո՞րն է ոսկու քիմիական նշանը:</v>
      </c>
      <c r="D9689" s="6" t="str">
        <f>IFERROR(__xludf.DUMMYFUNCTION("GOOGLETRANSLATE(B9689,""en"",""hy"")"),"Ոսկու քիմիական նշանը Au-ն է:")</f>
        <v>Ոսկու քիմիական նշանը Au-ն է:</v>
      </c>
    </row>
    <row r="9690">
      <c r="A9690" s="5" t="s">
        <v>7645</v>
      </c>
      <c r="B9690" s="5" t="s">
        <v>7646</v>
      </c>
      <c r="C9690" s="5" t="str">
        <f>IFERROR(__xludf.DUMMYFUNCTION("GOOGLETRANSLATE(A9690,""en"",""hy"")"),"Ո՞րն է Երկրի ամենամեծ օվկիանոսը:")</f>
        <v>Ո՞րն է Երկրի ամենամեծ օվկիանոսը:</v>
      </c>
      <c r="D9690" s="6" t="str">
        <f>IFERROR(__xludf.DUMMYFUNCTION("GOOGLETRANSLATE(B9690,""en"",""hy"")"),"Խաղաղ օվկիանոս.")</f>
        <v>Խաղաղ օվկիանոս.</v>
      </c>
    </row>
    <row r="9691">
      <c r="A9691" s="5" t="s">
        <v>8223</v>
      </c>
      <c r="B9691" s="5" t="s">
        <v>10138</v>
      </c>
      <c r="C9691" s="5" t="str">
        <f>IFERROR(__xludf.DUMMYFUNCTION("GOOGLETRANSLATE(A9691,""en"",""hy"")"),"Ո՞վ է հայտնաբերել էլեկտրաէներգիան:")</f>
        <v>Ո՞վ է հայտնաբերել էլեկտրաէներգիան:</v>
      </c>
      <c r="D9691" s="6" t="str">
        <f>IFERROR(__xludf.DUMMYFUNCTION("GOOGLETRANSLATE(B9691,""en"",""hy"")"),"Բենջամին Ֆրանկլինը հայտնաբերել է էլեկտրականություն.")</f>
        <v>Բենջամին Ֆրանկլինը հայտնաբերել է էլեկտրականություն.</v>
      </c>
    </row>
    <row r="9692">
      <c r="A9692" s="5" t="s">
        <v>9727</v>
      </c>
      <c r="B9692" s="5" t="s">
        <v>7921</v>
      </c>
      <c r="C9692" s="5" t="str">
        <f>IFERROR(__xludf.DUMMYFUNCTION("GOOGLETRANSLATE(A9692,""en"",""hy"")"),"Ո՞ր երկրում է գտնվում Թաջ Մահալը:")</f>
        <v>Ո՞ր երկրում է գտնվում Թաջ Մահալը:</v>
      </c>
      <c r="D9692" s="6" t="str">
        <f>IFERROR(__xludf.DUMMYFUNCTION("GOOGLETRANSLATE(B9692,""en"",""hy"")"),"Հնդկաստան.")</f>
        <v>Հնդկաստան.</v>
      </c>
    </row>
    <row r="9693">
      <c r="A9693" s="5" t="s">
        <v>7779</v>
      </c>
      <c r="B9693" s="5" t="s">
        <v>8590</v>
      </c>
      <c r="C9693" s="5" t="str">
        <f>IFERROR(__xludf.DUMMYFUNCTION("GOOGLETRANSLATE(A9693,""en"",""hy"")"),"Ո՞ր մոլորակն է հայտնի որպես «Կարմիր մոլորակ»:")</f>
        <v>Ո՞ր մոլորակն է հայտնի որպես «Կարմիր մոլորակ»:</v>
      </c>
      <c r="D9693" s="6" t="str">
        <f>IFERROR(__xludf.DUMMYFUNCTION("GOOGLETRANSLATE(B9693,""en"",""hy"")"),"Մարս")</f>
        <v>Մարս</v>
      </c>
    </row>
    <row r="9694">
      <c r="A9694" s="5" t="s">
        <v>8105</v>
      </c>
      <c r="B9694" s="5" t="s">
        <v>7635</v>
      </c>
      <c r="C9694" s="5" t="str">
        <f>IFERROR(__xludf.DUMMYFUNCTION("GOOGLETRANSLATE(A9694,""en"",""hy"")"),"Ո՞վ էր առաջին մարդը, ով քայլեց լուսնի վրա:")</f>
        <v>Ո՞վ էր առաջին մարդը, ով քայլեց լուսնի վրա:</v>
      </c>
      <c r="D9694" s="6" t="str">
        <f>IFERROR(__xludf.DUMMYFUNCTION("GOOGLETRANSLATE(B9694,""en"",""hy"")"),"Նիլ Արմսթրոնգ.")</f>
        <v>Նիլ Արմսթրոնգ.</v>
      </c>
    </row>
    <row r="9695">
      <c r="A9695" s="5" t="s">
        <v>7872</v>
      </c>
      <c r="B9695" s="5" t="s">
        <v>1307</v>
      </c>
      <c r="C9695" s="5" t="str">
        <f>IFERROR(__xludf.DUMMYFUNCTION("GOOGLETRANSLATE(A9695,""en"",""hy"")"),"Ո՞րն է Իսպանիայի մայրաքաղաքը:")</f>
        <v>Ո՞րն է Իսպանիայի մայրաքաղաքը:</v>
      </c>
      <c r="D9695" s="6" t="str">
        <f>IFERROR(__xludf.DUMMYFUNCTION("GOOGLETRANSLATE(B9695,""en"",""hy"")"),"Մադրիդ.")</f>
        <v>Մադրիդ.</v>
      </c>
    </row>
    <row r="9696">
      <c r="A9696" s="5" t="s">
        <v>8914</v>
      </c>
      <c r="B9696" s="5" t="s">
        <v>7576</v>
      </c>
      <c r="C9696" s="5" t="str">
        <f>IFERROR(__xludf.DUMMYFUNCTION("GOOGLETRANSLATE(A9696,""en"",""hy"")"),"Քանի՞ գույն կա ծիածանի մեջ:")</f>
        <v>Քանի՞ գույն կա ծիածանի մեջ:</v>
      </c>
      <c r="D9696" s="6" t="str">
        <f>IFERROR(__xludf.DUMMYFUNCTION("GOOGLETRANSLATE(B9696,""en"",""hy"")"),"Ծիածանի մեջ յոթ գույն կա:")</f>
        <v>Ծիածանի մեջ յոթ գույն կա:</v>
      </c>
    </row>
    <row r="9697">
      <c r="A9697" s="5" t="s">
        <v>7670</v>
      </c>
      <c r="B9697" s="5" t="s">
        <v>7767</v>
      </c>
      <c r="C9697" s="5" t="str">
        <f>IFERROR(__xludf.DUMMYFUNCTION("GOOGLETRANSLATE(A9697,""en"",""hy"")"),"Ո՞րն է աշխարհի ամենաերկար գետը:")</f>
        <v>Ո՞րն է աշխարհի ամենաերկար գետը:</v>
      </c>
      <c r="D9697" s="6" t="str">
        <f>IFERROR(__xludf.DUMMYFUNCTION("GOOGLETRANSLATE(B9697,""en"",""hy"")"),"Նեղոս.")</f>
        <v>Նեղոս.</v>
      </c>
    </row>
    <row r="9698">
      <c r="A9698" s="5" t="s">
        <v>8106</v>
      </c>
      <c r="B9698" s="5" t="s">
        <v>7916</v>
      </c>
      <c r="C9698" s="5" t="str">
        <f>IFERROR(__xludf.DUMMYFUNCTION("GOOGLETRANSLATE(A9698,""en"",""hy"")"),"Քանի՞ ոսկոր կա մարդու մարմնում:")</f>
        <v>Քանի՞ ոսկոր կա մարդու մարմնում:</v>
      </c>
      <c r="D9698" s="6" t="str">
        <f>IFERROR(__xludf.DUMMYFUNCTION("GOOGLETRANSLATE(B9698,""en"",""hy"")"),"Մարդու մարմնում կա 206 ոսկոր։")</f>
        <v>Մարդու մարմնում կա 206 ոսկոր։</v>
      </c>
    </row>
    <row r="9699">
      <c r="A9699" s="5" t="s">
        <v>8246</v>
      </c>
      <c r="B9699" s="5" t="s">
        <v>7492</v>
      </c>
      <c r="C9699" s="5" t="str">
        <f>IFERROR(__xludf.DUMMYFUNCTION("GOOGLETRANSLATE(A9699,""en"",""hy"")"),"Ո՞վ է նկարել հայտնի «Աստղային գիշերը» արվեստի գործը:")</f>
        <v>Ո՞վ է նկարել հայտնի «Աստղային գիշերը» արվեստի գործը:</v>
      </c>
      <c r="D9699" s="6" t="str">
        <f>IFERROR(__xludf.DUMMYFUNCTION("GOOGLETRANSLATE(B9699,""en"",""hy"")"),"Վինսենթ վան Գոգ")</f>
        <v>Վինսենթ վան Գոգ</v>
      </c>
    </row>
    <row r="9700">
      <c r="A9700" s="5" t="s">
        <v>8028</v>
      </c>
      <c r="B9700" s="5" t="s">
        <v>10139</v>
      </c>
      <c r="C9700" s="5" t="str">
        <f>IFERROR(__xludf.DUMMYFUNCTION("GOOGLETRANSLATE(A9700,""en"",""hy"")"),"Ո՞րն է Կանադայի ազգային սպորտը:")</f>
        <v>Ո՞րն է Կանադայի ազգային սպորտը:</v>
      </c>
      <c r="D9700" s="6" t="str">
        <f>IFERROR(__xludf.DUMMYFUNCTION("GOOGLETRANSLATE(B9700,""en"",""hy"")"),"Հոկեյ.")</f>
        <v>Հոկեյ.</v>
      </c>
    </row>
    <row r="9701">
      <c r="A9701" s="5" t="s">
        <v>7461</v>
      </c>
      <c r="B9701" s="5" t="s">
        <v>7639</v>
      </c>
      <c r="C9701" s="5" t="str">
        <f>IFERROR(__xludf.DUMMYFUNCTION("GOOGLETRANSLATE(A9701,""en"",""hy"")"),"Ո՞րն է մարդու մարմնի ամենամեծ օրգանը:")</f>
        <v>Ո՞րն է մարդու մարմնի ամենամեծ օրգանը:</v>
      </c>
      <c r="D9701" s="6" t="str">
        <f>IFERROR(__xludf.DUMMYFUNCTION("GOOGLETRANSLATE(B9701,""en"",""hy"")"),"Մարդու մարմնի ամենամեծ օրգանը մաշկն է։")</f>
        <v>Մարդու մարմնի ամենամեծ օրգանը մաշկն է։</v>
      </c>
    </row>
    <row r="9702">
      <c r="A9702" s="5" t="s">
        <v>8679</v>
      </c>
      <c r="B9702" s="5" t="s">
        <v>7541</v>
      </c>
      <c r="C9702" s="5" t="str">
        <f>IFERROR(__xludf.DUMMYFUNCTION("GOOGLETRANSLATE(A9702,""en"",""hy"")"),"Ո՞վ է «Սպանել ծաղրող թռչունին» գրքի հեղինակը.")</f>
        <v>Ո՞վ է «Սպանել ծաղրող թռչունին» գրքի հեղինակը.</v>
      </c>
      <c r="D9702" s="6" t="str">
        <f>IFERROR(__xludf.DUMMYFUNCTION("GOOGLETRANSLATE(B9702,""en"",""hy"")"),"Հարփեր Լի.")</f>
        <v>Հարփեր Լի.</v>
      </c>
    </row>
    <row r="9703">
      <c r="A9703" s="5" t="s">
        <v>7939</v>
      </c>
      <c r="B9703" s="5" t="s">
        <v>7940</v>
      </c>
      <c r="C9703" s="5" t="str">
        <f>IFERROR(__xludf.DUMMYFUNCTION("GOOGLETRANSLATE(A9703,""en"",""hy"")"),"Քանի՞ մայրցամաք կա աշխարհում:")</f>
        <v>Քանի՞ մայրցամաք կա աշխարհում:</v>
      </c>
      <c r="D9703" s="6" t="str">
        <f>IFERROR(__xludf.DUMMYFUNCTION("GOOGLETRANSLATE(B9703,""en"",""hy"")"),"Աշխարհում կան յոթ մայրցամաքներ։")</f>
        <v>Աշխարհում կան յոթ մայրցամաքներ։</v>
      </c>
    </row>
    <row r="9704">
      <c r="A9704" s="5" t="s">
        <v>7557</v>
      </c>
      <c r="B9704" s="5" t="s">
        <v>7558</v>
      </c>
      <c r="C9704" s="5" t="str">
        <f>IFERROR(__xludf.DUMMYFUNCTION("GOOGLETRANSLATE(A9704,""en"",""hy"")"),"Ո՞րն է երկաթի քիմիական նշանը:")</f>
        <v>Ո՞րն է երկաթի քիմիական նշանը:</v>
      </c>
      <c r="D9704" s="6" t="str">
        <f>IFERROR(__xludf.DUMMYFUNCTION("GOOGLETRANSLATE(B9704,""en"",""hy"")"),"Ֆե")</f>
        <v>Ֆե</v>
      </c>
    </row>
    <row r="9705">
      <c r="A9705" s="5" t="s">
        <v>8404</v>
      </c>
      <c r="B9705" s="5" t="s">
        <v>8258</v>
      </c>
      <c r="C9705" s="5" t="str">
        <f>IFERROR(__xludf.DUMMYFUNCTION("GOOGLETRANSLATE(A9705,""en"",""hy"")"),"Ո՞վ էր հունական ամպրոպի աստվածը:")</f>
        <v>Ո՞վ էր հունական ամպրոպի աստվածը:</v>
      </c>
      <c r="D9705" s="6" t="str">
        <f>IFERROR(__xludf.DUMMYFUNCTION("GOOGLETRANSLATE(B9705,""en"",""hy"")"),"Զևս")</f>
        <v>Զևս</v>
      </c>
    </row>
    <row r="9706">
      <c r="A9706" s="5" t="s">
        <v>8020</v>
      </c>
      <c r="B9706" s="5" t="s">
        <v>7961</v>
      </c>
      <c r="C9706" s="5" t="str">
        <f>IFERROR(__xludf.DUMMYFUNCTION("GOOGLETRANSLATE(A9706,""en"",""hy"")"),"Ո՞ր թվականին է խորտակվել Տիտանիկը:")</f>
        <v>Ո՞ր թվականին է խորտակվել Տիտանիկը:</v>
      </c>
      <c r="D9706" s="6" t="str">
        <f>IFERROR(__xludf.DUMMYFUNCTION("GOOGLETRANSLATE(B9706,""en"",""hy"")"),"Տիտանիկը խորտակվել է 1912 թվականին։")</f>
        <v>Տիտանիկը խորտակվել է 1912 թվականին։</v>
      </c>
    </row>
    <row r="9707">
      <c r="A9707" s="5" t="s">
        <v>7845</v>
      </c>
      <c r="B9707" s="5" t="s">
        <v>3533</v>
      </c>
      <c r="C9707" s="5" t="str">
        <f>IFERROR(__xludf.DUMMYFUNCTION("GOOGLETRANSLATE(A9707,""en"",""hy"")"),"Ո՞րն է Բրազիլիայի պաշտոնական լեզուն:")</f>
        <v>Ո՞րն է Բրազիլիայի պաշտոնական լեզուն:</v>
      </c>
      <c r="D9707" s="6" t="str">
        <f>IFERROR(__xludf.DUMMYFUNCTION("GOOGLETRANSLATE(B9707,""en"",""hy"")"),"Բրազիլիայի պաշտոնական լեզուն պորտուգալերենն է։")</f>
        <v>Բրազիլիայի պաշտոնական լեզուն պորտուգալերենն է։</v>
      </c>
    </row>
    <row r="9708">
      <c r="A9708" s="5" t="s">
        <v>7473</v>
      </c>
      <c r="B9708" s="5" t="s">
        <v>7474</v>
      </c>
      <c r="C9708" s="5" t="str">
        <f>IFERROR(__xludf.DUMMYFUNCTION("GOOGLETRANSLATE(A9708,""en"",""hy"")"),"Ո՞վ է նկարել Սիքստինյան կապելլայի առաստաղը:")</f>
        <v>Ո՞վ է նկարել Սիքստինյան կապելլայի առաստաղը:</v>
      </c>
      <c r="D9708" s="6" t="str">
        <f>IFERROR(__xludf.DUMMYFUNCTION("GOOGLETRANSLATE(B9708,""en"",""hy"")"),"Միքելանջելո.")</f>
        <v>Միքելանջելո.</v>
      </c>
    </row>
    <row r="9709">
      <c r="A9709" s="5" t="s">
        <v>7513</v>
      </c>
      <c r="B9709" s="5" t="s">
        <v>7783</v>
      </c>
      <c r="C9709" s="5" t="str">
        <f>IFERROR(__xludf.DUMMYFUNCTION("GOOGLETRANSLATE(A9709,""en"",""hy"")"),"Ո՞րն է աշխարհի ամենամեծ անապատը:")</f>
        <v>Ո՞րն է աշխարհի ամենամեծ անապատը:</v>
      </c>
      <c r="D9709" s="6" t="str">
        <f>IFERROR(__xludf.DUMMYFUNCTION("GOOGLETRANSLATE(B9709,""en"",""hy"")"),"Սահարա անապատ.")</f>
        <v>Սահարա անապատ.</v>
      </c>
    </row>
    <row r="9710">
      <c r="A9710" s="5" t="s">
        <v>7964</v>
      </c>
      <c r="B9710" s="5" t="s">
        <v>9423</v>
      </c>
      <c r="C9710" s="5" t="str">
        <f>IFERROR(__xludf.DUMMYFUNCTION("GOOGLETRANSLATE(A9710,""en"",""hy"")"),"Քանի՞ խաղացող կա բեյսբոլի թիմում:")</f>
        <v>Քանի՞ խաղացող կա բեյսբոլի թիմում:</v>
      </c>
      <c r="D9710" s="6" t="str">
        <f>IFERROR(__xludf.DUMMYFUNCTION("GOOGLETRANSLATE(B9710,""en"",""hy"")"),"Բեյսբոլի թիմում ինը խաղացող կա:")</f>
        <v>Բեյսբոլի թիմում ինը խաղացող կա:</v>
      </c>
    </row>
    <row r="9711">
      <c r="A9711" s="5" t="s">
        <v>7640</v>
      </c>
      <c r="B9711" s="5" t="s">
        <v>1016</v>
      </c>
      <c r="C9711" s="5" t="str">
        <f>IFERROR(__xludf.DUMMYFUNCTION("GOOGLETRANSLATE(A9711,""en"",""hy"")"),"Ո՞վ է գրել «Ռոմեո և Ջուլիետ» պիեսը:")</f>
        <v>Ո՞վ է գրել «Ռոմեո և Ջուլիետ» պիեսը:</v>
      </c>
      <c r="D9711" s="6" t="str">
        <f>IFERROR(__xludf.DUMMYFUNCTION("GOOGLETRANSLATE(B9711,""en"",""hy"")"),"Ուիլյամ Շեքսպիր.")</f>
        <v>Ուիլյամ Շեքսպիր.</v>
      </c>
    </row>
    <row r="9712">
      <c r="A9712" s="5" t="s">
        <v>7480</v>
      </c>
      <c r="B9712" s="5" t="s">
        <v>7481</v>
      </c>
      <c r="C9712" s="5" t="str">
        <f>IFERROR(__xludf.DUMMYFUNCTION("GOOGLETRANSLATE(A9712,""en"",""hy"")"),"Ո՞րն է Միացյալ Նահանգների ազգային թռչունը:")</f>
        <v>Ո՞րն է Միացյալ Նահանգների ազգային թռչունը:</v>
      </c>
      <c r="D9712" s="6" t="str">
        <f>IFERROR(__xludf.DUMMYFUNCTION("GOOGLETRANSLATE(B9712,""en"",""hy"")"),"Միացյալ Նահանգների ազգային թռչունը ճաղատ արծիվն է։")</f>
        <v>Միացյալ Նահանգների ազգային թռչունը ճաղատ արծիվն է։</v>
      </c>
    </row>
    <row r="9713">
      <c r="A9713" s="5" t="s">
        <v>7839</v>
      </c>
      <c r="B9713" s="5" t="s">
        <v>7753</v>
      </c>
      <c r="C9713" s="5" t="str">
        <f>IFERROR(__xludf.DUMMYFUNCTION("GOOGLETRANSLATE(A9713,""en"",""hy"")"),"Ո՞րն է Ճապոնիայի մայրաքաղաքը:")</f>
        <v>Ո՞րն է Ճապոնիայի մայրաքաղաքը:</v>
      </c>
      <c r="D9713" s="6" t="str">
        <f>IFERROR(__xludf.DUMMYFUNCTION("GOOGLETRANSLATE(B9713,""en"",""hy"")"),"Տոկիո.")</f>
        <v>Տոկիո.</v>
      </c>
    </row>
    <row r="9714">
      <c r="A9714" s="5" t="s">
        <v>7506</v>
      </c>
      <c r="B9714" s="5" t="s">
        <v>7507</v>
      </c>
      <c r="C9714" s="5" t="str">
        <f>IFERROR(__xludf.DUMMYFUNCTION("GOOGLETRANSLATE(A9714,""en"",""hy"")"),"Ո՞րն է աշխարհի ամենափոքր երկիրը:")</f>
        <v>Ո՞րն է աշխարհի ամենափոքր երկիրը:</v>
      </c>
      <c r="D9714" s="6" t="str">
        <f>IFERROR(__xludf.DUMMYFUNCTION("GOOGLETRANSLATE(B9714,""en"",""hy"")"),"Քաղաք Վատիկան.")</f>
        <v>Քաղաք Վատիկան.</v>
      </c>
    </row>
    <row r="9715">
      <c r="A9715" s="5" t="s">
        <v>10140</v>
      </c>
      <c r="B9715" s="5" t="s">
        <v>10141</v>
      </c>
      <c r="C9715" s="5" t="str">
        <f>IFERROR(__xludf.DUMMYFUNCTION("GOOGLETRANSLATE(A9715,""en"",""hy"")"),"Քանի՞ ամիս ունի 31 օր:")</f>
        <v>Քանի՞ ամիս ունի 31 օր:</v>
      </c>
      <c r="D9715" s="6" t="str">
        <f>IFERROR(__xludf.DUMMYFUNCTION("GOOGLETRANSLATE(B9715,""en"",""hy"")"),"Կան յոթ ամիս, որոնք ունեն 31 օր:")</f>
        <v>Կան յոթ ամիս, որոնք ունեն 31 օր:</v>
      </c>
    </row>
    <row r="9716">
      <c r="A9716" s="5" t="s">
        <v>7955</v>
      </c>
      <c r="B9716" s="5" t="s">
        <v>7956</v>
      </c>
      <c r="C9716" s="5" t="str">
        <f>IFERROR(__xludf.DUMMYFUNCTION("GOOGLETRANSLATE(A9716,""en"",""hy"")"),"Ո՞վ է հայտնաբերել գրավիտացիան:")</f>
        <v>Ո՞վ է հայտնաբերել գրավիտացիան:</v>
      </c>
      <c r="D9716" s="6" t="str">
        <f>IFERROR(__xludf.DUMMYFUNCTION("GOOGLETRANSLATE(B9716,""en"",""hy"")"),"Իսահակ Նյուտոն.")</f>
        <v>Իսահակ Նյուտոն.</v>
      </c>
    </row>
    <row r="9717">
      <c r="A9717" s="5" t="s">
        <v>7787</v>
      </c>
      <c r="B9717" s="5" t="s">
        <v>7788</v>
      </c>
      <c r="C9717" s="5" t="str">
        <f>IFERROR(__xludf.DUMMYFUNCTION("GOOGLETRANSLATE(A9717,""en"",""hy"")"),"Ո՞րն է շնաձկան ամենամեծ տեսակը:")</f>
        <v>Ո՞րն է շնաձկան ամենամեծ տեսակը:</v>
      </c>
      <c r="D9717" s="6" t="str">
        <f>IFERROR(__xludf.DUMMYFUNCTION("GOOGLETRANSLATE(B9717,""en"",""hy"")"),"Շնաձկների ամենամեծ տեսակը կետ շնաձուկն է։")</f>
        <v>Շնաձկների ամենամեծ տեսակը կետ շնաձուկն է։</v>
      </c>
    </row>
    <row r="9718">
      <c r="A9718" s="5" t="s">
        <v>9759</v>
      </c>
      <c r="B9718" s="5" t="s">
        <v>8794</v>
      </c>
      <c r="C9718" s="5" t="str">
        <f>IFERROR(__xludf.DUMMYFUNCTION("GOOGLETRANSLATE(A9718,""en"",""hy"")"),"Ո՞ր երկրում է հորինվել շախմատի խաղը:")</f>
        <v>Ո՞ր երկրում է հորինվել շախմատի խաղը:</v>
      </c>
      <c r="D9718" s="6" t="str">
        <f>IFERROR(__xludf.DUMMYFUNCTION("GOOGLETRANSLATE(B9718,""en"",""hy"")"),"Շախմատի խաղը հորինել են Հնդկաստանում։")</f>
        <v>Շախմատի խաղը հորինել են Հնդկաստանում։</v>
      </c>
    </row>
    <row r="9719">
      <c r="A9719" s="5" t="s">
        <v>7761</v>
      </c>
      <c r="B9719" s="5" t="s">
        <v>7762</v>
      </c>
      <c r="C9719" s="5" t="str">
        <f>IFERROR(__xludf.DUMMYFUNCTION("GOOGLETRANSLATE(A9719,""en"",""hy"")"),"Ո՞րն է ջրածնի քիմիական նշանը:")</f>
        <v>Ո՞րն է ջրածնի քիմիական նշանը:</v>
      </c>
      <c r="D9719" s="6" t="str">
        <f>IFERROR(__xludf.DUMMYFUNCTION("GOOGLETRANSLATE(B9719,""en"",""hy"")"),"Հ")</f>
        <v>Հ</v>
      </c>
    </row>
    <row r="9720">
      <c r="A9720" s="5" t="s">
        <v>7811</v>
      </c>
      <c r="B9720" s="5" t="s">
        <v>1996</v>
      </c>
      <c r="C9720" s="5" t="str">
        <f>IFERROR(__xludf.DUMMYFUNCTION("GOOGLETRANSLATE(A9720,""en"",""hy"")"),"Ո՞վ է Միացյալ Թագավորության ներկայիս վարչապետը:")</f>
        <v>Ո՞վ է Միացյալ Թագավորության ներկայիս վարչապետը:</v>
      </c>
      <c r="D9720" s="6" t="str">
        <f>IFERROR(__xludf.DUMMYFUNCTION("GOOGLETRANSLATE(B9720,""en"",""hy"")"),"Բորիս Ջոնսոն.")</f>
        <v>Բորիս Ջոնսոն.</v>
      </c>
    </row>
    <row r="9721">
      <c r="A9721" s="5" t="s">
        <v>7817</v>
      </c>
      <c r="B9721" s="5" t="s">
        <v>7818</v>
      </c>
      <c r="C9721" s="5" t="str">
        <f>IFERROR(__xludf.DUMMYFUNCTION("GOOGLETRANSLATE(A9721,""en"",""hy"")"),"Ո՞րն է Կանադայի ազգային կենդանին:")</f>
        <v>Ո՞րն է Կանադայի ազգային կենդանին:</v>
      </c>
      <c r="D9721" s="6" t="str">
        <f>IFERROR(__xludf.DUMMYFUNCTION("GOOGLETRANSLATE(B9721,""en"",""hy"")"),"Կանադայի ազգային կենդանին կեղևն է:")</f>
        <v>Կանադայի ազգային կենդանին կեղևն է:</v>
      </c>
    </row>
    <row r="9722">
      <c r="A9722" s="5" t="s">
        <v>8123</v>
      </c>
      <c r="B9722" s="5" t="s">
        <v>7448</v>
      </c>
      <c r="C9722" s="5" t="str">
        <f>IFERROR(__xludf.DUMMYFUNCTION("GOOGLETRANSLATE(A9722,""en"",""hy"")"),"Ո՞վ է նկարել հայտնի «Վերջին ընթրիքը» ստեղծագործությունը:")</f>
        <v>Ո՞վ է նկարել հայտնի «Վերջին ընթրիքը» ստեղծագործությունը:</v>
      </c>
      <c r="D9722" s="6" t="str">
        <f>IFERROR(__xludf.DUMMYFUNCTION("GOOGLETRANSLATE(B9722,""en"",""hy"")"),"Լեոնարդո դա Վինչի.")</f>
        <v>Լեոնարդո դա Վինչի.</v>
      </c>
    </row>
    <row r="9723">
      <c r="A9723" s="5" t="s">
        <v>7534</v>
      </c>
      <c r="B9723" s="5" t="s">
        <v>7535</v>
      </c>
      <c r="C9723" s="5" t="str">
        <f>IFERROR(__xludf.DUMMYFUNCTION("GOOGLETRANSLATE(A9723,""en"",""hy"")"),"Ո՞վ է հորինել հեռախոսը:")</f>
        <v>Ո՞վ է հորինել հեռախոսը:</v>
      </c>
      <c r="D9723" s="6" t="str">
        <f>IFERROR(__xludf.DUMMYFUNCTION("GOOGLETRANSLATE(B9723,""en"",""hy"")"),"Ալեքսանդր Գրեհեմ Բել.")</f>
        <v>Ալեքսանդր Գրեհեմ Բել.</v>
      </c>
    </row>
    <row r="9724">
      <c r="A9724" s="5" t="s">
        <v>10142</v>
      </c>
      <c r="B9724" s="5" t="s">
        <v>3535</v>
      </c>
      <c r="C9724" s="5" t="str">
        <f>IFERROR(__xludf.DUMMYFUNCTION("GOOGLETRANSLATE(A9724,""en"",""hy"")"),"Ո՞ր երկրում է գտնվում Մեծ արգելախութը:")</f>
        <v>Ո՞ր երկրում է գտնվում Մեծ արգելախութը:</v>
      </c>
      <c r="D9724" s="6" t="str">
        <f>IFERROR(__xludf.DUMMYFUNCTION("GOOGLETRANSLATE(B9724,""en"",""hy"")"),"Ավստրալիա.")</f>
        <v>Ավստրալիա.</v>
      </c>
    </row>
    <row r="9725">
      <c r="A9725" s="5" t="s">
        <v>10143</v>
      </c>
      <c r="B9725" s="5" t="s">
        <v>10144</v>
      </c>
      <c r="C9725" s="5" t="str">
        <f>IFERROR(__xludf.DUMMYFUNCTION("GOOGLETRANSLATE(A9725,""en"",""hy"")"),"Ո՞րն է Միացյալ Նահանգների ամենամեծ նահանգը:")</f>
        <v>Ո՞րն է Միացյալ Նահանգների ամենամեծ նահանգը:</v>
      </c>
      <c r="D9725" s="6" t="str">
        <f>IFERROR(__xludf.DUMMYFUNCTION("GOOGLETRANSLATE(B9725,""en"",""hy"")"),"Ալյասկա")</f>
        <v>Ալյասկա</v>
      </c>
    </row>
    <row r="9726">
      <c r="A9726" s="5" t="s">
        <v>7443</v>
      </c>
      <c r="B9726" s="5" t="s">
        <v>7444</v>
      </c>
      <c r="C9726" s="5" t="str">
        <f>IFERROR(__xludf.DUMMYFUNCTION("GOOGLETRANSLATE(A9726,""en"",""hy"")"),"Ո՞վ է գրել «1984» վեպը։")</f>
        <v>Ո՞վ է գրել «1984» վեպը։</v>
      </c>
      <c r="D9726" s="6" t="str">
        <f>IFERROR(__xludf.DUMMYFUNCTION("GOOGLETRANSLATE(B9726,""en"",""hy"")"),"Ջորջ Օրուել.")</f>
        <v>Ջորջ Օրուել.</v>
      </c>
    </row>
    <row r="9727">
      <c r="A9727" s="5" t="s">
        <v>8408</v>
      </c>
      <c r="B9727" s="5" t="s">
        <v>8409</v>
      </c>
      <c r="C9727" s="5" t="str">
        <f>IFERROR(__xludf.DUMMYFUNCTION("GOOGLETRANSLATE(A9727,""en"",""hy"")"),"Քանի՞ ոտք ունի սարդը:")</f>
        <v>Քանի՞ ոտք ունի սարդը:</v>
      </c>
      <c r="D9727" s="6" t="str">
        <f>IFERROR(__xludf.DUMMYFUNCTION("GOOGLETRANSLATE(B9727,""en"",""hy"")"),"Սարդն ունի ութ ոտք:")</f>
        <v>Սարդն ունի ութ ոտք:</v>
      </c>
    </row>
    <row r="9728">
      <c r="A9728" s="5" t="s">
        <v>8609</v>
      </c>
      <c r="B9728" s="5" t="s">
        <v>8899</v>
      </c>
      <c r="C9728" s="5" t="str">
        <f>IFERROR(__xludf.DUMMYFUNCTION("GOOGLETRANSLATE(A9728,""en"",""hy"")"),"Ո՞րն է Հնդկաստանի ազգային սպորտը:")</f>
        <v>Ո՞րն է Հնդկաստանի ազգային սպորտը:</v>
      </c>
      <c r="D9728" s="6" t="str">
        <f>IFERROR(__xludf.DUMMYFUNCTION("GOOGLETRANSLATE(B9728,""en"",""hy"")"),"Հնդկաստանի ազգային սպորտը խոտի հոկեյն է։")</f>
        <v>Հնդկաստանի ազգային սպորտը խոտի հոկեյն է։</v>
      </c>
    </row>
    <row r="9729">
      <c r="A9729" s="5" t="s">
        <v>7589</v>
      </c>
      <c r="B9729" s="5" t="s">
        <v>7545</v>
      </c>
      <c r="C9729" s="5" t="str">
        <f>IFERROR(__xludf.DUMMYFUNCTION("GOOGLETRANSLATE(A9729,""en"",""hy"")"),"Ո՞րն է Իտալիայի մայրաքաղաքը:")</f>
        <v>Ո՞րն է Իտալիայի մայրաքաղաքը:</v>
      </c>
      <c r="D9729" s="6" t="str">
        <f>IFERROR(__xludf.DUMMYFUNCTION("GOOGLETRANSLATE(B9729,""en"",""hy"")"),"Հռոմ.")</f>
        <v>Հռոմ.</v>
      </c>
    </row>
    <row r="9730">
      <c r="A9730" s="5" t="s">
        <v>7966</v>
      </c>
      <c r="B9730" s="5" t="s">
        <v>7967</v>
      </c>
      <c r="C9730" s="5" t="str">
        <f>IFERROR(__xludf.DUMMYFUNCTION("GOOGLETRANSLATE(A9730,""en"",""hy"")"),"Ո՞վ է եղել առաջին կինը, ով Նոբելյան մրցանակ է ստացել:")</f>
        <v>Ո՞վ է եղել առաջին կինը, ով Նոբելյան մրցանակ է ստացել:</v>
      </c>
      <c r="D9730" s="6" t="str">
        <f>IFERROR(__xludf.DUMMYFUNCTION("GOOGLETRANSLATE(B9730,""en"",""hy"")"),"Մարի Կյուրի.")</f>
        <v>Մարի Կյուրի.</v>
      </c>
    </row>
    <row r="9731">
      <c r="A9731" s="5" t="s">
        <v>7592</v>
      </c>
      <c r="B9731" s="5" t="s">
        <v>8257</v>
      </c>
      <c r="C9731" s="5" t="str">
        <f>IFERROR(__xludf.DUMMYFUNCTION("GOOGLETRANSLATE(A9731,""en"",""hy"")"),"Ո՞րն է թթվածնի քիմիական նշանը:")</f>
        <v>Ո՞րն է թթվածնի քիմիական նշանը:</v>
      </c>
      <c r="D9731" s="6" t="str">
        <f>IFERROR(__xludf.DUMMYFUNCTION("GOOGLETRANSLATE(B9731,""en"",""hy"")"),"Օ")</f>
        <v>Օ</v>
      </c>
    </row>
    <row r="9732">
      <c r="A9732" s="5" t="s">
        <v>7744</v>
      </c>
      <c r="B9732" s="5" t="s">
        <v>8043</v>
      </c>
      <c r="C9732" s="5" t="str">
        <f>IFERROR(__xludf.DUMMYFUNCTION("GOOGLETRANSLATE(A9732,""en"",""hy"")"),"Ո՞վ է նկարել հայտնի «Հիշողության համառությունը» ստեղծագործությունը:")</f>
        <v>Ո՞վ է նկարել հայտնի «Հիշողության համառությունը» ստեղծագործությունը:</v>
      </c>
      <c r="D9732" s="6" t="str">
        <f>IFERROR(__xludf.DUMMYFUNCTION("GOOGLETRANSLATE(B9732,""en"",""hy"")"),"Սալվադոր Դալի.")</f>
        <v>Սալվադոր Դալի.</v>
      </c>
    </row>
    <row r="9733">
      <c r="A9733" s="5" t="s">
        <v>7746</v>
      </c>
      <c r="B9733" s="5" t="s">
        <v>10145</v>
      </c>
      <c r="C9733" s="5" t="str">
        <f>IFERROR(__xludf.DUMMYFUNCTION("GOOGLETRANSLATE(A9733,""en"",""hy"")"),"Ո՞րն է Աֆրիկայի ամենամեծ երկիրը:")</f>
        <v>Ո՞րն է Աֆրիկայի ամենամեծ երկիրը:</v>
      </c>
      <c r="D9733" s="6" t="str">
        <f>IFERROR(__xludf.DUMMYFUNCTION("GOOGLETRANSLATE(B9733,""en"",""hy"")"),"Ալժիր")</f>
        <v>Ալժիր</v>
      </c>
    </row>
    <row r="9734">
      <c r="A9734" s="5" t="s">
        <v>7683</v>
      </c>
      <c r="B9734" s="5" t="s">
        <v>8107</v>
      </c>
      <c r="C9734" s="5" t="str">
        <f>IFERROR(__xludf.DUMMYFUNCTION("GOOGLETRANSLATE(A9734,""en"",""hy"")"),"Ո՞վ է գրել «Համլետ» պիեսը։")</f>
        <v>Ո՞վ է գրել «Համլետ» պիեսը։</v>
      </c>
      <c r="D9734" s="6" t="str">
        <f>IFERROR(__xludf.DUMMYFUNCTION("GOOGLETRANSLATE(B9734,""en"",""hy"")"),"Ուիլյամ Շեքսպիր")</f>
        <v>Ուիլյամ Շեքսպիր</v>
      </c>
    </row>
    <row r="9735">
      <c r="A9735" s="5" t="s">
        <v>8804</v>
      </c>
      <c r="B9735" s="5" t="s">
        <v>7527</v>
      </c>
      <c r="C9735" s="5" t="str">
        <f>IFERROR(__xludf.DUMMYFUNCTION("GOOGLETRANSLATE(A9735,""en"",""hy"")"),"Ո՞րն է աշխարհի ամենամեծ կղզին:")</f>
        <v>Ո՞րն է աշխարհի ամենամեծ կղզին:</v>
      </c>
      <c r="D9735" s="6" t="str">
        <f>IFERROR(__xludf.DUMMYFUNCTION("GOOGLETRANSLATE(B9735,""en"",""hy"")"),"Գրենլանդիա.")</f>
        <v>Գրենլանդիա.</v>
      </c>
    </row>
    <row r="9736">
      <c r="A9736" s="5" t="s">
        <v>7969</v>
      </c>
      <c r="B9736" s="5" t="s">
        <v>7970</v>
      </c>
      <c r="C9736" s="5" t="str">
        <f>IFERROR(__xludf.DUMMYFUNCTION("GOOGLETRANSLATE(A9736,""en"",""hy"")"),"Քանի՞ ոսկոր կա մարդու գանգում:")</f>
        <v>Քանի՞ ոսկոր կա մարդու գանգում:</v>
      </c>
      <c r="D9736" s="6" t="str">
        <f>IFERROR(__xludf.DUMMYFUNCTION("GOOGLETRANSLATE(B9736,""en"",""hy"")"),"Մարդու գանգում կա 22 ոսկոր։")</f>
        <v>Մարդու գանգում կա 22 ոսկոր։</v>
      </c>
    </row>
    <row r="9737">
      <c r="A9737" s="5" t="s">
        <v>8314</v>
      </c>
      <c r="B9737" s="5" t="s">
        <v>8315</v>
      </c>
      <c r="C9737" s="5" t="str">
        <f>IFERROR(__xludf.DUMMYFUNCTION("GOOGLETRANSLATE(A9737,""en"",""hy"")"),"Ո՞ր տարում ավարտվեց Սառը պատերազմը:")</f>
        <v>Ո՞ր տարում ավարտվեց Սառը պատերազմը:</v>
      </c>
      <c r="D9737" s="6" t="str">
        <f>IFERROR(__xludf.DUMMYFUNCTION("GOOGLETRANSLATE(B9737,""en"",""hy"")"),"Սառը պատերազմն ավարտվեց 1991թ.")</f>
        <v>Սառը պատերազմն ավարտվեց 1991թ.</v>
      </c>
    </row>
    <row r="9738">
      <c r="A9738" s="5" t="s">
        <v>8025</v>
      </c>
      <c r="B9738" s="5" t="s">
        <v>8595</v>
      </c>
      <c r="C9738" s="5" t="str">
        <f>IFERROR(__xludf.DUMMYFUNCTION("GOOGLETRANSLATE(A9738,""en"",""hy"")"),"Ո՞րն է Չինաստանի պաշտոնական լեզուն:")</f>
        <v>Ո՞րն է Չինաստանի պաշտոնական լեզուն:</v>
      </c>
      <c r="D9738" s="6" t="str">
        <f>IFERROR(__xludf.DUMMYFUNCTION("GOOGLETRANSLATE(B9738,""en"",""hy"")"),"Չինաստանի պաշտոնական լեզուն մանդարինն է։")</f>
        <v>Չինաստանի պաշտոնական լեզուն մանդարինն է։</v>
      </c>
    </row>
    <row r="9739">
      <c r="A9739" s="5" t="s">
        <v>8264</v>
      </c>
      <c r="B9739" s="5" t="s">
        <v>7621</v>
      </c>
      <c r="C9739" s="5" t="str">
        <f>IFERROR(__xludf.DUMMYFUNCTION("GOOGLETRANSLATE(A9739,""en"",""hy"")"),"Ո՞վ է նկարել հայտնի «Վեներայի ծնունդը» ստեղծագործությունը:")</f>
        <v>Ո՞վ է նկարել հայտնի «Վեներայի ծնունդը» ստեղծագործությունը:</v>
      </c>
      <c r="D9739" s="6" t="str">
        <f>IFERROR(__xludf.DUMMYFUNCTION("GOOGLETRANSLATE(B9739,""en"",""hy"")"),"Սանդրո Բոտիչելի.")</f>
        <v>Սանդրո Բոտիչելի.</v>
      </c>
    </row>
    <row r="9740">
      <c r="A9740" s="5" t="s">
        <v>7568</v>
      </c>
      <c r="B9740" s="5" t="s">
        <v>7569</v>
      </c>
      <c r="C9740" s="5" t="str">
        <f>IFERROR(__xludf.DUMMYFUNCTION("GOOGLETRANSLATE(A9740,""en"",""hy"")"),"Ո՞րն է Ավստրալիայի ազգային թռչունը:")</f>
        <v>Ո՞րն է Ավստրալիայի ազգային թռչունը:</v>
      </c>
      <c r="D9740" s="6" t="str">
        <f>IFERROR(__xludf.DUMMYFUNCTION("GOOGLETRANSLATE(B9740,""en"",""hy"")"),"Ավստրալիայի ազգային թռչունը էմուն է:")</f>
        <v>Ավստրալիայի ազգային թռչունը էմուն է:</v>
      </c>
    </row>
    <row r="9741">
      <c r="A9741" s="5" t="s">
        <v>7500</v>
      </c>
      <c r="B9741" s="5" t="s">
        <v>7501</v>
      </c>
      <c r="C9741" s="5" t="str">
        <f>IFERROR(__xludf.DUMMYFUNCTION("GOOGLETRANSLATE(A9741,""en"",""hy"")"),"Ո՞րն է Ֆրանսիայի մայրաքաղաքը:")</f>
        <v>Ո՞րն է Ֆրանսիայի մայրաքաղաքը:</v>
      </c>
      <c r="D9741" s="6" t="str">
        <f>IFERROR(__xludf.DUMMYFUNCTION("GOOGLETRANSLATE(B9741,""en"",""hy"")"),"Փարիզ.")</f>
        <v>Փարիզ.</v>
      </c>
    </row>
    <row r="9742">
      <c r="A9742" s="5" t="s">
        <v>10146</v>
      </c>
      <c r="B9742" s="5" t="s">
        <v>7529</v>
      </c>
      <c r="C9742" s="5" t="str">
        <f>IFERROR(__xludf.DUMMYFUNCTION("GOOGLETRANSLATE(A9742,""en"",""hy"")"),"Ո՞վ է Գերմանիայի ներկայիս կանցլերը.")</f>
        <v>Ո՞վ է Գերմանիայի ներկայիս կանցլերը.</v>
      </c>
      <c r="D9742" s="6" t="str">
        <f>IFERROR(__xludf.DUMMYFUNCTION("GOOGLETRANSLATE(B9742,""en"",""hy"")"),"Անգելա Մերկել.")</f>
        <v>Անգելա Մերկել.</v>
      </c>
    </row>
    <row r="9743">
      <c r="A9743" s="5" t="s">
        <v>7699</v>
      </c>
      <c r="B9743" s="5" t="s">
        <v>7700</v>
      </c>
      <c r="C9743" s="5" t="str">
        <f>IFERROR(__xludf.DUMMYFUNCTION("GOOGLETRANSLATE(A9743,""en"",""hy"")"),"Ո՞րն է ածխածնի քիմիական նշանը:")</f>
        <v>Ո՞րն է ածխածնի քիմիական նշանը:</v>
      </c>
      <c r="D9743" s="6" t="str">
        <f>IFERROR(__xludf.DUMMYFUNCTION("GOOGLETRANSLATE(B9743,""en"",""hy"")"),"Ածխածնի քիմիական նշանը C է:")</f>
        <v>Ածխածնի քիմիական նշանը C է:</v>
      </c>
    </row>
    <row r="9744">
      <c r="A9744" s="5" t="s">
        <v>7773</v>
      </c>
      <c r="B9744" s="5" t="s">
        <v>8253</v>
      </c>
      <c r="C9744" s="5" t="str">
        <f>IFERROR(__xludf.DUMMYFUNCTION("GOOGLETRANSLATE(A9744,""en"",""hy"")"),"Ո՞վ է հայտնաբերել պենիցիլինը:")</f>
        <v>Ո՞վ է հայտնաբերել պենիցիլինը:</v>
      </c>
      <c r="D9744" s="6" t="str">
        <f>IFERROR(__xludf.DUMMYFUNCTION("GOOGLETRANSLATE(B9744,""en"",""hy"")"),"Ալեքսանդր Ֆլեմինգ.")</f>
        <v>Ալեքսանդր Ֆլեմինգ.</v>
      </c>
    </row>
    <row r="9745">
      <c r="A9745" s="5" t="s">
        <v>9958</v>
      </c>
      <c r="B9745" s="5" t="s">
        <v>7972</v>
      </c>
      <c r="C9745" s="5" t="str">
        <f>IFERROR(__xludf.DUMMYFUNCTION("GOOGLETRANSLATE(A9745,""en"",""hy"")"),"Ո՞ր երկրում է գտնվում Էյֆելյան աշտարակը:")</f>
        <v>Ո՞ր երկրում է գտնվում Էյֆելյան աշտարակը:</v>
      </c>
      <c r="D9745" s="6" t="str">
        <f>IFERROR(__xludf.DUMMYFUNCTION("GOOGLETRANSLATE(B9745,""en"",""hy"")"),"Ֆրանսիա.")</f>
        <v>Ֆրանսիա.</v>
      </c>
    </row>
    <row r="9746">
      <c r="A9746" s="5" t="s">
        <v>8172</v>
      </c>
      <c r="B9746" s="5" t="s">
        <v>7733</v>
      </c>
      <c r="C9746" s="5" t="str">
        <f>IFERROR(__xludf.DUMMYFUNCTION("GOOGLETRANSLATE(A9746,""en"",""hy"")"),"Ո՞րն է աշխարհի ամենաբարձր ջրվեժը:")</f>
        <v>Ո՞րն է աշխարհի ամենաբարձր ջրվեժը:</v>
      </c>
      <c r="D9746" s="6" t="str">
        <f>IFERROR(__xludf.DUMMYFUNCTION("GOOGLETRANSLATE(B9746,""en"",""hy"")"),"Angel Falls.")</f>
        <v>Angel Falls.</v>
      </c>
    </row>
    <row r="9747">
      <c r="A9747" s="5" t="s">
        <v>8099</v>
      </c>
      <c r="B9747" s="5" t="s">
        <v>8579</v>
      </c>
      <c r="C9747" s="5" t="str">
        <f>IFERROR(__xludf.DUMMYFUNCTION("GOOGLETRANSLATE(A9747,""en"",""hy"")"),"Քանի՞ մոլորակ կա մեր արեգակնային համակարգում:")</f>
        <v>Քանի՞ մոլորակ կա մեր արեգակնային համակարգում:</v>
      </c>
      <c r="D9747" s="6" t="str">
        <f>IFERROR(__xludf.DUMMYFUNCTION("GOOGLETRANSLATE(B9747,""en"",""hy"")"),"Մեր Արեգակնային համակարգում կա 8 մոլորակ։")</f>
        <v>Մեր Արեգակնային համակարգում կա 8 մոլորակ։</v>
      </c>
    </row>
    <row r="9748">
      <c r="A9748" s="5" t="s">
        <v>7698</v>
      </c>
      <c r="B9748" s="5" t="s">
        <v>7630</v>
      </c>
      <c r="C9748" s="5" t="str">
        <f>IFERROR(__xludf.DUMMYFUNCTION("GOOGLETRANSLATE(A9748,""en"",""hy"")"),"Ո՞վ է գրել «Հպարտություն և նախապաշարմունք» վեպը:")</f>
        <v>Ո՞վ է գրել «Հպարտություն և նախապաշարմունք» վեպը:</v>
      </c>
      <c r="D9748" s="6" t="str">
        <f>IFERROR(__xludf.DUMMYFUNCTION("GOOGLETRANSLATE(B9748,""en"",""hy"")"),"Ջեյն Օսթին.")</f>
        <v>Ջեյն Օսթին.</v>
      </c>
    </row>
    <row r="9749">
      <c r="A9749" s="5" t="s">
        <v>8161</v>
      </c>
      <c r="B9749" s="5" t="s">
        <v>8162</v>
      </c>
      <c r="C9749" s="5" t="str">
        <f>IFERROR(__xludf.DUMMYFUNCTION("GOOGLETRANSLATE(A9749,""en"",""hy"")"),"Ո՞րն է Ճապոնիայի ազգային ծաղիկը:")</f>
        <v>Ո՞րն է Ճապոնիայի ազգային ծաղիկը:</v>
      </c>
      <c r="D9749" s="6" t="str">
        <f>IFERROR(__xludf.DUMMYFUNCTION("GOOGLETRANSLATE(B9749,""en"",""hy"")"),"Ճապոնիայի ազգային ծաղիկը բալի ծաղիկն է:")</f>
        <v>Ճապոնիայի ազգային ծաղիկը բալի ծաղիկն է:</v>
      </c>
    </row>
    <row r="9750">
      <c r="A9750" s="5" t="s">
        <v>7780</v>
      </c>
      <c r="B9750" s="5" t="s">
        <v>2951</v>
      </c>
      <c r="C9750" s="5" t="str">
        <f>IFERROR(__xludf.DUMMYFUNCTION("GOOGLETRANSLATE(A9750,""en"",""hy"")"),"Ո՞րն է Կանադայի մայրաքաղաքը:")</f>
        <v>Ո՞րն է Կանադայի մայրաքաղաքը:</v>
      </c>
      <c r="D9750" s="6" t="str">
        <f>IFERROR(__xludf.DUMMYFUNCTION("GOOGLETRANSLATE(B9750,""en"",""hy"")"),"Օտտավա.")</f>
        <v>Օտտավա.</v>
      </c>
    </row>
    <row r="9751">
      <c r="A9751" s="5" t="s">
        <v>8310</v>
      </c>
      <c r="B9751" s="5" t="s">
        <v>7585</v>
      </c>
      <c r="C9751" s="5" t="str">
        <f>IFERROR(__xludf.DUMMYFUNCTION("GOOGLETRANSLATE(A9751,""en"",""hy"")"),"Ո՞վ է նկարել հայտնի «Ճիչ»-ը:")</f>
        <v>Ո՞վ է նկարել հայտնի «Ճիչ»-ը:</v>
      </c>
      <c r="D9751" s="6" t="str">
        <f>IFERROR(__xludf.DUMMYFUNCTION("GOOGLETRANSLATE(B9751,""en"",""hy"")"),"Էդվարդ Մունկ.")</f>
        <v>Էդվարդ Մունկ.</v>
      </c>
    </row>
    <row r="9752">
      <c r="A9752" s="5" t="s">
        <v>7711</v>
      </c>
      <c r="B9752" s="5" t="s">
        <v>7712</v>
      </c>
      <c r="C9752" s="5" t="str">
        <f>IFERROR(__xludf.DUMMYFUNCTION("GOOGLETRANSLATE(A9752,""en"",""hy"")"),"Ո՞րն է Միացյալ Նահանգների ամենամեծ քաղաքը:")</f>
        <v>Ո՞րն է Միացյալ Նահանգների ամենամեծ քաղաքը:</v>
      </c>
      <c r="D9752" s="6" t="str">
        <f>IFERROR(__xludf.DUMMYFUNCTION("GOOGLETRANSLATE(B9752,""en"",""hy"")"),"Նյու Յորք քաղաք.")</f>
        <v>Նյու Յորք քաղաք.</v>
      </c>
    </row>
    <row r="9753">
      <c r="A9753" s="5" t="s">
        <v>7927</v>
      </c>
      <c r="B9753" s="5" t="s">
        <v>7928</v>
      </c>
      <c r="C9753" s="5" t="str">
        <f>IFERROR(__xludf.DUMMYFUNCTION("GOOGLETRANSLATE(A9753,""en"",""hy"")"),"Քանի՞ խաղացող կա բասկետբոլի թիմում:")</f>
        <v>Քանի՞ խաղացող կա բասկետբոլի թիմում:</v>
      </c>
      <c r="D9753" s="6" t="str">
        <f>IFERROR(__xludf.DUMMYFUNCTION("GOOGLETRANSLATE(B9753,""en"",""hy"")"),"Բասկետբոլի թիմում հինգ խաղացող կա:")</f>
        <v>Բասկետբոլի թիմում հինգ խաղացող կա:</v>
      </c>
    </row>
    <row r="9754">
      <c r="A9754" s="5" t="s">
        <v>8055</v>
      </c>
      <c r="B9754" s="5" t="s">
        <v>9298</v>
      </c>
      <c r="C9754" s="5" t="str">
        <f>IFERROR(__xludf.DUMMYFUNCTION("GOOGLETRANSLATE(A9754,""en"",""hy"")"),"Ո՞րն է Ճապոնիայի ազգային սպորտը:")</f>
        <v>Ո՞րն է Ճապոնիայի ազգային սպորտը:</v>
      </c>
      <c r="D9754" s="6" t="str">
        <f>IFERROR(__xludf.DUMMYFUNCTION("GOOGLETRANSLATE(B9754,""en"",""hy"")"),"Ճապոնիայի ազգային սպորտը սումոն է։")</f>
        <v>Ճապոնիայի ազգային սպորտը սումոն է։</v>
      </c>
    </row>
    <row r="9755">
      <c r="A9755" s="5" t="s">
        <v>7509</v>
      </c>
      <c r="B9755" s="5" t="s">
        <v>7684</v>
      </c>
      <c r="C9755" s="5" t="str">
        <f>IFERROR(__xludf.DUMMYFUNCTION("GOOGLETRANSLATE(A9755,""en"",""hy"")"),"Ո՞րն է արծաթի քիմիական նշանը:")</f>
        <v>Ո՞րն է արծաթի քիմիական նշանը:</v>
      </c>
      <c r="D9755" s="6" t="str">
        <f>IFERROR(__xludf.DUMMYFUNCTION("GOOGLETRANSLATE(B9755,""en"",""hy"")"),"Արծաթի քիմիական խորհրդանիշն է Ag.")</f>
        <v>Արծաթի քիմիական խորհրդանիշն է Ag.</v>
      </c>
    </row>
    <row r="9756">
      <c r="A9756" s="5" t="s">
        <v>7919</v>
      </c>
      <c r="B9756" s="5" t="s">
        <v>7556</v>
      </c>
      <c r="C9756" s="5" t="str">
        <f>IFERROR(__xludf.DUMMYFUNCTION("GOOGLETRANSLATE(A9756,""en"",""hy"")"),"Ո՞վ է հայտնաբերել հարաբերականության տեսությունը:")</f>
        <v>Ո՞վ է հայտնաբերել հարաբերականության տեսությունը:</v>
      </c>
      <c r="D9756" s="6" t="str">
        <f>IFERROR(__xludf.DUMMYFUNCTION("GOOGLETRANSLATE(B9756,""en"",""hy"")"),"Albert Einstein.")</f>
        <v>Albert Einstein.</v>
      </c>
    </row>
    <row r="9757">
      <c r="A9757" s="5" t="s">
        <v>8877</v>
      </c>
      <c r="B9757" s="5" t="s">
        <v>2790</v>
      </c>
      <c r="C9757" s="5" t="str">
        <f>IFERROR(__xludf.DUMMYFUNCTION("GOOGLETRANSLATE(A9757,""en"",""hy"")"),"Ո՞ր երկրում է գտնվում Մեծ պարիսպը:")</f>
        <v>Ո՞ր երկրում է գտնվում Մեծ պարիսպը:</v>
      </c>
      <c r="D9757" s="6" t="str">
        <f>IFERROR(__xludf.DUMMYFUNCTION("GOOGLETRANSLATE(B9757,""en"",""hy"")"),"Չինաստան.")</f>
        <v>Չինաստան.</v>
      </c>
    </row>
    <row r="9758">
      <c r="A9758" s="5" t="s">
        <v>10147</v>
      </c>
      <c r="B9758" s="5" t="s">
        <v>10148</v>
      </c>
      <c r="C9758" s="5" t="str">
        <f>IFERROR(__xludf.DUMMYFUNCTION("GOOGLETRANSLATE(A9758,""en"",""hy"")"),"Ո՞րն է աշխարհի ամենամեծ հրաբուխը:")</f>
        <v>Ո՞րն է աշխարհի ամենամեծ հրաբուխը:</v>
      </c>
      <c r="D9758" s="6" t="str">
        <f>IFERROR(__xludf.DUMMYFUNCTION("GOOGLETRANSLATE(B9758,""en"",""hy"")"),"Մաունա Լոա Հավայան կղզիներում.")</f>
        <v>Մաունա Լոա Հավայան կղզիներում.</v>
      </c>
    </row>
    <row r="9759">
      <c r="A9759" s="5" t="s">
        <v>7726</v>
      </c>
      <c r="B9759" s="5" t="s">
        <v>1016</v>
      </c>
      <c r="C9759" s="5" t="str">
        <f>IFERROR(__xludf.DUMMYFUNCTION("GOOGLETRANSLATE(A9759,""en"",""hy"")"),"Ո՞վ է գրել «Մակբեթ» պիեսը։")</f>
        <v>Ո՞վ է գրել «Մակբեթ» պիեսը։</v>
      </c>
      <c r="D9759" s="6" t="str">
        <f>IFERROR(__xludf.DUMMYFUNCTION("GOOGLETRANSLATE(B9759,""en"",""hy"")"),"Ուիլյամ Շեքսպիր.")</f>
        <v>Ուիլյամ Շեքսպիր.</v>
      </c>
    </row>
    <row r="9760">
      <c r="A9760" s="5" t="s">
        <v>8213</v>
      </c>
      <c r="B9760" s="5" t="s">
        <v>8214</v>
      </c>
      <c r="C9760" s="5" t="str">
        <f>IFERROR(__xludf.DUMMYFUNCTION("GOOGLETRANSLATE(A9760,""en"",""hy"")"),"Ո՞րն է Ռուսաստանի ազգային կենդանին:")</f>
        <v>Ո՞րն է Ռուսաստանի ազգային կենդանին:</v>
      </c>
      <c r="D9760" s="6" t="str">
        <f>IFERROR(__xludf.DUMMYFUNCTION("GOOGLETRANSLATE(B9760,""en"",""hy"")"),"Ռուսաստանի ազգային կենդանին գորշ արջն է։")</f>
        <v>Ռուսաստանի ազգային կենդանին գորշ արջն է։</v>
      </c>
    </row>
    <row r="9761">
      <c r="A9761" s="5" t="s">
        <v>7553</v>
      </c>
      <c r="B9761" s="5" t="s">
        <v>7554</v>
      </c>
      <c r="C9761" s="5" t="str">
        <f>IFERROR(__xludf.DUMMYFUNCTION("GOOGLETRANSLATE(A9761,""en"",""hy"")"),"Ո՞րն է Հարավային Աֆրիկայի մայրաքաղաքը:")</f>
        <v>Ո՞րն է Հարավային Աֆրիկայի մայրաքաղաքը:</v>
      </c>
      <c r="D9761" s="6" t="str">
        <f>IFERROR(__xludf.DUMMYFUNCTION("GOOGLETRANSLATE(B9761,""en"",""hy"")"),"Պրետորիա.")</f>
        <v>Պրետորիա.</v>
      </c>
    </row>
    <row r="9762">
      <c r="A9762" s="5" t="s">
        <v>10149</v>
      </c>
      <c r="B9762" s="5" t="s">
        <v>8160</v>
      </c>
      <c r="C9762" s="5" t="str">
        <f>IFERROR(__xludf.DUMMYFUNCTION("GOOGLETRANSLATE(A9762,""en"",""hy"")"),"Ո՞վ է Ռուսաստանի ներկայիս նախագահը.")</f>
        <v>Ո՞վ է Ռուսաստանի ներկայիս նախագահը.</v>
      </c>
      <c r="D9762" s="6" t="str">
        <f>IFERROR(__xludf.DUMMYFUNCTION("GOOGLETRANSLATE(B9762,""en"",""hy"")"),"Վլադիմիր Պուտին.")</f>
        <v>Վլադիմիր Պուտին.</v>
      </c>
    </row>
    <row r="9763">
      <c r="A9763" s="5" t="s">
        <v>7665</v>
      </c>
      <c r="B9763" s="5" t="s">
        <v>7781</v>
      </c>
      <c r="C9763" s="5" t="str">
        <f>IFERROR(__xludf.DUMMYFUNCTION("GOOGLETRANSLATE(A9763,""en"",""hy"")"),"Ո՞րն է նատրիումի քիմիական նշանը:")</f>
        <v>Ո՞րն է նատրիումի քիմիական նշանը:</v>
      </c>
      <c r="D9763" s="6" t="str">
        <f>IFERROR(__xludf.DUMMYFUNCTION("GOOGLETRANSLATE(B9763,""en"",""hy"")"),"Նատրիումի քիմիական նշանը Na է:")</f>
        <v>Նատրիումի քիմիական նշանը Na է:</v>
      </c>
    </row>
    <row r="9764">
      <c r="A9764" s="5" t="s">
        <v>8275</v>
      </c>
      <c r="B9764" s="5" t="s">
        <v>7549</v>
      </c>
      <c r="C9764" s="5" t="str">
        <f>IFERROR(__xludf.DUMMYFUNCTION("GOOGLETRANSLATE(A9764,""en"",""hy"")"),"Ո՞վ է նկարել հայտնի «Մարգարտյա ականջօղով աղջիկը» ստեղծագործությունը:")</f>
        <v>Ո՞վ է նկարել հայտնի «Մարգարտյա ականջօղով աղջիկը» ստեղծագործությունը:</v>
      </c>
      <c r="D9764" s="6" t="str">
        <f>IFERROR(__xludf.DUMMYFUNCTION("GOOGLETRANSLATE(B9764,""en"",""hy"")"),"Յոհաննես Վերմեեր.")</f>
        <v>Յոհաննես Վերմեեր.</v>
      </c>
    </row>
    <row r="9765">
      <c r="A9765" s="5" t="s">
        <v>8341</v>
      </c>
      <c r="B9765" s="5" t="s">
        <v>8342</v>
      </c>
      <c r="C9765" s="5" t="str">
        <f>IFERROR(__xludf.DUMMYFUNCTION("GOOGLETRANSLATE(A9765,""en"",""hy"")"),"Ո՞րն է Հնդկաստանի ամենամեծ քաղաքը:")</f>
        <v>Ո՞րն է Հնդկաստանի ամենամեծ քաղաքը:</v>
      </c>
      <c r="D9765" s="6" t="str">
        <f>IFERROR(__xludf.DUMMYFUNCTION("GOOGLETRANSLATE(B9765,""en"",""hy"")"),"Մումբայ.")</f>
        <v>Մումբայ.</v>
      </c>
    </row>
    <row r="9766">
      <c r="A9766" s="5" t="s">
        <v>8129</v>
      </c>
      <c r="B9766" s="5" t="s">
        <v>8130</v>
      </c>
      <c r="C9766" s="5" t="str">
        <f>IFERROR(__xludf.DUMMYFUNCTION("GOOGLETRANSLATE(A9766,""en"",""hy"")"),"Քանի՞ ժամային գոտի կա աշխարհում:")</f>
        <v>Քանի՞ ժամային գոտի կա աշխարհում:</v>
      </c>
      <c r="D9766" s="6" t="str">
        <f>IFERROR(__xludf.DUMMYFUNCTION("GOOGLETRANSLATE(B9766,""en"",""hy"")"),"Աշխարհում կա 24 ժամային գոտի:")</f>
        <v>Աշխարհում կա 24 ժամային գոտի:</v>
      </c>
    </row>
    <row r="9767">
      <c r="A9767" s="5" t="s">
        <v>9643</v>
      </c>
      <c r="B9767" s="7">
        <v>1775.0</v>
      </c>
      <c r="C9767" s="5" t="str">
        <f>IFERROR(__xludf.DUMMYFUNCTION("GOOGLETRANSLATE(A9767,""en"",""hy"")"),"Ո՞ր թվականին սկսվեց ամերիկյան հեղափոխությունը:")</f>
        <v>Ո՞ր թվականին սկսվեց ամերիկյան հեղափոխությունը:</v>
      </c>
      <c r="D9767" s="6" t="str">
        <f>IFERROR(__xludf.DUMMYFUNCTION("GOOGLETRANSLATE(B9767,""en"",""hy"")"),"1775 թ")</f>
        <v>1775 թ</v>
      </c>
    </row>
    <row r="9768">
      <c r="A9768" s="5" t="s">
        <v>8280</v>
      </c>
      <c r="B9768" s="5" t="s">
        <v>8281</v>
      </c>
      <c r="C9768" s="5" t="str">
        <f>IFERROR(__xludf.DUMMYFUNCTION("GOOGLETRANSLATE(A9768,""en"",""hy"")"),"Ո՞րն է Ֆրանսիայի պաշտոնական լեզուն:")</f>
        <v>Ո՞րն է Ֆրանսիայի պաշտոնական լեզուն:</v>
      </c>
      <c r="D9768" s="6" t="str">
        <f>IFERROR(__xludf.DUMMYFUNCTION("GOOGLETRANSLATE(B9768,""en"",""hy"")"),"Ֆրանսիայի պաշտոնական լեզուն ֆրանսերենն է։")</f>
        <v>Ֆրանսիայի պաշտոնական լեզուն ֆրանսերենն է։</v>
      </c>
    </row>
    <row r="9769">
      <c r="A9769" s="5" t="s">
        <v>7572</v>
      </c>
      <c r="B9769" s="5" t="s">
        <v>7573</v>
      </c>
      <c r="C9769" s="5" t="str">
        <f>IFERROR(__xludf.DUMMYFUNCTION("GOOGLETRANSLATE(A9769,""en"",""hy"")"),"Ո՞վ է հորինել լամպը:")</f>
        <v>Ո՞վ է հորինել լամպը:</v>
      </c>
      <c r="D9769" s="6" t="str">
        <f>IFERROR(__xludf.DUMMYFUNCTION("GOOGLETRANSLATE(B9769,""en"",""hy"")"),"Թոմաս Էդիսոն.")</f>
        <v>Թոմաս Էդիսոն.</v>
      </c>
    </row>
    <row r="9770">
      <c r="A9770" s="5" t="s">
        <v>8016</v>
      </c>
      <c r="B9770" s="5" t="s">
        <v>8017</v>
      </c>
      <c r="C9770" s="5" t="str">
        <f>IFERROR(__xludf.DUMMYFUNCTION("GOOGLETRANSLATE(A9770,""en"",""hy"")"),"Ո՞րն է Անգլիայի ազգային ծաղիկը:")</f>
        <v>Ո՞րն է Անգլիայի ազգային ծաղիկը:</v>
      </c>
      <c r="D9770" s="6" t="str">
        <f>IFERROR(__xludf.DUMMYFUNCTION("GOOGLETRANSLATE(B9770,""en"",""hy"")"),"Անգլիայի ազգային ծաղիկը վարդն է։")</f>
        <v>Անգլիայի ազգային ծաղիկը վարդն է։</v>
      </c>
    </row>
    <row r="9771">
      <c r="A9771" s="5" t="s">
        <v>7890</v>
      </c>
      <c r="B9771" s="5" t="s">
        <v>7661</v>
      </c>
      <c r="C9771" s="5" t="str">
        <f>IFERROR(__xludf.DUMMYFUNCTION("GOOGLETRANSLATE(A9771,""en"",""hy"")"),"Ո՞վ է գրել «Մեծն Գեթսբի» վեպը:")</f>
        <v>Ո՞վ է գրել «Մեծն Գեթսբի» վեպը:</v>
      </c>
      <c r="D9771" s="6" t="str">
        <f>IFERROR(__xludf.DUMMYFUNCTION("GOOGLETRANSLATE(B9771,""en"",""hy"")"),"F. Scott Fitzgerald.")</f>
        <v>F. Scott Fitzgerald.</v>
      </c>
    </row>
    <row r="9772">
      <c r="A9772" s="5" t="s">
        <v>7903</v>
      </c>
      <c r="B9772" s="5" t="s">
        <v>8261</v>
      </c>
      <c r="C9772" s="5" t="str">
        <f>IFERROR(__xludf.DUMMYFUNCTION("GOOGLETRANSLATE(A9772,""en"",""hy"")"),"Ո՞րն է Մեքսիկայի մայրաքաղաքը:")</f>
        <v>Ո՞րն է Մեքսիկայի մայրաքաղաքը:</v>
      </c>
      <c r="D9772" s="6" t="str">
        <f>IFERROR(__xludf.DUMMYFUNCTION("GOOGLETRANSLATE(B9772,""en"",""hy"")"),"Մեխիկո Սիթի.")</f>
        <v>Մեխիկո Սիթի.</v>
      </c>
    </row>
    <row r="9773">
      <c r="A9773" s="5" t="s">
        <v>7691</v>
      </c>
      <c r="B9773" s="5" t="s">
        <v>7692</v>
      </c>
      <c r="C9773" s="5" t="str">
        <f>IFERROR(__xludf.DUMMYFUNCTION("GOOGLETRANSLATE(A9773,""en"",""hy"")"),"Ո՞րն է Աֆրիկայի ամենամեծ լիճը:")</f>
        <v>Ո՞րն է Աֆրիկայի ամենամեծ լիճը:</v>
      </c>
      <c r="D9773" s="6" t="str">
        <f>IFERROR(__xludf.DUMMYFUNCTION("GOOGLETRANSLATE(B9773,""en"",""hy"")"),"Վիկտորիա լիճ.")</f>
        <v>Վիկտորիա լիճ.</v>
      </c>
    </row>
    <row r="9774">
      <c r="A9774" s="5" t="s">
        <v>10150</v>
      </c>
      <c r="B9774" s="5" t="s">
        <v>10151</v>
      </c>
      <c r="C9774" s="5" t="str">
        <f>IFERROR(__xludf.DUMMYFUNCTION("GOOGLETRANSLATE(A9774,""en"",""hy"")"),"Քանի՞ թև ունի թիթեռը:")</f>
        <v>Քանի՞ թև ունի թիթեռը:</v>
      </c>
      <c r="D9774" s="6" t="str">
        <f>IFERROR(__xludf.DUMMYFUNCTION("GOOGLETRANSLATE(B9774,""en"",""hy"")"),"Թիթեռը չորս թև ունի.")</f>
        <v>Թիթեռը չորս թև ունի.</v>
      </c>
    </row>
    <row r="9775">
      <c r="A9775" s="5" t="s">
        <v>8091</v>
      </c>
      <c r="B9775" s="5" t="s">
        <v>10152</v>
      </c>
      <c r="C9775" s="5" t="str">
        <f>IFERROR(__xludf.DUMMYFUNCTION("GOOGLETRANSLATE(A9775,""en"",""hy"")"),"Ո՞րն է Բրազիլիայի ազգային սպորտը:")</f>
        <v>Ո՞րն է Բրազիլիայի ազգային սպորտը:</v>
      </c>
      <c r="D9775" s="6" t="str">
        <f>IFERROR(__xludf.DUMMYFUNCTION("GOOGLETRANSLATE(B9775,""en"",""hy"")"),"Բրազիլիայի ազգային սպորտաձևը ֆուտբոլն է (ֆուտբոլ):")</f>
        <v>Բրազիլիայի ազգային սպորտաձևը ֆուտբոլն է (ֆուտբոլ):</v>
      </c>
    </row>
    <row r="9776">
      <c r="A9776" s="5" t="s">
        <v>7875</v>
      </c>
      <c r="B9776" s="5" t="s">
        <v>7876</v>
      </c>
      <c r="C9776" s="5" t="str">
        <f>IFERROR(__xludf.DUMMYFUNCTION("GOOGLETRANSLATE(A9776,""en"",""hy"")"),"Ո՞րն է ազոտի քիմիական նշանը:")</f>
        <v>Ո՞րն է ազոտի քիմիական նշանը:</v>
      </c>
      <c r="D9776" s="6" t="str">
        <f>IFERROR(__xludf.DUMMYFUNCTION("GOOGLETRANSLATE(B9776,""en"",""hy"")"),"Ազոտի քիմիական նշանն է N.")</f>
        <v>Ազոտի քիմիական նշանն է N.</v>
      </c>
    </row>
    <row r="9777">
      <c r="A9777" s="5" t="s">
        <v>7992</v>
      </c>
      <c r="B9777" s="5" t="s">
        <v>7607</v>
      </c>
      <c r="C9777" s="5" t="str">
        <f>IFERROR(__xludf.DUMMYFUNCTION("GOOGLETRANSLATE(A9777,""en"",""hy"")"),"Ո՞վ է հայտնաբերել էվոլյուցիայի տեսությունը:")</f>
        <v>Ո՞վ է հայտնաբերել էվոլյուցիայի տեսությունը:</v>
      </c>
      <c r="D9777" s="6" t="str">
        <f>IFERROR(__xludf.DUMMYFUNCTION("GOOGLETRANSLATE(B9777,""en"",""hy"")"),"Չարլզ Դարվին.")</f>
        <v>Չարլզ Դարվին.</v>
      </c>
    </row>
    <row r="9778">
      <c r="A9778" s="5" t="s">
        <v>10153</v>
      </c>
      <c r="B9778" s="5" t="s">
        <v>6334</v>
      </c>
      <c r="C9778" s="5" t="str">
        <f>IFERROR(__xludf.DUMMYFUNCTION("GOOGLETRANSLATE(A9778,""en"",""hy"")"),"Ո՞ր երկրում է գտնվում Կոլիզեյը:")</f>
        <v>Ո՞ր երկրում է գտնվում Կոլիզեյը:</v>
      </c>
      <c r="D9778" s="6" t="str">
        <f>IFERROR(__xludf.DUMMYFUNCTION("GOOGLETRANSLATE(B9778,""en"",""hy"")"),"Իտալիա.")</f>
        <v>Իտալիա.</v>
      </c>
    </row>
    <row r="9779">
      <c r="A9779" s="5" t="s">
        <v>7489</v>
      </c>
      <c r="B9779" s="5" t="s">
        <v>249</v>
      </c>
      <c r="C9779" s="5" t="str">
        <f>IFERROR(__xludf.DUMMYFUNCTION("GOOGLETRANSLATE(A9779,""en"",""hy"")"),"Ո՞րն է աշխարհի ամենաբարձր շենքը:")</f>
        <v>Ո՞րն է աշխարհի ամենաբարձր շենքը:</v>
      </c>
      <c r="D9779" s="6" t="str">
        <f>IFERROR(__xludf.DUMMYFUNCTION("GOOGLETRANSLATE(B9779,""en"",""hy"")"),"Բուրջ Խալիֆա")</f>
        <v>Բուրջ Խալիֆա</v>
      </c>
    </row>
    <row r="9780">
      <c r="A9780" s="5" t="s">
        <v>8787</v>
      </c>
      <c r="B9780" s="5" t="s">
        <v>7448</v>
      </c>
      <c r="C9780" s="5" t="str">
        <f>IFERROR(__xludf.DUMMYFUNCTION("GOOGLETRANSLATE(A9780,""en"",""hy"")"),"Ո՞վ է նկարել հայտնի «Մոնա Լիզան» արվեստի գործը:")</f>
        <v>Ո՞վ է նկարել հայտնի «Մոնա Լիզան» արվեստի գործը:</v>
      </c>
      <c r="D9780" s="6" t="str">
        <f>IFERROR(__xludf.DUMMYFUNCTION("GOOGLETRANSLATE(B9780,""en"",""hy"")"),"Լեոնարդո դա Վինչի.")</f>
        <v>Լեոնարդո դա Վինչի.</v>
      </c>
    </row>
    <row r="9781">
      <c r="A9781" s="5" t="s">
        <v>7450</v>
      </c>
      <c r="B9781" s="5" t="s">
        <v>9096</v>
      </c>
      <c r="C9781" s="5" t="str">
        <f>IFERROR(__xludf.DUMMYFUNCTION("GOOGLETRANSLATE(A9781,""en"",""hy"")"),"Ո՞րն է Ավստրալիայի մայրաքաղաքը:")</f>
        <v>Ո՞րն է Ավստրալիայի մայրաքաղաքը:</v>
      </c>
      <c r="D9781" s="6" t="str">
        <f>IFERROR(__xludf.DUMMYFUNCTION("GOOGLETRANSLATE(B9781,""en"",""hy"")"),"Կանբերա")</f>
        <v>Կանբերա</v>
      </c>
    </row>
    <row r="9782">
      <c r="A9782" s="5" t="s">
        <v>7779</v>
      </c>
      <c r="B9782" s="5" t="s">
        <v>7446</v>
      </c>
      <c r="C9782" s="5" t="str">
        <f>IFERROR(__xludf.DUMMYFUNCTION("GOOGLETRANSLATE(A9782,""en"",""hy"")"),"Ո՞ր մոլորակն է հայտնի որպես «Կարմիր մոլորակ»:")</f>
        <v>Ո՞ր մոլորակն է հայտնի որպես «Կարմիր մոլորակ»:</v>
      </c>
      <c r="D9782" s="6" t="str">
        <f>IFERROR(__xludf.DUMMYFUNCTION("GOOGLETRANSLATE(B9782,""en"",""hy"")"),"Մարս.")</f>
        <v>Մարս.</v>
      </c>
    </row>
    <row r="9783">
      <c r="A9783" s="5" t="s">
        <v>7485</v>
      </c>
      <c r="B9783" s="5" t="s">
        <v>8110</v>
      </c>
      <c r="C9783" s="5" t="str">
        <f>IFERROR(__xludf.DUMMYFUNCTION("GOOGLETRANSLATE(A9783,""en"",""hy"")"),"Ո՞վ է Հարի Փոթերի շարքի հեղինակը:")</f>
        <v>Ո՞վ է Հարի Փոթերի շարքի հեղինակը:</v>
      </c>
      <c r="D9783" s="6" t="str">
        <f>IFERROR(__xludf.DUMMYFUNCTION("GOOGLETRANSLATE(B9783,""en"",""hy"")"),"Ջ.Կ. Ռոուլինգ")</f>
        <v>Ջ.Կ. Ռոուլինգ</v>
      </c>
    </row>
    <row r="9784">
      <c r="A9784" s="5" t="s">
        <v>8031</v>
      </c>
      <c r="B9784" s="5" t="s">
        <v>8268</v>
      </c>
      <c r="C9784" s="5" t="str">
        <f>IFERROR(__xludf.DUMMYFUNCTION("GOOGLETRANSLATE(A9784,""en"",""hy"")"),"Ո՞րն է աշխարհի ամենամեծ թռչունը:")</f>
        <v>Ո՞րն է աշխարհի ամենամեծ թռչունը:</v>
      </c>
      <c r="D9784" s="6" t="str">
        <f>IFERROR(__xludf.DUMMYFUNCTION("GOOGLETRANSLATE(B9784,""en"",""hy"")"),"Աշխարհի ամենամեծ թռչունը ջայլամն է։")</f>
        <v>Աշխարհի ամենամեծ թռչունը ջայլամն է։</v>
      </c>
    </row>
    <row r="9785">
      <c r="A9785" s="5" t="s">
        <v>7452</v>
      </c>
      <c r="B9785" s="5" t="s">
        <v>7631</v>
      </c>
      <c r="C9785" s="5" t="str">
        <f>IFERROR(__xludf.DUMMYFUNCTION("GOOGLETRANSLATE(A9785,""en"",""hy"")"),"Ո՞րն է ոսկու քիմիական նշանը:")</f>
        <v>Ո՞րն է ոսկու քիմիական նշանը:</v>
      </c>
      <c r="D9785" s="6" t="str">
        <f>IFERROR(__xludf.DUMMYFUNCTION("GOOGLETRANSLATE(B9785,""en"",""hy"")"),"Ավ")</f>
        <v>Ավ</v>
      </c>
    </row>
    <row r="9786">
      <c r="A9786" s="5" t="s">
        <v>8518</v>
      </c>
      <c r="B9786" s="5" t="s">
        <v>8201</v>
      </c>
      <c r="C9786" s="5" t="str">
        <f>IFERROR(__xludf.DUMMYFUNCTION("GOOGLETRANSLATE(A9786,""en"",""hy"")"),"Ո՞ր երկրում են ծագել Օլիմպիական խաղերը:")</f>
        <v>Ո՞ր երկրում են ծագել Օլիմպիական խաղերը:</v>
      </c>
      <c r="D9786" s="6" t="str">
        <f>IFERROR(__xludf.DUMMYFUNCTION("GOOGLETRANSLATE(B9786,""en"",""hy"")"),"Հունաստան.")</f>
        <v>Հունաստան.</v>
      </c>
    </row>
    <row r="9787">
      <c r="A9787" s="5" t="s">
        <v>7447</v>
      </c>
      <c r="B9787" s="5" t="s">
        <v>7448</v>
      </c>
      <c r="C9787" s="5" t="str">
        <f>IFERROR(__xludf.DUMMYFUNCTION("GOOGLETRANSLATE(A9787,""en"",""hy"")"),"Ո՞վ է նկարել Մոնա Լիզան:")</f>
        <v>Ո՞վ է նկարել Մոնա Լիզան:</v>
      </c>
      <c r="D9787" s="6" t="str">
        <f>IFERROR(__xludf.DUMMYFUNCTION("GOOGLETRANSLATE(B9787,""en"",""hy"")"),"Լեոնարդո դա Վինչի.")</f>
        <v>Լեոնարդո դա Վինչի.</v>
      </c>
    </row>
    <row r="9788">
      <c r="A9788" s="5" t="s">
        <v>8078</v>
      </c>
      <c r="B9788" s="5" t="s">
        <v>7478</v>
      </c>
      <c r="C9788" s="5" t="str">
        <f>IFERROR(__xludf.DUMMYFUNCTION("GOOGLETRANSLATE(A9788,""en"",""hy"")"),"Ո՞ր երկիրն է հայտնի որպես Ծագող Արևի երկիր:")</f>
        <v>Ո՞ր երկիրն է հայտնի որպես Ծագող Արևի երկիր:</v>
      </c>
      <c r="D9788" s="6" t="str">
        <f>IFERROR(__xludf.DUMMYFUNCTION("GOOGLETRANSLATE(B9788,""en"",""hy"")"),"Ճապոնիա.")</f>
        <v>Ճապոնիա.</v>
      </c>
    </row>
    <row r="9789">
      <c r="A9789" s="5" t="s">
        <v>7455</v>
      </c>
      <c r="B9789" s="5" t="s">
        <v>7646</v>
      </c>
      <c r="C9789" s="5" t="str">
        <f>IFERROR(__xludf.DUMMYFUNCTION("GOOGLETRANSLATE(A9789,""en"",""hy"")"),"Ո՞րն է աշխարհի ամենամեծ օվկիանոսը:")</f>
        <v>Ո՞րն է աշխարհի ամենամեծ օվկիանոսը:</v>
      </c>
      <c r="D9789" s="6" t="str">
        <f>IFERROR(__xludf.DUMMYFUNCTION("GOOGLETRANSLATE(B9789,""en"",""hy"")"),"Խաղաղ օվկիանոս.")</f>
        <v>Խաղաղ օվկիանոս.</v>
      </c>
    </row>
    <row r="9790">
      <c r="A9790" s="5" t="s">
        <v>7926</v>
      </c>
      <c r="B9790" s="5" t="s">
        <v>7635</v>
      </c>
      <c r="C9790" s="5" t="str">
        <f>IFERROR(__xludf.DUMMYFUNCTION("GOOGLETRANSLATE(A9790,""en"",""hy"")"),"Ո՞վ էր առաջին մարդը, ով քայլեց լուսնի վրա:")</f>
        <v>Ո՞վ էր առաջին մարդը, ով քայլեց լուսնի վրա:</v>
      </c>
      <c r="D9790" s="6" t="str">
        <f>IFERROR(__xludf.DUMMYFUNCTION("GOOGLETRANSLATE(B9790,""en"",""hy"")"),"Նիլ Արմսթրոնգ.")</f>
        <v>Նիլ Արմսթրոնգ.</v>
      </c>
    </row>
    <row r="9791">
      <c r="A9791" s="5" t="s">
        <v>7463</v>
      </c>
      <c r="B9791" s="5" t="s">
        <v>7464</v>
      </c>
      <c r="C9791" s="5" t="str">
        <f>IFERROR(__xludf.DUMMYFUNCTION("GOOGLETRANSLATE(A9791,""en"",""hy"")"),"Ո՞րն է աշխարհի ամենաբարձր լեռը:")</f>
        <v>Ո՞րն է աշխարհի ամենաբարձր լեռը:</v>
      </c>
      <c r="D9791" s="6" t="str">
        <f>IFERROR(__xludf.DUMMYFUNCTION("GOOGLETRANSLATE(B9791,""en"",""hy"")"),"Էվերեստ լեռ.")</f>
        <v>Էվերեստ լեռ.</v>
      </c>
    </row>
    <row r="9792">
      <c r="A9792" s="5" t="s">
        <v>7849</v>
      </c>
      <c r="B9792" s="5" t="s">
        <v>7541</v>
      </c>
      <c r="C9792" s="5" t="str">
        <f>IFERROR(__xludf.DUMMYFUNCTION("GOOGLETRANSLATE(A9792,""en"",""hy"")"),"Ո՞վ է գրել «Սպանել ծաղրող թռչունին» վեպը:")</f>
        <v>Ո՞վ է գրել «Սպանել ծաղրող թռչունին» վեպը:</v>
      </c>
      <c r="D9792" s="6" t="str">
        <f>IFERROR(__xludf.DUMMYFUNCTION("GOOGLETRANSLATE(B9792,""en"",""hy"")"),"Հարփեր Լի.")</f>
        <v>Հարփեր Լի.</v>
      </c>
    </row>
    <row r="9793">
      <c r="A9793" s="5" t="s">
        <v>7589</v>
      </c>
      <c r="B9793" s="5" t="s">
        <v>7545</v>
      </c>
      <c r="C9793" s="5" t="str">
        <f>IFERROR(__xludf.DUMMYFUNCTION("GOOGLETRANSLATE(A9793,""en"",""hy"")"),"Ո՞րն է Իտալիայի մայրաքաղաքը:")</f>
        <v>Ո՞րն է Իտալիայի մայրաքաղաքը:</v>
      </c>
      <c r="D9793" s="6" t="str">
        <f>IFERROR(__xludf.DUMMYFUNCTION("GOOGLETRANSLATE(B9793,""en"",""hy"")"),"Հռոմ.")</f>
        <v>Հռոմ.</v>
      </c>
    </row>
    <row r="9794">
      <c r="A9794" s="5" t="s">
        <v>7763</v>
      </c>
      <c r="B9794" s="5" t="s">
        <v>7505</v>
      </c>
      <c r="C9794" s="5" t="str">
        <f>IFERROR(__xludf.DUMMYFUNCTION("GOOGLETRANSLATE(A9794,""en"",""hy"")"),"Ո՞վ է Միացյալ Նահանգների ներկայիս նախագահը.")</f>
        <v>Ո՞վ է Միացյալ Նահանգների ներկայիս նախագահը.</v>
      </c>
      <c r="D9794" s="6" t="str">
        <f>IFERROR(__xludf.DUMMYFUNCTION("GOOGLETRANSLATE(B9794,""en"",""hy"")"),"Ջո Բայդեն.")</f>
        <v>Ջո Բայդեն.</v>
      </c>
    </row>
    <row r="9795">
      <c r="A9795" s="5" t="s">
        <v>7497</v>
      </c>
      <c r="B9795" s="5" t="s">
        <v>1299</v>
      </c>
      <c r="C9795" s="5" t="str">
        <f>IFERROR(__xludf.DUMMYFUNCTION("GOOGLETRANSLATE(A9795,""en"",""hy"")"),"Ո՞րն է աշխարհի ամենամեծ մայրցամաքը:")</f>
        <v>Ո՞րն է աշխարհի ամենամեծ մայրցամաքը:</v>
      </c>
      <c r="D9795" s="6" t="str">
        <f>IFERROR(__xludf.DUMMYFUNCTION("GOOGLETRANSLATE(B9795,""en"",""hy"")"),"Ասիա.")</f>
        <v>Ասիա.</v>
      </c>
    </row>
    <row r="9796">
      <c r="A9796" s="5" t="s">
        <v>10154</v>
      </c>
      <c r="B9796" s="5" t="s">
        <v>10155</v>
      </c>
      <c r="C9796" s="5" t="str">
        <f>IFERROR(__xludf.DUMMYFUNCTION("GOOGLETRANSLATE(A9796,""en"",""hy"")"),"Հունական դիցաբանության մեջ ո՞վ է ամպրոպի աստվածը:")</f>
        <v>Հունական դիցաբանության մեջ ո՞վ է ամպրոպի աստվածը:</v>
      </c>
      <c r="D9796" s="6" t="str">
        <f>IFERROR(__xludf.DUMMYFUNCTION("GOOGLETRANSLATE(B9796,""en"",""hy"")"),"Հունական դիցաբանության մեջ ամպրոպի աստվածը Զևսն է:")</f>
        <v>Հունական դիցաբանության մեջ ամպրոպի աստվածը Զևսն է:</v>
      </c>
    </row>
    <row r="9797">
      <c r="A9797" s="5" t="s">
        <v>9844</v>
      </c>
      <c r="B9797" s="5" t="s">
        <v>7688</v>
      </c>
      <c r="C9797" s="5" t="str">
        <f>IFERROR(__xludf.DUMMYFUNCTION("GOOGLETRANSLATE(A9797,""en"",""hy"")"),"Ո՞վ է «Մատանիների տիրակալը» եռերգության հեղինակը.")</f>
        <v>Ո՞վ է «Մատանիների տիրակալը» եռերգության հեղինակը.</v>
      </c>
      <c r="D9797" s="6" t="str">
        <f>IFERROR(__xludf.DUMMYFUNCTION("GOOGLETRANSLATE(B9797,""en"",""hy"")"),"Ջ.Ռ.Ռ. Թոլքինը")</f>
        <v>Ջ.Ռ.Ռ. Թոլքինը</v>
      </c>
    </row>
    <row r="9798">
      <c r="A9798" s="5" t="s">
        <v>7592</v>
      </c>
      <c r="B9798" s="5" t="s">
        <v>7593</v>
      </c>
      <c r="C9798" s="5" t="str">
        <f>IFERROR(__xludf.DUMMYFUNCTION("GOOGLETRANSLATE(A9798,""en"",""hy"")"),"Ո՞րն է թթվածնի քիմիական նշանը:")</f>
        <v>Ո՞րն է թթվածնի քիմիական նշանը:</v>
      </c>
      <c r="D9798" s="6" t="str">
        <f>IFERROR(__xludf.DUMMYFUNCTION("GOOGLETRANSLATE(B9798,""en"",""hy"")"),"Թթվածնի քիմիական նշանը O է:")</f>
        <v>Թթվածնի քիմիական նշանը O է:</v>
      </c>
    </row>
    <row r="9799">
      <c r="A9799" s="5" t="s">
        <v>10156</v>
      </c>
      <c r="B9799" s="5" t="s">
        <v>2790</v>
      </c>
      <c r="C9799" s="5" t="str">
        <f>IFERROR(__xludf.DUMMYFUNCTION("GOOGLETRANSLATE(A9799,""en"",""hy"")"),"Ո՞ր երկրում է գտնվում Չինական Մեծ պարիսպը:")</f>
        <v>Ո՞ր երկրում է գտնվում Չինական Մեծ պարիսպը:</v>
      </c>
      <c r="D9799" s="6" t="str">
        <f>IFERROR(__xludf.DUMMYFUNCTION("GOOGLETRANSLATE(B9799,""en"",""hy"")"),"Չինաստան.")</f>
        <v>Չինաստան.</v>
      </c>
    </row>
    <row r="9800">
      <c r="A9800" s="5" t="s">
        <v>8028</v>
      </c>
      <c r="B9800" s="5" t="s">
        <v>79</v>
      </c>
      <c r="C9800" s="5" t="str">
        <f>IFERROR(__xludf.DUMMYFUNCTION("GOOGLETRANSLATE(A9800,""en"",""hy"")"),"Ո՞րն է Կանադայի ազգային սպորտը:")</f>
        <v>Ո՞րն է Կանադայի ազգային սպորտը:</v>
      </c>
      <c r="D9800" s="6" t="str">
        <f>IFERROR(__xludf.DUMMYFUNCTION("GOOGLETRANSLATE(B9800,""en"",""hy"")"),"Հոկեյ.")</f>
        <v>Հոկեյ.</v>
      </c>
    </row>
    <row r="9801">
      <c r="A9801" s="5" t="s">
        <v>7757</v>
      </c>
      <c r="B9801" s="5" t="s">
        <v>7648</v>
      </c>
      <c r="C9801" s="5" t="str">
        <f>IFERROR(__xludf.DUMMYFUNCTION("GOOGLETRANSLATE(A9801,""en"",""hy"")"),"Ո՞վ է նկարել հայտնի «Աստղային գիշեր» արվեստի գործը:")</f>
        <v>Ո՞վ է նկարել հայտնի «Աստղային գիշեր» արվեստի գործը:</v>
      </c>
      <c r="D9801" s="6" t="str">
        <f>IFERROR(__xludf.DUMMYFUNCTION("GOOGLETRANSLATE(B9801,""en"",""hy"")"),"Վինսենթ վան Գոգ.")</f>
        <v>Վինսենթ վան Գոգ.</v>
      </c>
    </row>
    <row r="9802">
      <c r="A9802" s="5" t="s">
        <v>10157</v>
      </c>
      <c r="B9802" s="5" t="s">
        <v>8323</v>
      </c>
      <c r="C9802" s="5" t="str">
        <f>IFERROR(__xludf.DUMMYFUNCTION("GOOGLETRANSLATE(A9802,""en"",""hy"")"),"Ո՞ր մոլորակն է հայտնի իր օղակների համակարգով:")</f>
        <v>Ո՞ր մոլորակն է հայտնի իր օղակների համակարգով:</v>
      </c>
      <c r="D9802" s="6" t="str">
        <f>IFERROR(__xludf.DUMMYFUNCTION("GOOGLETRANSLATE(B9802,""en"",""hy"")"),"Սատուրն")</f>
        <v>Սատուրն</v>
      </c>
    </row>
    <row r="9803">
      <c r="A9803" s="5" t="s">
        <v>7500</v>
      </c>
      <c r="B9803" s="5" t="s">
        <v>7501</v>
      </c>
      <c r="C9803" s="5" t="str">
        <f>IFERROR(__xludf.DUMMYFUNCTION("GOOGLETRANSLATE(A9803,""en"",""hy"")"),"Ո՞րն է Ֆրանսիայի մայրաքաղաքը:")</f>
        <v>Ո՞րն է Ֆրանսիայի մայրաքաղաքը:</v>
      </c>
      <c r="D9803" s="6" t="str">
        <f>IFERROR(__xludf.DUMMYFUNCTION("GOOGLETRANSLATE(B9803,""en"",""hy"")"),"Փարիզ.")</f>
        <v>Փարիզ.</v>
      </c>
    </row>
    <row r="9804">
      <c r="A9804" s="5" t="s">
        <v>7773</v>
      </c>
      <c r="B9804" s="5" t="s">
        <v>7941</v>
      </c>
      <c r="C9804" s="5" t="str">
        <f>IFERROR(__xludf.DUMMYFUNCTION("GOOGLETRANSLATE(A9804,""en"",""hy"")"),"Ո՞վ է հայտնաբերել պենիցիլինը:")</f>
        <v>Ո՞վ է հայտնաբերել պենիցիլինը:</v>
      </c>
      <c r="D9804" s="6" t="str">
        <f>IFERROR(__xludf.DUMMYFUNCTION("GOOGLETRANSLATE(B9804,""en"",""hy"")"),"Ալեքսանդր Ֆլեմինգ")</f>
        <v>Ալեքսանդր Ֆլեմինգ</v>
      </c>
    </row>
    <row r="9805">
      <c r="A9805" s="5" t="s">
        <v>7506</v>
      </c>
      <c r="B9805" s="5" t="s">
        <v>7507</v>
      </c>
      <c r="C9805" s="5" t="str">
        <f>IFERROR(__xludf.DUMMYFUNCTION("GOOGLETRANSLATE(A9805,""en"",""hy"")"),"Ո՞րն է աշխարհի ամենափոքր երկիրը:")</f>
        <v>Ո՞րն է աշխարհի ամենափոքր երկիրը:</v>
      </c>
      <c r="D9805" s="6" t="str">
        <f>IFERROR(__xludf.DUMMYFUNCTION("GOOGLETRANSLATE(B9805,""en"",""hy"")"),"Քաղաք Վատիկան.")</f>
        <v>Քաղաք Վատիկան.</v>
      </c>
    </row>
    <row r="9806">
      <c r="A9806" s="5" t="s">
        <v>7629</v>
      </c>
      <c r="B9806" s="5" t="s">
        <v>7630</v>
      </c>
      <c r="C9806" s="5" t="str">
        <f>IFERROR(__xludf.DUMMYFUNCTION("GOOGLETRANSLATE(A9806,""en"",""hy"")"),"Ո՞վ է «Հպարտություն և նախապաշարմունք» գրքի հեղինակը.")</f>
        <v>Ո՞վ է «Հպարտություն և նախապաշարմունք» գրքի հեղինակը.</v>
      </c>
      <c r="D9806" s="6" t="str">
        <f>IFERROR(__xludf.DUMMYFUNCTION("GOOGLETRANSLATE(B9806,""en"",""hy"")"),"Ջեյն Օսթին.")</f>
        <v>Ջեյն Օսթին.</v>
      </c>
    </row>
    <row r="9807">
      <c r="A9807" s="5" t="s">
        <v>7699</v>
      </c>
      <c r="B9807" s="5" t="s">
        <v>7700</v>
      </c>
      <c r="C9807" s="5" t="str">
        <f>IFERROR(__xludf.DUMMYFUNCTION("GOOGLETRANSLATE(A9807,""en"",""hy"")"),"Ո՞րն է ածխածնի քիմիական նշանը:")</f>
        <v>Ո՞րն է ածխածնի քիմիական նշանը:</v>
      </c>
      <c r="D9807" s="6" t="str">
        <f>IFERROR(__xludf.DUMMYFUNCTION("GOOGLETRANSLATE(B9807,""en"",""hy"")"),"Ածխածնի քիմիական նշանը C է:")</f>
        <v>Ածխածնի քիմիական նշանը C է:</v>
      </c>
    </row>
    <row r="9808">
      <c r="A9808" s="5" t="s">
        <v>10158</v>
      </c>
      <c r="B9808" s="5" t="s">
        <v>745</v>
      </c>
      <c r="C9808" s="5" t="str">
        <f>IFERROR(__xludf.DUMMYFUNCTION("GOOGLETRANSLATE(A9808,""en"",""hy"")"),"Ո՞ր քաղաքում է գտնվում Սպիտակ տունը:")</f>
        <v>Ո՞ր քաղաքում է գտնվում Սպիտակ տունը:</v>
      </c>
      <c r="D9808" s="6" t="str">
        <f>IFERROR(__xludf.DUMMYFUNCTION("GOOGLETRANSLATE(B9808,""en"",""hy"")"),"Վաշինգտոն, D.C.")</f>
        <v>Վաշինգտոն, D.C.</v>
      </c>
    </row>
    <row r="9809">
      <c r="A9809" s="5" t="s">
        <v>7479</v>
      </c>
      <c r="B9809" s="5" t="s">
        <v>1996</v>
      </c>
      <c r="C9809" s="5" t="str">
        <f>IFERROR(__xludf.DUMMYFUNCTION("GOOGLETRANSLATE(A9809,""en"",""hy"")"),"Ո՞վ է Միացյալ Թագավորության ներկայիս վարչապետը:")</f>
        <v>Ո՞վ է Միացյալ Թագավորության ներկայիս վարչապետը:</v>
      </c>
      <c r="D9809" s="6" t="str">
        <f>IFERROR(__xludf.DUMMYFUNCTION("GOOGLETRANSLATE(B9809,""en"",""hy"")"),"Բորիս Ջոնսոն.")</f>
        <v>Բորիս Ջոնսոն.</v>
      </c>
    </row>
    <row r="9810">
      <c r="A9810" s="5" t="s">
        <v>7513</v>
      </c>
      <c r="B9810" s="5" t="s">
        <v>8337</v>
      </c>
      <c r="C9810" s="5" t="str">
        <f>IFERROR(__xludf.DUMMYFUNCTION("GOOGLETRANSLATE(A9810,""en"",""hy"")"),"Ո՞րն է աշխարհի ամենամեծ անապատը:")</f>
        <v>Ո՞րն է աշխարհի ամենամեծ անապատը:</v>
      </c>
      <c r="D9810" s="6" t="str">
        <f>IFERROR(__xludf.DUMMYFUNCTION("GOOGLETRANSLATE(B9810,""en"",""hy"")"),"Աշխարհի ամենամեծ անապատը Անտարկտիդայի անապատն է։")</f>
        <v>Աշխարհի ամենամեծ անապատը Անտարկտիդայի անապատն է։</v>
      </c>
    </row>
    <row r="9811">
      <c r="A9811" s="5" t="s">
        <v>7473</v>
      </c>
      <c r="B9811" s="5" t="s">
        <v>7474</v>
      </c>
      <c r="C9811" s="5" t="str">
        <f>IFERROR(__xludf.DUMMYFUNCTION("GOOGLETRANSLATE(A9811,""en"",""hy"")"),"Ո՞վ է նկարել Սիքստինյան կապելլայի առաստաղը:")</f>
        <v>Ո՞վ է նկարել Սիքստինյան կապելլայի առաստաղը:</v>
      </c>
      <c r="D9811" s="6" t="str">
        <f>IFERROR(__xludf.DUMMYFUNCTION("GOOGLETRANSLATE(B9811,""en"",""hy"")"),"Միքելանջելո.")</f>
        <v>Միքելանջելո.</v>
      </c>
    </row>
    <row r="9812">
      <c r="A9812" s="5" t="s">
        <v>8583</v>
      </c>
      <c r="B9812" s="5" t="s">
        <v>3535</v>
      </c>
      <c r="C9812" s="5" t="str">
        <f>IFERROR(__xludf.DUMMYFUNCTION("GOOGLETRANSLATE(A9812,""en"",""hy"")"),"Ո՞ր երկրում է գտնվում Մեծ արգելախութը:")</f>
        <v>Ո՞ր երկրում է գտնվում Մեծ արգելախութը:</v>
      </c>
      <c r="D9812" s="6" t="str">
        <f>IFERROR(__xludf.DUMMYFUNCTION("GOOGLETRANSLATE(B9812,""en"",""hy"")"),"Ավստրալիա.")</f>
        <v>Ավստրալիա.</v>
      </c>
    </row>
    <row r="9813">
      <c r="A9813" s="5" t="s">
        <v>8198</v>
      </c>
      <c r="B9813" s="5" t="s">
        <v>8199</v>
      </c>
      <c r="C9813" s="5" t="str">
        <f>IFERROR(__xludf.DUMMYFUNCTION("GOOGLETRANSLATE(A9813,""en"",""hy"")"),"Ո՞րն է Չինաստանի ազգային կենդանին:")</f>
        <v>Ո՞րն է Չինաստանի ազգային կենդանին:</v>
      </c>
      <c r="D9813" s="6" t="str">
        <f>IFERROR(__xludf.DUMMYFUNCTION("GOOGLETRANSLATE(B9813,""en"",""hy"")"),"Չինաստանի ազգային կենդանին հսկա պանդան է։")</f>
        <v>Չինաստանի ազգային կենդանին հսկա պանդան է։</v>
      </c>
    </row>
    <row r="9814">
      <c r="A9814" s="5" t="s">
        <v>9360</v>
      </c>
      <c r="B9814" s="5" t="s">
        <v>8355</v>
      </c>
      <c r="C9814" s="5" t="str">
        <f>IFERROR(__xludf.DUMMYFUNCTION("GOOGLETRANSLATE(A9814,""en"",""hy"")"),"Ո՞վ է «1984»-ի հեղինակը.")</f>
        <v>Ո՞վ է «1984»-ի հեղինակը.</v>
      </c>
      <c r="D9814" s="6" t="str">
        <f>IFERROR(__xludf.DUMMYFUNCTION("GOOGLETRANSLATE(B9814,""en"",""hy"")"),"Ջորջ Օրուել")</f>
        <v>Ջորջ Օրուել</v>
      </c>
    </row>
    <row r="9815">
      <c r="A9815" s="5" t="s">
        <v>7557</v>
      </c>
      <c r="B9815" s="5" t="s">
        <v>7857</v>
      </c>
      <c r="C9815" s="5" t="str">
        <f>IFERROR(__xludf.DUMMYFUNCTION("GOOGLETRANSLATE(A9815,""en"",""hy"")"),"Ո՞րն է երկաթի քիմիական նշանը:")</f>
        <v>Ո՞րն է երկաթի քիմիական նշանը:</v>
      </c>
      <c r="D9815" s="6" t="str">
        <f>IFERROR(__xludf.DUMMYFUNCTION("GOOGLETRANSLATE(B9815,""en"",""hy"")"),"Երկաթի քիմիական նշանը Fe է:")</f>
        <v>Երկաթի քիմիական նշանը Fe է:</v>
      </c>
    </row>
    <row r="9816">
      <c r="A9816" s="5" t="s">
        <v>7920</v>
      </c>
      <c r="B9816" s="5" t="s">
        <v>8040</v>
      </c>
      <c r="C9816" s="5" t="str">
        <f>IFERROR(__xludf.DUMMYFUNCTION("GOOGLETRANSLATE(A9816,""en"",""hy"")"),"Ո՞ր երկրում է գտնվում Թաջ Մահալը:")</f>
        <v>Ո՞ր երկրում է գտնվում Թաջ Մահալը:</v>
      </c>
      <c r="D9816" s="6" t="str">
        <f>IFERROR(__xludf.DUMMYFUNCTION("GOOGLETRANSLATE(B9816,""en"",""hy"")"),"Հնդկաստան")</f>
        <v>Հնդկաստան</v>
      </c>
    </row>
    <row r="9817">
      <c r="A9817" s="5" t="s">
        <v>7654</v>
      </c>
      <c r="B9817" s="5" t="s">
        <v>7556</v>
      </c>
      <c r="C9817" s="5" t="str">
        <f>IFERROR(__xludf.DUMMYFUNCTION("GOOGLETRANSLATE(A9817,""en"",""hy"")"),"Ո՞վ է հայտնի որպես «Ժամանակակից ֆիզիկայի հայր»:")</f>
        <v>Ո՞վ է հայտնի որպես «Ժամանակակից ֆիզիկայի հայր»:</v>
      </c>
      <c r="D9817" s="6" t="str">
        <f>IFERROR(__xludf.DUMMYFUNCTION("GOOGLETRANSLATE(B9817,""en"",""hy"")"),"Albert Einstein.")</f>
        <v>Albert Einstein.</v>
      </c>
    </row>
    <row r="9818">
      <c r="A9818" s="5" t="s">
        <v>7574</v>
      </c>
      <c r="B9818" s="5" t="s">
        <v>7525</v>
      </c>
      <c r="C9818" s="5" t="str">
        <f>IFERROR(__xludf.DUMMYFUNCTION("GOOGLETRANSLATE(A9818,""en"",""hy"")"),"Ո՞րն է Չինաստանի մայրաքաղաքը:")</f>
        <v>Ո՞րն է Չինաստանի մայրաքաղաքը:</v>
      </c>
      <c r="D9818" s="6" t="str">
        <f>IFERROR(__xludf.DUMMYFUNCTION("GOOGLETRANSLATE(B9818,""en"",""hy"")"),"Պեկին.")</f>
        <v>Պեկին.</v>
      </c>
    </row>
    <row r="9819">
      <c r="A9819" s="5" t="s">
        <v>7528</v>
      </c>
      <c r="B9819" s="5" t="s">
        <v>7529</v>
      </c>
      <c r="C9819" s="5" t="str">
        <f>IFERROR(__xludf.DUMMYFUNCTION("GOOGLETRANSLATE(A9819,""en"",""hy"")"),"Ո՞վ է Գերմանիայի ներկայիս կանցլերը:")</f>
        <v>Ո՞վ է Գերմանիայի ներկայիս կանցլերը:</v>
      </c>
      <c r="D9819" s="6" t="str">
        <f>IFERROR(__xludf.DUMMYFUNCTION("GOOGLETRANSLATE(B9819,""en"",""hy"")"),"Անգելա Մերկել.")</f>
        <v>Անգելա Մերկել.</v>
      </c>
    </row>
    <row r="9820">
      <c r="A9820" s="5" t="s">
        <v>7564</v>
      </c>
      <c r="B9820" s="5" t="s">
        <v>7565</v>
      </c>
      <c r="C9820" s="5" t="str">
        <f>IFERROR(__xludf.DUMMYFUNCTION("GOOGLETRANSLATE(A9820,""en"",""hy"")"),"Ո՞րն է աշխարհի ամենամեծ գետը:")</f>
        <v>Ո՞րն է աշխարհի ամենամեծ գետը:</v>
      </c>
      <c r="D9820" s="6" t="str">
        <f>IFERROR(__xludf.DUMMYFUNCTION("GOOGLETRANSLATE(B9820,""en"",""hy"")"),"Աշխարհի ամենամեծ գետը Ամազոն գետն է։")</f>
        <v>Աշխարհի ամենամեծ գետը Ամազոն գետն է։</v>
      </c>
    </row>
    <row r="9821">
      <c r="A9821" s="5" t="s">
        <v>8246</v>
      </c>
      <c r="B9821" s="5" t="s">
        <v>7492</v>
      </c>
      <c r="C9821" s="5" t="str">
        <f>IFERROR(__xludf.DUMMYFUNCTION("GOOGLETRANSLATE(A9821,""en"",""hy"")"),"Ո՞վ է նկարել հայտնի «Աստղային գիշերը» արվեստի գործը:")</f>
        <v>Ո՞վ է նկարել հայտնի «Աստղային գիշերը» արվեստի գործը:</v>
      </c>
      <c r="D9821" s="6" t="str">
        <f>IFERROR(__xludf.DUMMYFUNCTION("GOOGLETRANSLATE(B9821,""en"",""hy"")"),"Վինսենթ վան Գոգ")</f>
        <v>Վինսենթ վան Գոգ</v>
      </c>
    </row>
    <row r="9822">
      <c r="A9822" s="5" t="s">
        <v>8267</v>
      </c>
      <c r="B9822" s="5" t="s">
        <v>8614</v>
      </c>
      <c r="C9822" s="5" t="str">
        <f>IFERROR(__xludf.DUMMYFUNCTION("GOOGLETRANSLATE(A9822,""en"",""hy"")"),"Ո՞ր երկիրն է հայտնի որպես «Կեսգիշերային արևի երկիր»:")</f>
        <v>Ո՞ր երկիրն է հայտնի որպես «Կեսգիշերային արևի երկիր»:</v>
      </c>
      <c r="D9822" s="6" t="str">
        <f>IFERROR(__xludf.DUMMYFUNCTION("GOOGLETRANSLATE(B9822,""en"",""hy"")"),"Նորվեգիա.")</f>
        <v>Նորվեգիա.</v>
      </c>
    </row>
    <row r="9823">
      <c r="A9823" s="5" t="s">
        <v>7480</v>
      </c>
      <c r="B9823" s="5" t="s">
        <v>7481</v>
      </c>
      <c r="C9823" s="5" t="str">
        <f>IFERROR(__xludf.DUMMYFUNCTION("GOOGLETRANSLATE(A9823,""en"",""hy"")"),"Ո՞րն է Միացյալ Նահանգների ազգային թռչունը:")</f>
        <v>Ո՞րն է Միացյալ Նահանգների ազգային թռչունը:</v>
      </c>
      <c r="D9823" s="6" t="str">
        <f>IFERROR(__xludf.DUMMYFUNCTION("GOOGLETRANSLATE(B9823,""en"",""hy"")"),"Միացյալ Նահանգների ազգային թռչունը ճաղատ արծիվն է։")</f>
        <v>Միացյալ Նահանգների ազգային թռչունը ճաղատ արծիվն է։</v>
      </c>
    </row>
    <row r="9824">
      <c r="A9824" s="5" t="s">
        <v>7660</v>
      </c>
      <c r="B9824" s="5" t="s">
        <v>7661</v>
      </c>
      <c r="C9824" s="5" t="str">
        <f>IFERROR(__xludf.DUMMYFUNCTION("GOOGLETRANSLATE(A9824,""en"",""hy"")"),"Ո՞վ է «Մեծն Գեթսբիի» հեղինակը.")</f>
        <v>Ո՞վ է «Մեծն Գեթսբիի» հեղինակը.</v>
      </c>
      <c r="D9824" s="6" t="str">
        <f>IFERROR(__xludf.DUMMYFUNCTION("GOOGLETRANSLATE(B9824,""en"",""hy"")"),"F. Scott Fitzgerald.")</f>
        <v>F. Scott Fitzgerald.</v>
      </c>
    </row>
    <row r="9825">
      <c r="A9825" s="5" t="s">
        <v>7665</v>
      </c>
      <c r="B9825" s="5" t="s">
        <v>7666</v>
      </c>
      <c r="C9825" s="5" t="str">
        <f>IFERROR(__xludf.DUMMYFUNCTION("GOOGLETRANSLATE(A9825,""en"",""hy"")"),"Ո՞րն է նատրիումի քիմիական նշանը:")</f>
        <v>Ո՞րն է նատրիումի քիմիական նշանը:</v>
      </c>
      <c r="D9825" s="6" t="str">
        <f>IFERROR(__xludf.DUMMYFUNCTION("GOOGLETRANSLATE(B9825,""en"",""hy"")"),"Նա")</f>
        <v>Նա</v>
      </c>
    </row>
    <row r="9826">
      <c r="A9826" s="5" t="s">
        <v>8245</v>
      </c>
      <c r="B9826" s="5" t="s">
        <v>7501</v>
      </c>
      <c r="C9826" s="5" t="str">
        <f>IFERROR(__xludf.DUMMYFUNCTION("GOOGLETRANSLATE(A9826,""en"",""hy"")"),"Ո՞ր քաղաքում է գտնվում Էյֆելյան աշտարակը:")</f>
        <v>Ո՞ր քաղաքում է գտնվում Էյֆելյան աշտարակը:</v>
      </c>
      <c r="D9826" s="6" t="str">
        <f>IFERROR(__xludf.DUMMYFUNCTION("GOOGLETRANSLATE(B9826,""en"",""hy"")"),"Փարիզ.")</f>
        <v>Փարիզ.</v>
      </c>
    </row>
    <row r="9827">
      <c r="A9827" s="5" t="s">
        <v>8843</v>
      </c>
      <c r="B9827" s="5" t="s">
        <v>9176</v>
      </c>
      <c r="C9827" s="5" t="str">
        <f>IFERROR(__xludf.DUMMYFUNCTION("GOOGLETRANSLATE(A9827,""en"",""hy"")"),"Ո՞վ է Հնդկաստանի ներկայիս վարչապետը:")</f>
        <v>Ո՞վ է Հնդկաստանի ներկայիս վարչապետը:</v>
      </c>
      <c r="D9827" s="6" t="str">
        <f>IFERROR(__xludf.DUMMYFUNCTION("GOOGLETRANSLATE(B9827,""en"",""hy"")"),"Նարենդրա Մոդի.")</f>
        <v>Նարենդրա Մոդի.</v>
      </c>
    </row>
    <row r="9828">
      <c r="A9828" s="5" t="s">
        <v>7526</v>
      </c>
      <c r="B9828" s="5" t="s">
        <v>7527</v>
      </c>
      <c r="C9828" s="5" t="str">
        <f>IFERROR(__xludf.DUMMYFUNCTION("GOOGLETRANSLATE(A9828,""en"",""hy"")"),"Ո՞րն է աշխարհի ամենամեծ կղզին:")</f>
        <v>Ո՞րն է աշխարհի ամենամեծ կղզին:</v>
      </c>
      <c r="D9828" s="6" t="str">
        <f>IFERROR(__xludf.DUMMYFUNCTION("GOOGLETRANSLATE(B9828,""en"",""hy"")"),"Գրենլանդիա.")</f>
        <v>Գրենլանդիա.</v>
      </c>
    </row>
    <row r="9829">
      <c r="A9829" s="5" t="s">
        <v>8123</v>
      </c>
      <c r="B9829" s="5" t="s">
        <v>7448</v>
      </c>
      <c r="C9829" s="5" t="str">
        <f>IFERROR(__xludf.DUMMYFUNCTION("GOOGLETRANSLATE(A9829,""en"",""hy"")"),"Ո՞վ է նկարել հայտնի «Վերջին ընթրիքը» ստեղծագործությունը:")</f>
        <v>Ո՞վ է նկարել հայտնի «Վերջին ընթրիքը» ստեղծագործությունը:</v>
      </c>
      <c r="D9829" s="6" t="str">
        <f>IFERROR(__xludf.DUMMYFUNCTION("GOOGLETRANSLATE(B9829,""en"",""hy"")"),"Լեոնարդո դա Վինչի.")</f>
        <v>Լեոնարդո դա Վինչի.</v>
      </c>
    </row>
    <row r="9830">
      <c r="A9830" s="5" t="s">
        <v>7793</v>
      </c>
      <c r="B9830" s="5" t="s">
        <v>9465</v>
      </c>
      <c r="C9830" s="5" t="str">
        <f>IFERROR(__xludf.DUMMYFUNCTION("GOOGLETRANSLATE(A9830,""en"",""hy"")"),"Ո՞ր երկիրն է հայտնի իր կակաչներով և հողմաղացներով:")</f>
        <v>Ո՞ր երկիրն է հայտնի իր կակաչներով և հողմաղացներով:</v>
      </c>
      <c r="D9830" s="6" t="str">
        <f>IFERROR(__xludf.DUMMYFUNCTION("GOOGLETRANSLATE(B9830,""en"",""hy"")"),"Նիդեռլանդներ")</f>
        <v>Նիդեռլանդներ</v>
      </c>
    </row>
    <row r="9831">
      <c r="A9831" s="5" t="s">
        <v>7791</v>
      </c>
      <c r="B9831" s="5" t="s">
        <v>8128</v>
      </c>
      <c r="C9831" s="5" t="str">
        <f>IFERROR(__xludf.DUMMYFUNCTION("GOOGLETRANSLATE(A9831,""en"",""hy"")"),"Ո՞րն է Ավստրալիայի ազգային կենդանին:")</f>
        <v>Ո՞րն է Ավստրալիայի ազգային կենդանին:</v>
      </c>
      <c r="D9831" s="6" t="str">
        <f>IFERROR(__xludf.DUMMYFUNCTION("GOOGLETRANSLATE(B9831,""en"",""hy"")"),"Կենգուրու.")</f>
        <v>Կենգուրու.</v>
      </c>
    </row>
    <row r="9832">
      <c r="A9832" s="5" t="s">
        <v>7679</v>
      </c>
      <c r="B9832" s="5" t="s">
        <v>7560</v>
      </c>
      <c r="C9832" s="5" t="str">
        <f>IFERROR(__xludf.DUMMYFUNCTION("GOOGLETRANSLATE(A9832,""en"",""hy"")"),"Ո՞վ է «The Catcher in the Rye»-ի հեղինակը.")</f>
        <v>Ո՞վ է «The Catcher in the Rye»-ի հեղինակը.</v>
      </c>
      <c r="D9832" s="6" t="str">
        <f>IFERROR(__xludf.DUMMYFUNCTION("GOOGLETRANSLATE(B9832,""en"",""hy"")"),"Ջ.Դ.Սելինջեր.")</f>
        <v>Ջ.Դ.Սելինջեր.</v>
      </c>
    </row>
    <row r="9833">
      <c r="A9833" s="5" t="s">
        <v>7761</v>
      </c>
      <c r="B9833" s="5" t="s">
        <v>7762</v>
      </c>
      <c r="C9833" s="5" t="str">
        <f>IFERROR(__xludf.DUMMYFUNCTION("GOOGLETRANSLATE(A9833,""en"",""hy"")"),"Ո՞րն է ջրածնի քիմիական նշանը:")</f>
        <v>Ո՞րն է ջրածնի քիմիական նշանը:</v>
      </c>
      <c r="D9833" s="6" t="str">
        <f>IFERROR(__xludf.DUMMYFUNCTION("GOOGLETRANSLATE(B9833,""en"",""hy"")"),"Հ")</f>
        <v>Հ</v>
      </c>
    </row>
    <row r="9834">
      <c r="A9834" s="5" t="s">
        <v>8250</v>
      </c>
      <c r="B9834" s="5" t="s">
        <v>7712</v>
      </c>
      <c r="C9834" s="5" t="str">
        <f>IFERROR(__xludf.DUMMYFUNCTION("GOOGLETRANSLATE(A9834,""en"",""hy"")"),"Ո՞ր քաղաքում է գտնվում Ազատության արձանը:")</f>
        <v>Ո՞ր քաղաքում է գտնվում Ազատության արձանը:</v>
      </c>
      <c r="D9834" s="6" t="str">
        <f>IFERROR(__xludf.DUMMYFUNCTION("GOOGLETRANSLATE(B9834,""en"",""hy"")"),"Նյու Յորք քաղաք.")</f>
        <v>Նյու Յորք քաղաք.</v>
      </c>
    </row>
    <row r="9835">
      <c r="A9835" s="5" t="s">
        <v>8159</v>
      </c>
      <c r="B9835" s="5" t="s">
        <v>10159</v>
      </c>
      <c r="C9835" s="5" t="str">
        <f>IFERROR(__xludf.DUMMYFUNCTION("GOOGLETRANSLATE(A9835,""en"",""hy"")"),"Ո՞վ է Ռուսաստանի ներկայիս նախագահը.")</f>
        <v>Ո՞վ է Ռուսաստանի ներկայիս նախագահը.</v>
      </c>
      <c r="D9835" s="6" t="str">
        <f>IFERROR(__xludf.DUMMYFUNCTION("GOOGLETRANSLATE(B9835,""en"",""hy"")"),"Ռուսաստանի ներկայիս նախագահը Վլադիմիր Պուտինն է։")</f>
        <v>Ռուսաստանի ներկայիս նախագահը Վլադիմիր Պուտինն է։</v>
      </c>
    </row>
    <row r="9836">
      <c r="A9836" s="5" t="s">
        <v>7691</v>
      </c>
      <c r="B9836" s="5" t="s">
        <v>7692</v>
      </c>
      <c r="C9836" s="5" t="str">
        <f>IFERROR(__xludf.DUMMYFUNCTION("GOOGLETRANSLATE(A9836,""en"",""hy"")"),"Ո՞րն է Աֆրիկայի ամենամեծ լիճը:")</f>
        <v>Ո՞րն է Աֆրիկայի ամենամեծ լիճը:</v>
      </c>
      <c r="D9836" s="6" t="str">
        <f>IFERROR(__xludf.DUMMYFUNCTION("GOOGLETRANSLATE(B9836,""en"",""hy"")"),"Վիկտորիա լիճ.")</f>
        <v>Վիկտորիա լիճ.</v>
      </c>
    </row>
    <row r="9837">
      <c r="A9837" s="5" t="s">
        <v>7744</v>
      </c>
      <c r="B9837" s="5" t="s">
        <v>8043</v>
      </c>
      <c r="C9837" s="5" t="str">
        <f>IFERROR(__xludf.DUMMYFUNCTION("GOOGLETRANSLATE(A9837,""en"",""hy"")"),"Ո՞վ է նկարել հայտնի «Հիշողության համառությունը» ստեղծագործությունը:")</f>
        <v>Ո՞վ է նկարել հայտնի «Հիշողության համառությունը» ստեղծագործությունը:</v>
      </c>
      <c r="D9837" s="6" t="str">
        <f>IFERROR(__xludf.DUMMYFUNCTION("GOOGLETRANSLATE(B9837,""en"",""hy"")"),"Սալվադոր Դալի.")</f>
        <v>Սալվադոր Դալի.</v>
      </c>
    </row>
    <row r="9838">
      <c r="A9838" s="5" t="s">
        <v>7823</v>
      </c>
      <c r="B9838" s="5" t="s">
        <v>7824</v>
      </c>
      <c r="C9838" s="5" t="str">
        <f>IFERROR(__xludf.DUMMYFUNCTION("GOOGLETRANSLATE(A9838,""en"",""hy"")"),"Ո՞ր երկիրն է հայտնի որպես «կրակի և սառույցի երկիր»:")</f>
        <v>Ո՞ր երկիրն է հայտնի որպես «կրակի և սառույցի երկիր»:</v>
      </c>
      <c r="D9838" s="6" t="str">
        <f>IFERROR(__xludf.DUMMYFUNCTION("GOOGLETRANSLATE(B9838,""en"",""hy"")"),"Իսլանդիա.")</f>
        <v>Իսլանդիա.</v>
      </c>
    </row>
    <row r="9839">
      <c r="A9839" s="5" t="s">
        <v>8055</v>
      </c>
      <c r="B9839" s="5" t="s">
        <v>10160</v>
      </c>
      <c r="C9839" s="5" t="str">
        <f>IFERROR(__xludf.DUMMYFUNCTION("GOOGLETRANSLATE(A9839,""en"",""hy"")"),"Ո՞րն է Ճապոնիայի ազգային սպորտը:")</f>
        <v>Ո՞րն է Ճապոնիայի ազգային սպորտը:</v>
      </c>
      <c r="D9839" s="6" t="str">
        <f>IFERROR(__xludf.DUMMYFUNCTION("GOOGLETRANSLATE(B9839,""en"",""hy"")"),"Սումո.")</f>
        <v>Սումո.</v>
      </c>
    </row>
    <row r="9840">
      <c r="A9840" s="5" t="s">
        <v>9411</v>
      </c>
      <c r="B9840" s="5" t="s">
        <v>7906</v>
      </c>
      <c r="C9840" s="5" t="str">
        <f>IFERROR(__xludf.DUMMYFUNCTION("GOOGLETRANSLATE(A9840,""en"",""hy"")"),"Ո՞վ է «Նարնիայի քրոնիկները» շարքի հեղինակը.")</f>
        <v>Ո՞վ է «Նարնիայի քրոնիկները» շարքի հեղինակը.</v>
      </c>
      <c r="D9840" s="6" t="str">
        <f>IFERROR(__xludf.DUMMYFUNCTION("GOOGLETRANSLATE(B9840,""en"",""hy"")"),"C.S. Լյուիս.")</f>
        <v>C.S. Լյուիս.</v>
      </c>
    </row>
    <row r="9841">
      <c r="A9841" s="5" t="s">
        <v>7509</v>
      </c>
      <c r="B9841" s="5" t="s">
        <v>7684</v>
      </c>
      <c r="C9841" s="5" t="str">
        <f>IFERROR(__xludf.DUMMYFUNCTION("GOOGLETRANSLATE(A9841,""en"",""hy"")"),"Ո՞րն է արծաթի քիմիական նշանը:")</f>
        <v>Ո՞րն է արծաթի քիմիական նշանը:</v>
      </c>
      <c r="D9841" s="6" t="str">
        <f>IFERROR(__xludf.DUMMYFUNCTION("GOOGLETRANSLATE(B9841,""en"",""hy"")"),"Արծաթի քիմիական խորհրդանիշն է Ag.")</f>
        <v>Արծաթի քիմիական խորհրդանիշն է Ag.</v>
      </c>
    </row>
    <row r="9842">
      <c r="A9842" s="5" t="s">
        <v>8265</v>
      </c>
      <c r="B9842" s="5" t="s">
        <v>7545</v>
      </c>
      <c r="C9842" s="5" t="str">
        <f>IFERROR(__xludf.DUMMYFUNCTION("GOOGLETRANSLATE(A9842,""en"",""hy"")"),"Ո՞ր քաղաքում է գտնվում Կոլիզեյը:")</f>
        <v>Ո՞ր քաղաքում է գտնվում Կոլիզեյը:</v>
      </c>
      <c r="D9842" s="6" t="str">
        <f>IFERROR(__xludf.DUMMYFUNCTION("GOOGLETRANSLATE(B9842,""en"",""hy"")"),"Հռոմ.")</f>
        <v>Հռոմ.</v>
      </c>
    </row>
    <row r="9843">
      <c r="A9843" s="5" t="s">
        <v>7566</v>
      </c>
      <c r="B9843" s="5" t="s">
        <v>7567</v>
      </c>
      <c r="C9843" s="5" t="str">
        <f>IFERROR(__xludf.DUMMYFUNCTION("GOOGLETRANSLATE(A9843,""en"",""hy"")"),"Ո՞վ է Կանադայի ներկայիս վարչապետը:")</f>
        <v>Ո՞վ է Կանադայի ներկայիս վարչապետը:</v>
      </c>
      <c r="D9843" s="6" t="str">
        <f>IFERROR(__xludf.DUMMYFUNCTION("GOOGLETRANSLATE(B9843,""en"",""hy"")"),"Ջասթին Թրյուդո")</f>
        <v>Ջասթին Թրյուդո</v>
      </c>
    </row>
    <row r="9844">
      <c r="A9844" s="5" t="s">
        <v>7724</v>
      </c>
      <c r="B9844" s="5" t="s">
        <v>7725</v>
      </c>
      <c r="C9844" s="5" t="str">
        <f>IFERROR(__xludf.DUMMYFUNCTION("GOOGLETRANSLATE(A9844,""en"",""hy"")"),"Ո՞րն է աշխարհի ամենամեծ անտառը:")</f>
        <v>Ո՞րն է աշխարհի ամենամեծ անտառը:</v>
      </c>
      <c r="D9844" s="6" t="str">
        <f>IFERROR(__xludf.DUMMYFUNCTION("GOOGLETRANSLATE(B9844,""en"",""hy"")"),"Ամազոնի անձրևային անտառ.")</f>
        <v>Ամազոնի անձրևային անտառ.</v>
      </c>
    </row>
    <row r="9845">
      <c r="A9845" s="5" t="s">
        <v>8264</v>
      </c>
      <c r="B9845" s="5" t="s">
        <v>7621</v>
      </c>
      <c r="C9845" s="5" t="str">
        <f>IFERROR(__xludf.DUMMYFUNCTION("GOOGLETRANSLATE(A9845,""en"",""hy"")"),"Ո՞վ է նկարել հայտնի «Վեներայի ծնունդը» ստեղծագործությունը:")</f>
        <v>Ո՞վ է նկարել հայտնի «Վեներայի ծնունդը» ստեղծագործությունը:</v>
      </c>
      <c r="D9845" s="6" t="str">
        <f>IFERROR(__xludf.DUMMYFUNCTION("GOOGLETRANSLATE(B9845,""en"",""hy"")"),"Սանդրո Բոտիչելի.")</f>
        <v>Սանդրո Բոտիչելի.</v>
      </c>
    </row>
    <row r="9846">
      <c r="A9846" s="5" t="s">
        <v>9708</v>
      </c>
      <c r="B9846" s="5" t="s">
        <v>3535</v>
      </c>
      <c r="C9846" s="5" t="str">
        <f>IFERROR(__xludf.DUMMYFUNCTION("GOOGLETRANSLATE(A9846,""en"",""hy"")"),"Ո՞ր երկիրն է հայտնի իր կենգուրուներով և կոալաներով:")</f>
        <v>Ո՞ր երկիրն է հայտնի իր կենգուրուներով և կոալաներով:</v>
      </c>
      <c r="D9846" s="6" t="str">
        <f>IFERROR(__xludf.DUMMYFUNCTION("GOOGLETRANSLATE(B9846,""en"",""hy"")"),"Ավստրալիա.")</f>
        <v>Ավստրալիա.</v>
      </c>
    </row>
    <row r="9847">
      <c r="A9847" s="5" t="s">
        <v>7817</v>
      </c>
      <c r="B9847" s="5" t="s">
        <v>7818</v>
      </c>
      <c r="C9847" s="5" t="str">
        <f>IFERROR(__xludf.DUMMYFUNCTION("GOOGLETRANSLATE(A9847,""en"",""hy"")"),"Ո՞րն է Կանադայի ազգային կենդանին:")</f>
        <v>Ո՞րն է Կանադայի ազգային կենդանին:</v>
      </c>
      <c r="D9847" s="6" t="str">
        <f>IFERROR(__xludf.DUMMYFUNCTION("GOOGLETRANSLATE(B9847,""en"",""hy"")"),"Կանադայի ազգային կենդանին կեղևն է:")</f>
        <v>Կանադայի ազգային կենդանին կեղևն է:</v>
      </c>
    </row>
    <row r="9848">
      <c r="A9848" s="5" t="s">
        <v>7644</v>
      </c>
      <c r="B9848" s="5" t="s">
        <v>7541</v>
      </c>
      <c r="C9848" s="5" t="str">
        <f>IFERROR(__xludf.DUMMYFUNCTION("GOOGLETRANSLATE(A9848,""en"",""hy"")"),"Ո՞վ է «Սպանել ծաղրող թռչունին» գրքի հեղինակը.")</f>
        <v>Ո՞վ է «Սպանել ծաղրող թռչունին» գրքի հեղինակը.</v>
      </c>
      <c r="D9848" s="6" t="str">
        <f>IFERROR(__xludf.DUMMYFUNCTION("GOOGLETRANSLATE(B9848,""en"",""hy"")"),"Հարփեր Լի.")</f>
        <v>Հարփեր Լի.</v>
      </c>
    </row>
    <row r="9849">
      <c r="A9849" s="5" t="s">
        <v>7875</v>
      </c>
      <c r="B9849" s="5" t="s">
        <v>7876</v>
      </c>
      <c r="C9849" s="5" t="str">
        <f>IFERROR(__xludf.DUMMYFUNCTION("GOOGLETRANSLATE(A9849,""en"",""hy"")"),"Ո՞րն է ազոտի քիմիական նշանը:")</f>
        <v>Ո՞րն է ազոտի քիմիական նշանը:</v>
      </c>
      <c r="D9849" s="6" t="str">
        <f>IFERROR(__xludf.DUMMYFUNCTION("GOOGLETRANSLATE(B9849,""en"",""hy"")"),"Ազոտի քիմիական նշանն է N.")</f>
        <v>Ազոտի քիմիական նշանն է N.</v>
      </c>
    </row>
    <row r="9850">
      <c r="A9850" s="5" t="s">
        <v>9300</v>
      </c>
      <c r="B9850" s="5" t="s">
        <v>7598</v>
      </c>
      <c r="C9850" s="5" t="str">
        <f>IFERROR(__xludf.DUMMYFUNCTION("GOOGLETRANSLATE(A9850,""en"",""hy"")"),"Ո՞ր քաղաքում է գտնվում Սիդնեյի օպերային թատրոնը:")</f>
        <v>Ո՞ր քաղաքում է գտնվում Սիդնեյի օպերային թատրոնը:</v>
      </c>
      <c r="D9850" s="6" t="str">
        <f>IFERROR(__xludf.DUMMYFUNCTION("GOOGLETRANSLATE(B9850,""en"",""hy"")"),"Սիդնեյ.")</f>
        <v>Սիդնեյ.</v>
      </c>
    </row>
    <row r="9851">
      <c r="A9851" s="5" t="s">
        <v>7601</v>
      </c>
      <c r="B9851" s="5" t="s">
        <v>3966</v>
      </c>
      <c r="C9851" s="5" t="str">
        <f>IFERROR(__xludf.DUMMYFUNCTION("GOOGLETRANSLATE(A9851,""en"",""hy"")"),"Ո՞վ է Ֆրանսիայի ներկայիս նախագահը.")</f>
        <v>Ո՞վ է Ֆրանսիայի ներկայիս նախագահը.</v>
      </c>
      <c r="D9851" s="6" t="str">
        <f>IFERROR(__xludf.DUMMYFUNCTION("GOOGLETRANSLATE(B9851,""en"",""hy"")"),"Էմանուել Մակրոն.")</f>
        <v>Էմանուել Մակրոն.</v>
      </c>
    </row>
    <row r="9852">
      <c r="A9852" s="5" t="s">
        <v>9184</v>
      </c>
      <c r="B9852" s="5" t="s">
        <v>9185</v>
      </c>
      <c r="C9852" s="5" t="str">
        <f>IFERROR(__xludf.DUMMYFUNCTION("GOOGLETRANSLATE(A9852,""en"",""hy"")"),"Ո՞րն է Հյուսիսային Ամերիկայի ամենամեծ լիճը:")</f>
        <v>Ո՞րն է Հյուսիսային Ամերիկայի ամենամեծ լիճը:</v>
      </c>
      <c r="D9852" s="6" t="str">
        <f>IFERROR(__xludf.DUMMYFUNCTION("GOOGLETRANSLATE(B9852,""en"",""hy"")"),"Հյուսիսային Ամերիկայի ամենամեծ լիճը Սուպերիոր լիճն է։")</f>
        <v>Հյուսիսային Ամերիկայի ամենամեծ լիճը Սուպերիոր լիճն է։</v>
      </c>
    </row>
    <row r="9853">
      <c r="A9853" s="5" t="s">
        <v>8310</v>
      </c>
      <c r="B9853" s="5" t="s">
        <v>7585</v>
      </c>
      <c r="C9853" s="5" t="str">
        <f>IFERROR(__xludf.DUMMYFUNCTION("GOOGLETRANSLATE(A9853,""en"",""hy"")"),"Ո՞վ է նկարել հայտնի «Ճիչ»-ը:")</f>
        <v>Ո՞վ է նկարել հայտնի «Ճիչ»-ը:</v>
      </c>
      <c r="D9853" s="6" t="str">
        <f>IFERROR(__xludf.DUMMYFUNCTION("GOOGLETRANSLATE(B9853,""en"",""hy"")"),"Էդվարդ Մունկ.")</f>
        <v>Էդվարդ Մունկ.</v>
      </c>
    </row>
    <row r="9854">
      <c r="A9854" s="5" t="s">
        <v>7477</v>
      </c>
      <c r="B9854" s="5" t="s">
        <v>7784</v>
      </c>
      <c r="C9854" s="5" t="str">
        <f>IFERROR(__xludf.DUMMYFUNCTION("GOOGLETRANSLATE(A9854,""en"",""hy"")"),"Ո՞ր երկիրն է հայտնի որպես «Ծագող արևի երկիր»:")</f>
        <v>Ո՞ր երկիրն է հայտնի որպես «Ծագող արևի երկիր»:</v>
      </c>
      <c r="D9854" s="6" t="str">
        <f>IFERROR(__xludf.DUMMYFUNCTION("GOOGLETRANSLATE(B9854,""en"",""hy"")"),"Ճապոնիա")</f>
        <v>Ճապոնիա</v>
      </c>
    </row>
    <row r="9855">
      <c r="A9855" s="5" t="s">
        <v>8091</v>
      </c>
      <c r="B9855" s="5" t="s">
        <v>9745</v>
      </c>
      <c r="C9855" s="5" t="str">
        <f>IFERROR(__xludf.DUMMYFUNCTION("GOOGLETRANSLATE(A9855,""en"",""hy"")"),"Ո՞րն է Բրազիլիայի ազգային սպորտը:")</f>
        <v>Ո՞րն է Բրազիլիայի ազգային սպորտը:</v>
      </c>
      <c r="D9855" s="6" t="str">
        <f>IFERROR(__xludf.DUMMYFUNCTION("GOOGLETRANSLATE(B9855,""en"",""hy"")"),"Բրազիլիայի ազգային սպորտը ֆուտբոլն է (ֆուտբոլ):")</f>
        <v>Բրազիլիայի ազգային սպորտը ֆուտբոլն է (ֆուտբոլ):</v>
      </c>
    </row>
    <row r="9856">
      <c r="A9856" s="5" t="s">
        <v>7664</v>
      </c>
      <c r="B9856" s="5" t="s">
        <v>7578</v>
      </c>
      <c r="C9856" s="5" t="str">
        <f>IFERROR(__xludf.DUMMYFUNCTION("GOOGLETRANSLATE(A9856,""en"",""hy"")"),"Ո՞վ է «Մոբի-Դիկի» հեղինակը։")</f>
        <v>Ո՞վ է «Մոբի-Դիկի» հեղինակը։</v>
      </c>
      <c r="D9856" s="6" t="str">
        <f>IFERROR(__xludf.DUMMYFUNCTION("GOOGLETRANSLATE(B9856,""en"",""hy"")"),"Հերման Մելվիլ.")</f>
        <v>Հերման Մելվիլ.</v>
      </c>
    </row>
    <row r="9857">
      <c r="A9857" s="5" t="s">
        <v>7738</v>
      </c>
      <c r="B9857" s="5" t="s">
        <v>8004</v>
      </c>
      <c r="C9857" s="5" t="str">
        <f>IFERROR(__xludf.DUMMYFUNCTION("GOOGLETRANSLATE(A9857,""en"",""hy"")"),"Ո՞րն է կալցիումի քիմիական նշանը:")</f>
        <v>Ո՞րն է կալցիումի քիմիական նշանը:</v>
      </c>
      <c r="D9857" s="6" t="str">
        <f>IFERROR(__xludf.DUMMYFUNCTION("GOOGLETRANSLATE(B9857,""en"",""hy"")"),"Ք.ա")</f>
        <v>Ք.ա</v>
      </c>
    </row>
    <row r="9858">
      <c r="A9858" s="5" t="s">
        <v>9829</v>
      </c>
      <c r="B9858" s="5" t="s">
        <v>9030</v>
      </c>
      <c r="C9858" s="5" t="str">
        <f>IFERROR(__xludf.DUMMYFUNCTION("GOOGLETRANSLATE(A9858,""en"",""hy"")"),"Ո՞ր քաղաքում է գտնվում Թաջ Մահալը:")</f>
        <v>Ո՞ր քաղաքում է գտնվում Թաջ Մահալը:</v>
      </c>
      <c r="D9858" s="6" t="str">
        <f>IFERROR(__xludf.DUMMYFUNCTION("GOOGLETRANSLATE(B9858,""en"",""hy"")"),"Ագրա.")</f>
        <v>Ագրա.</v>
      </c>
    </row>
    <row r="9859">
      <c r="A9859" s="5" t="s">
        <v>8142</v>
      </c>
      <c r="B9859" s="5" t="s">
        <v>8867</v>
      </c>
      <c r="C9859" s="5" t="str">
        <f>IFERROR(__xludf.DUMMYFUNCTION("GOOGLETRANSLATE(A9859,""en"",""hy"")"),"Ո՞վ է Ավստրալիայի ներկայիս վարչապետը:")</f>
        <v>Ո՞վ է Ավստրալիայի ներկայիս վարչապետը:</v>
      </c>
      <c r="D9859" s="6" t="str">
        <f>IFERROR(__xludf.DUMMYFUNCTION("GOOGLETRANSLATE(B9859,""en"",""hy"")"),"Սքոթ Մորիսոն")</f>
        <v>Սքոթ Մորիսոն</v>
      </c>
    </row>
    <row r="9860">
      <c r="A9860" s="5" t="s">
        <v>7618</v>
      </c>
      <c r="B9860" s="5" t="s">
        <v>8266</v>
      </c>
      <c r="C9860" s="5" t="str">
        <f>IFERROR(__xludf.DUMMYFUNCTION("GOOGLETRANSLATE(A9860,""en"",""hy"")"),"Ո՞րն է աշխարհի ամենամեծ ջրվեժը:")</f>
        <v>Ո՞րն է աշխարհի ամենամեծ ջրվեժը:</v>
      </c>
      <c r="D9860" s="6" t="str">
        <f>IFERROR(__xludf.DUMMYFUNCTION("GOOGLETRANSLATE(B9860,""en"",""hy"")"),"Աշխարհի ամենամեծ ջրվեժը Վենեսուելայում գտնվող Անխել ջրվեժն է:")</f>
        <v>Աշխարհի ամենամեծ ջրվեժը Վենեսուելայում գտնվող Անխել ջրվեժն է:</v>
      </c>
    </row>
    <row r="9861">
      <c r="A9861" s="5" t="s">
        <v>8275</v>
      </c>
      <c r="B9861" s="5" t="s">
        <v>7549</v>
      </c>
      <c r="C9861" s="5" t="str">
        <f>IFERROR(__xludf.DUMMYFUNCTION("GOOGLETRANSLATE(A9861,""en"",""hy"")"),"Ո՞վ է նկարել հայտնի «Մարգարտյա ականջօղով աղջիկը» ստեղծագործությունը:")</f>
        <v>Ո՞վ է նկարել հայտնի «Մարգարտյա ականջօղով աղջիկը» ստեղծագործությունը:</v>
      </c>
      <c r="D9861" s="6" t="str">
        <f>IFERROR(__xludf.DUMMYFUNCTION("GOOGLETRANSLATE(B9861,""en"",""hy"")"),"Յոհաննես Վերմեեր.")</f>
        <v>Յոհաննես Վերմեեր.</v>
      </c>
    </row>
    <row r="9862">
      <c r="A9862" s="5" t="s">
        <v>8613</v>
      </c>
      <c r="B9862" s="5" t="s">
        <v>8614</v>
      </c>
      <c r="C9862" s="5" t="str">
        <f>IFERROR(__xludf.DUMMYFUNCTION("GOOGLETRANSLATE(A9862,""en"",""hy"")"),"Ո՞ր երկիրն է հայտնի իր ֆյորդներով և վիկինգներով:")</f>
        <v>Ո՞ր երկիրն է հայտնի իր ֆյորդներով և վիկինգներով:</v>
      </c>
      <c r="D9862" s="6" t="str">
        <f>IFERROR(__xludf.DUMMYFUNCTION("GOOGLETRANSLATE(B9862,""en"",""hy"")"),"Նորվեգիա.")</f>
        <v>Նորվեգիա.</v>
      </c>
    </row>
    <row r="9863">
      <c r="A9863" s="5" t="s">
        <v>9027</v>
      </c>
      <c r="B9863" s="5" t="s">
        <v>9028</v>
      </c>
      <c r="C9863" s="5" t="str">
        <f>IFERROR(__xludf.DUMMYFUNCTION("GOOGLETRANSLATE(A9863,""en"",""hy"")"),"Ո՞րն է Բրազիլիայի ազգային կենդանին:")</f>
        <v>Ո՞րն է Բրազիլիայի ազգային կենդանին:</v>
      </c>
      <c r="D9863" s="6" t="str">
        <f>IFERROR(__xludf.DUMMYFUNCTION("GOOGLETRANSLATE(B9863,""en"",""hy"")"),"Բրազիլիայի ազգային կենդանին յագուարն է։")</f>
        <v>Բրազիլիայի ազգային կենդանին յագուարն է։</v>
      </c>
    </row>
    <row r="9864">
      <c r="A9864" s="5" t="s">
        <v>9866</v>
      </c>
      <c r="B9864" s="5" t="s">
        <v>9867</v>
      </c>
      <c r="C9864" s="5" t="str">
        <f>IFERROR(__xludf.DUMMYFUNCTION("GOOGLETRANSLATE(A9864,""en"",""hy"")"),"Ո՞վ է «Քենթերբերիի հեքիաթների» հեղինակը:")</f>
        <v>Ո՞վ է «Քենթերբերիի հեքիաթների» հեղինակը:</v>
      </c>
      <c r="D9864" s="6" t="str">
        <f>IFERROR(__xludf.DUMMYFUNCTION("GOOGLETRANSLATE(B9864,""en"",""hy"")"),"Ջեֆրի Չոսեր.")</f>
        <v>Ջեֆրի Չոսեր.</v>
      </c>
    </row>
    <row r="9865">
      <c r="A9865" s="5" t="s">
        <v>7893</v>
      </c>
      <c r="B9865" s="5" t="s">
        <v>7894</v>
      </c>
      <c r="C9865" s="5" t="str">
        <f>IFERROR(__xludf.DUMMYFUNCTION("GOOGLETRANSLATE(A9865,""en"",""hy"")"),"Ո՞րն է կալիումի քիմիական նշանը:")</f>
        <v>Ո՞րն է կալիումի քիմիական նշանը:</v>
      </c>
      <c r="D9865" s="6" t="str">
        <f>IFERROR(__xludf.DUMMYFUNCTION("GOOGLETRANSLATE(B9865,""en"",""hy"")"),"Կալիումի քիմիական նշանը Կ.")</f>
        <v>Կալիումի քիմիական նշանը Կ.</v>
      </c>
    </row>
    <row r="9866">
      <c r="A9866" s="5" t="s">
        <v>8552</v>
      </c>
      <c r="B9866" s="5" t="s">
        <v>7525</v>
      </c>
      <c r="C9866" s="5" t="str">
        <f>IFERROR(__xludf.DUMMYFUNCTION("GOOGLETRANSLATE(A9866,""en"",""hy"")"),"Ո՞ր քաղաքում է գտնվում Չինական Մեծ պարիսպը:")</f>
        <v>Ո՞ր քաղաքում է գտնվում Չինական Մեծ պարիսպը:</v>
      </c>
      <c r="D9866" s="6" t="str">
        <f>IFERROR(__xludf.DUMMYFUNCTION("GOOGLETRANSLATE(B9866,""en"",""hy"")"),"Պեկին.")</f>
        <v>Պեկին.</v>
      </c>
    </row>
    <row r="9867">
      <c r="A9867" s="5" t="s">
        <v>7528</v>
      </c>
      <c r="B9867" s="5" t="s">
        <v>7529</v>
      </c>
      <c r="C9867" s="5" t="str">
        <f>IFERROR(__xludf.DUMMYFUNCTION("GOOGLETRANSLATE(A9867,""en"",""hy"")"),"Ո՞վ է Գերմանիայի ներկայիս կանցլերը:")</f>
        <v>Ո՞վ է Գերմանիայի ներկայիս կանցլերը:</v>
      </c>
      <c r="D9867" s="6" t="str">
        <f>IFERROR(__xludf.DUMMYFUNCTION("GOOGLETRANSLATE(B9867,""en"",""hy"")"),"Անգելա Մերկել.")</f>
        <v>Անգելա Մերկել.</v>
      </c>
    </row>
    <row r="9868">
      <c r="A9868" s="5" t="s">
        <v>9689</v>
      </c>
      <c r="B9868" s="5" t="s">
        <v>10161</v>
      </c>
      <c r="C9868" s="5" t="str">
        <f>IFERROR(__xludf.DUMMYFUNCTION("GOOGLETRANSLATE(A9868,""en"",""hy"")"),"Ո՞րն է Եվրոպայի ամենամեծ լիճը:")</f>
        <v>Ո՞րն է Եվրոպայի ամենամեծ լիճը:</v>
      </c>
      <c r="D9868" s="6" t="str">
        <f>IFERROR(__xludf.DUMMYFUNCTION("GOOGLETRANSLATE(B9868,""en"",""hy"")"),"Եվրոպայի ամենամեծ լիճը Լադոգա լիճն է։")</f>
        <v>Եվրոպայի ամենամեծ լիճը Լադոգա լիճն է։</v>
      </c>
    </row>
    <row r="9869">
      <c r="A9869" s="5" t="s">
        <v>7709</v>
      </c>
      <c r="B9869" s="5" t="s">
        <v>7710</v>
      </c>
      <c r="C9869" s="5" t="str">
        <f>IFERROR(__xludf.DUMMYFUNCTION("GOOGLETRANSLATE(A9869,""en"",""hy"")"),"Ո՞վ է նկարել հայտնի «Գերնիկա» արվեստի գործը:")</f>
        <v>Ո՞վ է նկարել հայտնի «Գերնիկա» արվեստի գործը:</v>
      </c>
      <c r="D9869" s="6" t="str">
        <f>IFERROR(__xludf.DUMMYFUNCTION("GOOGLETRANSLATE(B9869,""en"",""hy"")"),"Պաբլո Պիկասո.")</f>
        <v>Պաբլո Պիկասո.</v>
      </c>
    </row>
    <row r="9870">
      <c r="A9870" s="5" t="s">
        <v>8813</v>
      </c>
      <c r="B9870" s="5" t="s">
        <v>8814</v>
      </c>
      <c r="C9870" s="5" t="str">
        <f>IFERROR(__xludf.DUMMYFUNCTION("GOOGLETRANSLATE(A9870,""en"",""hy"")"),"Ո՞ր երկիրն է հայտնի որպես «Երկար սպիտակ ամպի երկիր»:")</f>
        <v>Ո՞ր երկիրն է հայտնի որպես «Երկար սպիտակ ամպի երկիր»:</v>
      </c>
      <c r="D9870" s="6" t="str">
        <f>IFERROR(__xludf.DUMMYFUNCTION("GOOGLETRANSLATE(B9870,""en"",""hy"")"),"Նոր Զելանդիա.")</f>
        <v>Նոր Զելանդիա.</v>
      </c>
    </row>
    <row r="9871">
      <c r="A9871" s="5" t="s">
        <v>8151</v>
      </c>
      <c r="B9871" s="5" t="s">
        <v>8152</v>
      </c>
      <c r="C9871" s="5" t="str">
        <f>IFERROR(__xludf.DUMMYFUNCTION("GOOGLETRANSLATE(A9871,""en"",""hy"")"),"Ո՞րն է Հնդկաստանի ազգային կենդանին:")</f>
        <v>Ո՞րն է Հնդկաստանի ազգային կենդանին:</v>
      </c>
      <c r="D9871" s="6" t="str">
        <f>IFERROR(__xludf.DUMMYFUNCTION("GOOGLETRANSLATE(B9871,""en"",""hy"")"),"Հնդկաստանի ազգային կենդանին Բենգալյան վագրն է:")</f>
        <v>Հնդկաստանի ազգային կենդանին Բենգալյան վագրն է:</v>
      </c>
    </row>
    <row r="9872">
      <c r="A9872" s="5" t="s">
        <v>10162</v>
      </c>
      <c r="B9872" s="5" t="s">
        <v>10163</v>
      </c>
      <c r="C9872" s="5" t="str">
        <f>IFERROR(__xludf.DUMMYFUNCTION("GOOGLETRANSLATE(A9872,""en"",""hy"")"),"Ո՞վ է «Ցասման խաղողը» գրքի հեղինակը.")</f>
        <v>Ո՞վ է «Ցասման խաղողը» գրքի հեղինակը.</v>
      </c>
      <c r="D9872" s="6" t="str">
        <f>IFERROR(__xludf.DUMMYFUNCTION("GOOGLETRANSLATE(B9872,""en"",""hy"")"),"Ջոն Սթայնբեկ.")</f>
        <v>Ջոն Սթայնբեկ.</v>
      </c>
    </row>
    <row r="9873">
      <c r="A9873" s="5" t="s">
        <v>7809</v>
      </c>
      <c r="B9873" s="5" t="s">
        <v>7810</v>
      </c>
      <c r="C9873" s="5" t="str">
        <f>IFERROR(__xludf.DUMMYFUNCTION("GOOGLETRANSLATE(A9873,""en"",""hy"")"),"Ո՞րն է հելիումի քիմիական նշանը:")</f>
        <v>Ո՞րն է հելիումի քիմիական նշանը:</v>
      </c>
      <c r="D9873" s="6" t="str">
        <f>IFERROR(__xludf.DUMMYFUNCTION("GOOGLETRANSLATE(B9873,""en"",""hy"")"),"Նա")</f>
        <v>Նա</v>
      </c>
    </row>
    <row r="9874">
      <c r="A9874" s="5" t="s">
        <v>10164</v>
      </c>
      <c r="B9874" s="5" t="s">
        <v>7870</v>
      </c>
      <c r="C9874" s="5" t="str">
        <f>IFERROR(__xludf.DUMMYFUNCTION("GOOGLETRANSLATE(A9874,""en"",""hy"")"),"Ո՞ր քաղաքում է գտնվում Կրեմլը:")</f>
        <v>Ո՞ր քաղաքում է գտնվում Կրեմլը:</v>
      </c>
      <c r="D9874" s="6" t="str">
        <f>IFERROR(__xludf.DUMMYFUNCTION("GOOGLETRANSLATE(B9874,""en"",""hy"")"),"Մոսկվա.")</f>
        <v>Մոսկվա.</v>
      </c>
    </row>
    <row r="9875">
      <c r="A9875" s="5" t="s">
        <v>7879</v>
      </c>
      <c r="B9875" s="5" t="s">
        <v>4660</v>
      </c>
      <c r="C9875" s="5" t="str">
        <f>IFERROR(__xludf.DUMMYFUNCTION("GOOGLETRANSLATE(A9875,""en"",""hy"")"),"Ո՞վ է Բրազիլիայի ներկայիս նախագահը:")</f>
        <v>Ո՞վ է Բրազիլիայի ներկայիս նախագահը:</v>
      </c>
      <c r="D9875" s="6" t="str">
        <f>IFERROR(__xludf.DUMMYFUNCTION("GOOGLETRANSLATE(B9875,""en"",""hy"")"),"Ժաիր Բոլսոնարո.")</f>
        <v>Ժաիր Բոլսոնարո.</v>
      </c>
    </row>
    <row r="9876">
      <c r="A9876" s="5" t="s">
        <v>10113</v>
      </c>
      <c r="B9876" s="5" t="s">
        <v>10165</v>
      </c>
      <c r="C9876" s="5" t="str">
        <f>IFERROR(__xludf.DUMMYFUNCTION("GOOGLETRANSLATE(A9876,""en"",""hy"")"),"Ո՞րն է աշխարհի ամենամեծ լեռնաշղթան:")</f>
        <v>Ո՞րն է աշխարհի ամենամեծ լեռնաշղթան:</v>
      </c>
      <c r="D9876" s="6" t="str">
        <f>IFERROR(__xludf.DUMMYFUNCTION("GOOGLETRANSLATE(B9876,""en"",""hy"")"),"Հիմալայներ.")</f>
        <v>Հիմալայներ.</v>
      </c>
    </row>
    <row r="9877">
      <c r="A9877" s="5" t="s">
        <v>7744</v>
      </c>
      <c r="B9877" s="5" t="s">
        <v>7745</v>
      </c>
      <c r="C9877" s="5" t="str">
        <f>IFERROR(__xludf.DUMMYFUNCTION("GOOGLETRANSLATE(A9877,""en"",""hy"")"),"Ո՞վ է նկարել հայտնի «Հիշողության համառությունը» ստեղծագործությունը:")</f>
        <v>Ո՞վ է նկարել հայտնի «Հիշողության համառությունը» ստեղծագործությունը:</v>
      </c>
      <c r="D9877" s="6" t="str">
        <f>IFERROR(__xludf.DUMMYFUNCTION("GOOGLETRANSLATE(B9877,""en"",""hy"")"),"Սալվադոր Դալի.")</f>
        <v>Սալվադոր Դալի.</v>
      </c>
    </row>
    <row r="9878">
      <c r="A9878" s="5" t="s">
        <v>10166</v>
      </c>
      <c r="B9878" s="5" t="s">
        <v>9711</v>
      </c>
      <c r="C9878" s="5" t="str">
        <f>IFERROR(__xludf.DUMMYFUNCTION("GOOGLETRANSLATE(A9878,""en"",""hy"")"),"Ո՞ր երկիրն է հայտնի իր շոկոլադով և վաֆլիներով:")</f>
        <v>Ո՞ր երկիրն է հայտնի իր շոկոլադով և վաֆլիներով:</v>
      </c>
      <c r="D9878" s="6" t="str">
        <f>IFERROR(__xludf.DUMMYFUNCTION("GOOGLETRANSLATE(B9878,""en"",""hy"")"),"Բելգիա")</f>
        <v>Բելգիա</v>
      </c>
    </row>
    <row r="9879">
      <c r="A9879" s="5" t="s">
        <v>8372</v>
      </c>
      <c r="B9879" s="5" t="s">
        <v>9724</v>
      </c>
      <c r="C9879" s="5" t="str">
        <f>IFERROR(__xludf.DUMMYFUNCTION("GOOGLETRANSLATE(A9879,""en"",""hy"")"),"Ո՞րն է Ճապոնիայի ազգային կենդանին:")</f>
        <v>Ո՞րն է Ճապոնիայի ազգային կենդանին:</v>
      </c>
      <c r="D9879" s="6" t="str">
        <f>IFERROR(__xludf.DUMMYFUNCTION("GOOGLETRANSLATE(B9879,""en"",""hy"")"),"Ճապոնիայի ազգային կենդանին կանաչ փասիանն է։")</f>
        <v>Ճապոնիայի ազգային կենդանին կանաչ փասիանն է։</v>
      </c>
    </row>
    <row r="9880">
      <c r="A9880" s="5" t="s">
        <v>10167</v>
      </c>
      <c r="B9880" s="5" t="s">
        <v>10168</v>
      </c>
      <c r="C9880" s="5" t="str">
        <f>IFERROR(__xludf.DUMMYFUNCTION("GOOGLETRANSLATE(A9880,""en"",""hy"")"),"Ո՞վ է «Դորիան Գրեյի նկարը» ֆիլմի հեղինակը։")</f>
        <v>Ո՞վ է «Դորիան Գրեյի նկարը» ֆիլմի հեղինակը։</v>
      </c>
      <c r="D9880" s="6" t="str">
        <f>IFERROR(__xludf.DUMMYFUNCTION("GOOGLETRANSLATE(B9880,""en"",""hy"")"),"Օսկար Ուայլդ.")</f>
        <v>Օսկար Ուայլդ.</v>
      </c>
    </row>
    <row r="9881">
      <c r="A9881" s="5" t="s">
        <v>7678</v>
      </c>
      <c r="B9881" s="5" t="s">
        <v>7451</v>
      </c>
      <c r="C9881" s="5" t="str">
        <f>IFERROR(__xludf.DUMMYFUNCTION("GOOGLETRANSLATE(A9881,""en"",""hy"")"),"Ո՞րն է Ավստրալիայի մայրաքաղաքը:")</f>
        <v>Ո՞րն է Ավստրալիայի մայրաքաղաքը:</v>
      </c>
      <c r="D9881" s="6" t="str">
        <f>IFERROR(__xludf.DUMMYFUNCTION("GOOGLETRANSLATE(B9881,""en"",""hy"")"),"Կանբերա.")</f>
        <v>Կանբերա.</v>
      </c>
    </row>
    <row r="9882">
      <c r="A9882" s="5" t="s">
        <v>7447</v>
      </c>
      <c r="B9882" s="5" t="s">
        <v>7448</v>
      </c>
      <c r="C9882" s="5" t="str">
        <f>IFERROR(__xludf.DUMMYFUNCTION("GOOGLETRANSLATE(A9882,""en"",""hy"")"),"Ո՞վ է նկարել Մոնա Լիզան:")</f>
        <v>Ո՞վ է նկարել Մոնա Լիզան:</v>
      </c>
      <c r="D9882" s="6" t="str">
        <f>IFERROR(__xludf.DUMMYFUNCTION("GOOGLETRANSLATE(B9882,""en"",""hy"")"),"Լեոնարդո դա Վինչի.")</f>
        <v>Լեոնարդո դա Վինչի.</v>
      </c>
    </row>
    <row r="9883">
      <c r="A9883" s="5" t="s">
        <v>7846</v>
      </c>
      <c r="B9883" s="7">
        <v>1945.0</v>
      </c>
      <c r="C9883" s="5" t="str">
        <f>IFERROR(__xludf.DUMMYFUNCTION("GOOGLETRANSLATE(A9883,""en"",""hy"")"),"Ո՞ր տարում ավարտվեց Երկրորդ համաշխարհային պատերազմը:")</f>
        <v>Ո՞ր տարում ավարտվեց Երկրորդ համաշխարհային պատերազմը:</v>
      </c>
      <c r="D9883" s="6" t="str">
        <f>IFERROR(__xludf.DUMMYFUNCTION("GOOGLETRANSLATE(B9883,""en"",""hy"")"),"1945 թ")</f>
        <v>1945 թ</v>
      </c>
    </row>
    <row r="9884">
      <c r="A9884" s="5" t="s">
        <v>8099</v>
      </c>
      <c r="B9884" s="5" t="s">
        <v>8100</v>
      </c>
      <c r="C9884" s="5" t="str">
        <f>IFERROR(__xludf.DUMMYFUNCTION("GOOGLETRANSLATE(A9884,""en"",""hy"")"),"Քանի՞ մոլորակ կա մեր արեգակնային համակարգում:")</f>
        <v>Քանի՞ մոլորակ կա մեր արեգակնային համակարգում:</v>
      </c>
      <c r="D9884" s="6" t="str">
        <f>IFERROR(__xludf.DUMMYFUNCTION("GOOGLETRANSLATE(B9884,""en"",""hy"")"),"Մեր Արեգակնային համակարգում կա ութ մոլորակ:")</f>
        <v>Մեր Արեգակնային համակարգում կա ութ մոլորակ:</v>
      </c>
    </row>
    <row r="9885">
      <c r="A9885" s="5" t="s">
        <v>7455</v>
      </c>
      <c r="B9885" s="5" t="s">
        <v>7646</v>
      </c>
      <c r="C9885" s="5" t="str">
        <f>IFERROR(__xludf.DUMMYFUNCTION("GOOGLETRANSLATE(A9885,""en"",""hy"")"),"Ո՞րն է աշխարհի ամենամեծ օվկիանոսը:")</f>
        <v>Ո՞րն է աշխարհի ամենամեծ օվկիանոսը:</v>
      </c>
      <c r="D9885" s="6" t="str">
        <f>IFERROR(__xludf.DUMMYFUNCTION("GOOGLETRANSLATE(B9885,""en"",""hy"")"),"Խաղաղ օվկիանոս.")</f>
        <v>Խաղաղ օվկիանոս.</v>
      </c>
    </row>
    <row r="9886">
      <c r="A9886" s="5" t="s">
        <v>7698</v>
      </c>
      <c r="B9886" s="5" t="s">
        <v>7630</v>
      </c>
      <c r="C9886" s="5" t="str">
        <f>IFERROR(__xludf.DUMMYFUNCTION("GOOGLETRANSLATE(A9886,""en"",""hy"")"),"Ո՞վ է գրել «Հպարտություն և նախապաշարմունք» վեպը:")</f>
        <v>Ո՞վ է գրել «Հպարտություն և նախապաշարմունք» վեպը:</v>
      </c>
      <c r="D9886" s="6" t="str">
        <f>IFERROR(__xludf.DUMMYFUNCTION("GOOGLETRANSLATE(B9886,""en"",""hy"")"),"Ջեյն Օսթին.")</f>
        <v>Ջեյն Օսթին.</v>
      </c>
    </row>
    <row r="9887">
      <c r="A9887" s="5" t="s">
        <v>7452</v>
      </c>
      <c r="B9887" s="5" t="s">
        <v>7631</v>
      </c>
      <c r="C9887" s="5" t="str">
        <f>IFERROR(__xludf.DUMMYFUNCTION("GOOGLETRANSLATE(A9887,""en"",""hy"")"),"Ո՞րն է ոսկու քիմիական նշանը:")</f>
        <v>Ո՞րն է ոսկու քիմիական նշանը:</v>
      </c>
      <c r="D9887" s="6" t="str">
        <f>IFERROR(__xludf.DUMMYFUNCTION("GOOGLETRANSLATE(B9887,""en"",""hy"")"),"Ավ")</f>
        <v>Ավ</v>
      </c>
    </row>
    <row r="9888">
      <c r="A9888" s="5" t="s">
        <v>7463</v>
      </c>
      <c r="B9888" s="5" t="s">
        <v>7464</v>
      </c>
      <c r="C9888" s="5" t="str">
        <f>IFERROR(__xludf.DUMMYFUNCTION("GOOGLETRANSLATE(A9888,""en"",""hy"")"),"Ո՞րն է աշխարհի ամենաբարձր լեռը:")</f>
        <v>Ո՞րն է աշխարհի ամենաբարձր լեռը:</v>
      </c>
      <c r="D9888" s="6" t="str">
        <f>IFERROR(__xludf.DUMMYFUNCTION("GOOGLETRANSLATE(B9888,""en"",""hy"")"),"Էվերեստ լեռ.")</f>
        <v>Էվերեստ լեռ.</v>
      </c>
    </row>
    <row r="9889">
      <c r="A9889" s="5" t="s">
        <v>7773</v>
      </c>
      <c r="B9889" s="5" t="s">
        <v>8253</v>
      </c>
      <c r="C9889" s="5" t="str">
        <f>IFERROR(__xludf.DUMMYFUNCTION("GOOGLETRANSLATE(A9889,""en"",""hy"")"),"Ո՞վ է հայտնաբերել պենիցիլինը:")</f>
        <v>Ո՞վ է հայտնաբերել պենիցիլինը:</v>
      </c>
      <c r="D9889" s="6" t="str">
        <f>IFERROR(__xludf.DUMMYFUNCTION("GOOGLETRANSLATE(B9889,""en"",""hy"")"),"Ալեքսանդր Ֆլեմինգ.")</f>
        <v>Ալեքսանդր Ֆլեմինգ.</v>
      </c>
    </row>
    <row r="9890">
      <c r="A9890" s="5" t="s">
        <v>7817</v>
      </c>
      <c r="B9890" s="5" t="s">
        <v>7818</v>
      </c>
      <c r="C9890" s="5" t="str">
        <f>IFERROR(__xludf.DUMMYFUNCTION("GOOGLETRANSLATE(A9890,""en"",""hy"")"),"Ո՞րն է Կանադայի ազգային կենդանին:")</f>
        <v>Ո՞րն է Կանադայի ազգային կենդանին:</v>
      </c>
      <c r="D9890" s="6" t="str">
        <f>IFERROR(__xludf.DUMMYFUNCTION("GOOGLETRANSLATE(B9890,""en"",""hy"")"),"Կանադայի ազգային կենդանին կեղևն է:")</f>
        <v>Կանադայի ազգային կենդանին կեղևն է:</v>
      </c>
    </row>
    <row r="9891">
      <c r="A9891" s="5" t="s">
        <v>8103</v>
      </c>
      <c r="B9891" s="5" t="s">
        <v>7671</v>
      </c>
      <c r="C9891" s="5" t="str">
        <f>IFERROR(__xludf.DUMMYFUNCTION("GOOGLETRANSLATE(A9891,""en"",""hy"")"),"Ո՞րն է Աֆրիկայի ամենաերկար գետը:")</f>
        <v>Ո՞րն է Աֆրիկայի ամենաերկար գետը:</v>
      </c>
      <c r="D9891" s="6" t="str">
        <f>IFERROR(__xludf.DUMMYFUNCTION("GOOGLETRANSLATE(B9891,""en"",""hy"")"),"Նեղոս գետ.")</f>
        <v>Նեղոս գետ.</v>
      </c>
    </row>
    <row r="9892">
      <c r="A9892" s="5" t="s">
        <v>7467</v>
      </c>
      <c r="B9892" s="5" t="s">
        <v>7468</v>
      </c>
      <c r="C9892" s="5" t="str">
        <f>IFERROR(__xludf.DUMMYFUNCTION("GOOGLETRANSLATE(A9892,""en"",""hy"")"),"Ո՞րն է Ճապոնիայի արժույթը:")</f>
        <v>Ո՞րն է Ճապոնիայի արժույթը:</v>
      </c>
      <c r="D9892" s="6" t="str">
        <f>IFERROR(__xludf.DUMMYFUNCTION("GOOGLETRANSLATE(B9892,""en"",""hy"")"),"Ճապոնիայի արժույթը ճապոնական իենն է։")</f>
        <v>Ճապոնիայի արժույթը ճապոնական իենն է։</v>
      </c>
    </row>
    <row r="9893">
      <c r="A9893" s="5" t="s">
        <v>7534</v>
      </c>
      <c r="B9893" s="5" t="s">
        <v>7535</v>
      </c>
      <c r="C9893" s="5" t="str">
        <f>IFERROR(__xludf.DUMMYFUNCTION("GOOGLETRANSLATE(A9893,""en"",""hy"")"),"Ո՞վ է հորինել հեռախոսը:")</f>
        <v>Ո՞վ է հորինել հեռախոսը:</v>
      </c>
      <c r="D9893" s="6" t="str">
        <f>IFERROR(__xludf.DUMMYFUNCTION("GOOGLETRANSLATE(B9893,""en"",""hy"")"),"Ալեքսանդր Գրեհեմ Բել.")</f>
        <v>Ալեքսանդր Գրեհեմ Բել.</v>
      </c>
    </row>
    <row r="9894">
      <c r="A9894" s="5" t="s">
        <v>10169</v>
      </c>
      <c r="B9894" s="5" t="s">
        <v>7478</v>
      </c>
      <c r="C9894" s="5" t="str">
        <f>IFERROR(__xludf.DUMMYFUNCTION("GOOGLETRANSLATE(A9894,""en"",""hy"")"),"Ո՞ր երկիրն է հայտնի որպես «Ծագող արևի երկիր»:")</f>
        <v>Ո՞ր երկիրն է հայտնի որպես «Ծագող արևի երկիր»:</v>
      </c>
      <c r="D9894" s="6" t="str">
        <f>IFERROR(__xludf.DUMMYFUNCTION("GOOGLETRANSLATE(B9894,""en"",""hy"")"),"Ճապոնիա.")</f>
        <v>Ճապոնիա.</v>
      </c>
    </row>
    <row r="9895">
      <c r="A9895" s="5" t="s">
        <v>7672</v>
      </c>
      <c r="B9895" s="5" t="s">
        <v>7673</v>
      </c>
      <c r="C9895" s="5" t="str">
        <f>IFERROR(__xludf.DUMMYFUNCTION("GOOGLETRANSLATE(A9895,""en"",""hy"")"),"Ո՞րն է Հարավային Ամերիկայի ամենամեծ երկիրը:")</f>
        <v>Ո՞րն է Հարավային Ամերիկայի ամենամեծ երկիրը:</v>
      </c>
      <c r="D9895" s="6" t="str">
        <f>IFERROR(__xludf.DUMMYFUNCTION("GOOGLETRANSLATE(B9895,""en"",""hy"")"),"Բրազիլիա.")</f>
        <v>Բրազիլիա.</v>
      </c>
    </row>
    <row r="9896">
      <c r="A9896" s="5" t="s">
        <v>7838</v>
      </c>
      <c r="B9896" s="5" t="s">
        <v>7648</v>
      </c>
      <c r="C9896" s="5" t="str">
        <f>IFERROR(__xludf.DUMMYFUNCTION("GOOGLETRANSLATE(A9896,""en"",""hy"")"),"Ո՞վ է նկարել «Աստղային գիշերը»:")</f>
        <v>Ո՞վ է նկարել «Աստղային գիշերը»:</v>
      </c>
      <c r="D9896" s="6" t="str">
        <f>IFERROR(__xludf.DUMMYFUNCTION("GOOGLETRANSLATE(B9896,""en"",""hy"")"),"Վինսենթ վան Գոգ.")</f>
        <v>Վինսենթ վան Գոգ.</v>
      </c>
    </row>
    <row r="9897">
      <c r="A9897" s="5" t="s">
        <v>7506</v>
      </c>
      <c r="B9897" s="5" t="s">
        <v>7507</v>
      </c>
      <c r="C9897" s="5" t="str">
        <f>IFERROR(__xludf.DUMMYFUNCTION("GOOGLETRANSLATE(A9897,""en"",""hy"")"),"Ո՞րն է աշխարհի ամենափոքր երկիրը:")</f>
        <v>Ո՞րն է աշխարհի ամենափոքր երկիրը:</v>
      </c>
      <c r="D9897" s="6" t="str">
        <f>IFERROR(__xludf.DUMMYFUNCTION("GOOGLETRANSLATE(B9897,""en"",""hy"")"),"Քաղաք Վատիկան.")</f>
        <v>Քաղաք Վատիկան.</v>
      </c>
    </row>
    <row r="9898">
      <c r="A9898" s="5" t="s">
        <v>8041</v>
      </c>
      <c r="B9898" s="7">
        <v>1776.0</v>
      </c>
      <c r="C9898" s="5" t="str">
        <f>IFERROR(__xludf.DUMMYFUNCTION("GOOGLETRANSLATE(A9898,""en"",""hy"")"),"Ո՞ր թվականին է Միացյալ Նահանգները հռչակել անկախությունը:")</f>
        <v>Ո՞ր թվականին է Միացյալ Նահանգները հռչակել անկախությունը:</v>
      </c>
      <c r="D9898" s="6" t="str">
        <f>IFERROR(__xludf.DUMMYFUNCTION("GOOGLETRANSLATE(B9898,""en"",""hy"")"),"1776 թ")</f>
        <v>1776 թ</v>
      </c>
    </row>
    <row r="9899">
      <c r="A9899" s="5" t="s">
        <v>7845</v>
      </c>
      <c r="B9899" s="5" t="s">
        <v>3533</v>
      </c>
      <c r="C9899" s="5" t="str">
        <f>IFERROR(__xludf.DUMMYFUNCTION("GOOGLETRANSLATE(A9899,""en"",""hy"")"),"Ո՞րն է Բրազիլիայի պաշտոնական լեզուն:")</f>
        <v>Ո՞րն է Բրազիլիայի պաշտոնական լեզուն:</v>
      </c>
      <c r="D9899" s="6" t="str">
        <f>IFERROR(__xludf.DUMMYFUNCTION("GOOGLETRANSLATE(B9899,""en"",""hy"")"),"Բրազիլիայի պաշտոնական լեզուն պորտուգալերենն է։")</f>
        <v>Բրազիլիայի պաշտոնական լեզուն պորտուգալերենն է։</v>
      </c>
    </row>
    <row r="9900">
      <c r="A9900" s="5" t="s">
        <v>7640</v>
      </c>
      <c r="B9900" s="5" t="s">
        <v>1016</v>
      </c>
      <c r="C9900" s="5" t="str">
        <f>IFERROR(__xludf.DUMMYFUNCTION("GOOGLETRANSLATE(A9900,""en"",""hy"")"),"Ո՞վ է գրել «Ռոմեո և Ջուլիետ» պիեսը:")</f>
        <v>Ո՞վ է գրել «Ռոմեո և Ջուլիետ» պիեսը:</v>
      </c>
      <c r="D9900" s="6" t="str">
        <f>IFERROR(__xludf.DUMMYFUNCTION("GOOGLETRANSLATE(B9900,""en"",""hy"")"),"Ուիլյամ Շեքսպիր.")</f>
        <v>Ուիլյամ Շեքսպիր.</v>
      </c>
    </row>
    <row r="9901">
      <c r="A9901" s="5" t="s">
        <v>7627</v>
      </c>
      <c r="B9901" s="5" t="s">
        <v>7628</v>
      </c>
      <c r="C9901" s="5" t="str">
        <f>IFERROR(__xludf.DUMMYFUNCTION("GOOGLETRANSLATE(A9901,""en"",""hy"")"),"Ո՞րն է Ֆրանսիայի մայրաքաղաքը:")</f>
        <v>Ո՞րն է Ֆրանսիայի մայրաքաղաքը:</v>
      </c>
      <c r="D9901" s="6" t="str">
        <f>IFERROR(__xludf.DUMMYFUNCTION("GOOGLETRANSLATE(B9901,""en"",""hy"")"),"Ֆրանսիայի մայրաքաղաքը Փարիզն է։")</f>
        <v>Ֆրանսիայի մայրաքաղաքը Փարիզն է։</v>
      </c>
    </row>
    <row r="9902">
      <c r="A9902" s="5" t="s">
        <v>7852</v>
      </c>
      <c r="B9902" s="5" t="s">
        <v>9149</v>
      </c>
      <c r="C9902" s="5" t="str">
        <f>IFERROR(__xludf.DUMMYFUNCTION("GOOGLETRANSLATE(A9902,""en"",""hy"")"),"Ո՞վ է ներկայիս Անգլիայի թագուհին:")</f>
        <v>Ո՞վ է ներկայիս Անգլիայի թագուհին:</v>
      </c>
      <c r="D9902" s="6" t="str">
        <f>IFERROR(__xludf.DUMMYFUNCTION("GOOGLETRANSLATE(B9902,""en"",""hy"")"),"Անգլիայի ներկայիս թագուհին Էլիզաբեթ II թագուհին է։")</f>
        <v>Անգլիայի ներկայիս թագուհին Էլիզաբեթ II թագուհին է։</v>
      </c>
    </row>
    <row r="9903">
      <c r="A9903" s="5" t="s">
        <v>7513</v>
      </c>
      <c r="B9903" s="5" t="s">
        <v>8337</v>
      </c>
      <c r="C9903" s="5" t="str">
        <f>IFERROR(__xludf.DUMMYFUNCTION("GOOGLETRANSLATE(A9903,""en"",""hy"")"),"Ո՞րն է աշխարհի ամենամեծ անապատը:")</f>
        <v>Ո՞րն է աշխարհի ամենամեծ անապատը:</v>
      </c>
      <c r="D9903" s="6" t="str">
        <f>IFERROR(__xludf.DUMMYFUNCTION("GOOGLETRANSLATE(B9903,""en"",""hy"")"),"Աշխարհի ամենամեծ անապատը Անտարկտիդայի անապատն է։")</f>
        <v>Աշխարհի ամենամեծ անապատը Անտարկտիդայի անապատն է։</v>
      </c>
    </row>
    <row r="9904">
      <c r="A9904" s="5" t="s">
        <v>8106</v>
      </c>
      <c r="B9904" s="5" t="s">
        <v>7916</v>
      </c>
      <c r="C9904" s="5" t="str">
        <f>IFERROR(__xludf.DUMMYFUNCTION("GOOGLETRANSLATE(A9904,""en"",""hy"")"),"Քանի՞ ոսկոր կա մարդու մարմնում:")</f>
        <v>Քանի՞ ոսկոր կա մարդու մարմնում:</v>
      </c>
      <c r="D9904" s="6" t="str">
        <f>IFERROR(__xludf.DUMMYFUNCTION("GOOGLETRANSLATE(B9904,""en"",""hy"")"),"Մարդու մարմնում կա 206 ոսկոր։")</f>
        <v>Մարդու մարմնում կա 206 ոսկոր։</v>
      </c>
    </row>
    <row r="9905">
      <c r="A9905" s="5" t="s">
        <v>7955</v>
      </c>
      <c r="B9905" s="5" t="s">
        <v>7956</v>
      </c>
      <c r="C9905" s="5" t="str">
        <f>IFERROR(__xludf.DUMMYFUNCTION("GOOGLETRANSLATE(A9905,""en"",""hy"")"),"Ո՞վ է հայտնաբերել գրավիտացիան:")</f>
        <v>Ո՞վ է հայտնաբերել գրավիտացիան:</v>
      </c>
      <c r="D9905" s="6" t="str">
        <f>IFERROR(__xludf.DUMMYFUNCTION("GOOGLETRANSLATE(B9905,""en"",""hy"")"),"Իսահակ Նյուտոն.")</f>
        <v>Իսահակ Նյուտոն.</v>
      </c>
    </row>
    <row r="9906">
      <c r="A9906" s="5" t="s">
        <v>10170</v>
      </c>
      <c r="B9906" s="5" t="s">
        <v>3038</v>
      </c>
      <c r="C9906" s="5" t="str">
        <f>IFERROR(__xludf.DUMMYFUNCTION("GOOGLETRANSLATE(A9906,""en"",""hy"")"),"Ո՞րն է աշխարհի ամենամեծ կրոնը:")</f>
        <v>Ո՞րն է աշխարհի ամենամեծ կրոնը:</v>
      </c>
      <c r="D9906" s="6" t="str">
        <f>IFERROR(__xludf.DUMMYFUNCTION("GOOGLETRANSLATE(B9906,""en"",""hy"")"),"Քրիստոնեություն.")</f>
        <v>Քրիստոնեություն.</v>
      </c>
    </row>
    <row r="9907">
      <c r="A9907" s="5" t="s">
        <v>7557</v>
      </c>
      <c r="B9907" s="5" t="s">
        <v>7558</v>
      </c>
      <c r="C9907" s="5" t="str">
        <f>IFERROR(__xludf.DUMMYFUNCTION("GOOGLETRANSLATE(A9907,""en"",""hy"")"),"Ո՞րն է երկաթի քիմիական նշանը:")</f>
        <v>Ո՞րն է երկաթի քիմիական նշանը:</v>
      </c>
      <c r="D9907" s="6" t="str">
        <f>IFERROR(__xludf.DUMMYFUNCTION("GOOGLETRANSLATE(B9907,""en"",""hy"")"),"Ֆե")</f>
        <v>Ֆե</v>
      </c>
    </row>
    <row r="9908">
      <c r="A9908" s="5" t="s">
        <v>8025</v>
      </c>
      <c r="B9908" s="5" t="s">
        <v>8026</v>
      </c>
      <c r="C9908" s="5" t="str">
        <f>IFERROR(__xludf.DUMMYFUNCTION("GOOGLETRANSLATE(A9908,""en"",""hy"")"),"Ո՞րն է Չինաստանի պաշտոնական լեզուն:")</f>
        <v>Ո՞րն է Չինաստանի պաշտոնական լեզուն:</v>
      </c>
      <c r="D9908" s="6" t="str">
        <f>IFERROR(__xludf.DUMMYFUNCTION("GOOGLETRANSLATE(B9908,""en"",""hy"")"),"Չինաստանի պաշտոնական լեզուն մանդարին չինարենն է։")</f>
        <v>Չինաստանի պաշտոնական լեզուն մանդարին չինարենն է։</v>
      </c>
    </row>
    <row r="9909">
      <c r="A9909" s="5" t="s">
        <v>7778</v>
      </c>
      <c r="B9909" s="5" t="s">
        <v>7474</v>
      </c>
      <c r="C9909" s="5" t="str">
        <f>IFERROR(__xludf.DUMMYFUNCTION("GOOGLETRANSLATE(A9909,""en"",""hy"")"),"Ո՞վ է նկարել Սիքստինյան կապելլայի առաստաղը:")</f>
        <v>Ո՞վ է նկարել Սիքստինյան կապելլայի առաստաղը:</v>
      </c>
      <c r="D9909" s="6" t="str">
        <f>IFERROR(__xludf.DUMMYFUNCTION("GOOGLETRANSLATE(B9909,""en"",""hy"")"),"Միքելանջելո.")</f>
        <v>Միքելանջելո.</v>
      </c>
    </row>
    <row r="9910">
      <c r="A9910" s="5" t="s">
        <v>7579</v>
      </c>
      <c r="B9910" s="5" t="s">
        <v>7580</v>
      </c>
      <c r="C9910" s="5" t="str">
        <f>IFERROR(__xludf.DUMMYFUNCTION("GOOGLETRANSLATE(A9910,""en"",""hy"")"),"Ո՞րն է Գերմանիայի արժույթը:")</f>
        <v>Ո՞րն է Գերմանիայի արժույթը:</v>
      </c>
      <c r="D9910" s="6" t="str">
        <f>IFERROR(__xludf.DUMMYFUNCTION("GOOGLETRANSLATE(B9910,""en"",""hy"")"),"Գերմանիայի արժույթը եվրոն է։")</f>
        <v>Գերմանիայի արժույթը եվրոն է։</v>
      </c>
    </row>
    <row r="9911">
      <c r="A9911" s="5" t="s">
        <v>7489</v>
      </c>
      <c r="B9911" s="5" t="s">
        <v>7490</v>
      </c>
      <c r="C9911" s="5" t="str">
        <f>IFERROR(__xludf.DUMMYFUNCTION("GOOGLETRANSLATE(A9911,""en"",""hy"")"),"Ո՞րն է աշխարհի ամենաբարձր շենքը:")</f>
        <v>Ո՞րն է աշխարհի ամենաբարձր շենքը:</v>
      </c>
      <c r="D9911" s="6" t="str">
        <f>IFERROR(__xludf.DUMMYFUNCTION("GOOGLETRANSLATE(B9911,""en"",""hy"")"),"Աշխարհի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9912">
      <c r="A9912" s="5" t="s">
        <v>7791</v>
      </c>
      <c r="B9912" s="5" t="s">
        <v>7792</v>
      </c>
      <c r="C9912" s="5" t="str">
        <f>IFERROR(__xludf.DUMMYFUNCTION("GOOGLETRANSLATE(A9912,""en"",""hy"")"),"Ո՞րն է Ավստրալիայի ազգային կենդանին:")</f>
        <v>Ո՞րն է Ավստրալիայի ազգային կենդանին:</v>
      </c>
      <c r="D9912" s="6" t="str">
        <f>IFERROR(__xludf.DUMMYFUNCTION("GOOGLETRANSLATE(B9912,""en"",""hy"")"),"Ավստրալիայի ազգային կենդանին կենգուրուն է։")</f>
        <v>Ավստրալիայի ազգային կենդանին կենգուրուն է։</v>
      </c>
    </row>
    <row r="9913">
      <c r="A9913" s="5" t="s">
        <v>7849</v>
      </c>
      <c r="B9913" s="5" t="s">
        <v>7541</v>
      </c>
      <c r="C9913" s="5" t="str">
        <f>IFERROR(__xludf.DUMMYFUNCTION("GOOGLETRANSLATE(A9913,""en"",""hy"")"),"Ո՞վ է գրել «Սպանել ծաղրող թռչունին» վեպը:")</f>
        <v>Ո՞վ է գրել «Սպանել ծաղրող թռչունին» վեպը:</v>
      </c>
      <c r="D9913" s="6" t="str">
        <f>IFERROR(__xludf.DUMMYFUNCTION("GOOGLETRANSLATE(B9913,""en"",""hy"")"),"Հարփեր Լի.")</f>
        <v>Հարփեր Լի.</v>
      </c>
    </row>
    <row r="9914">
      <c r="A9914" s="5" t="s">
        <v>7703</v>
      </c>
      <c r="B9914" s="5" t="s">
        <v>7545</v>
      </c>
      <c r="C9914" s="5" t="str">
        <f>IFERROR(__xludf.DUMMYFUNCTION("GOOGLETRANSLATE(A9914,""en"",""hy"")"),"Ո՞րն է Իտալիայի մայրաքաղաքը:")</f>
        <v>Ո՞րն է Իտալիայի մայրաքաղաքը:</v>
      </c>
      <c r="D9914" s="6" t="str">
        <f>IFERROR(__xludf.DUMMYFUNCTION("GOOGLETRANSLATE(B9914,""en"",""hy"")"),"Հռոմ.")</f>
        <v>Հռոմ.</v>
      </c>
    </row>
    <row r="9915">
      <c r="A9915" s="5" t="s">
        <v>7504</v>
      </c>
      <c r="B9915" s="5" t="s">
        <v>7505</v>
      </c>
      <c r="C9915" s="5" t="str">
        <f>IFERROR(__xludf.DUMMYFUNCTION("GOOGLETRANSLATE(A9915,""en"",""hy"")"),"Ո՞վ է Միացյալ Նահանգների ներկայիս նախագահը:")</f>
        <v>Ո՞վ է Միացյալ Նահանգների ներկայիս նախագահը:</v>
      </c>
      <c r="D9915" s="6" t="str">
        <f>IFERROR(__xludf.DUMMYFUNCTION("GOOGLETRANSLATE(B9915,""en"",""hy"")"),"Ջո Բայդեն.")</f>
        <v>Ջո Բայդեն.</v>
      </c>
    </row>
    <row r="9916">
      <c r="A9916" s="5" t="s">
        <v>7691</v>
      </c>
      <c r="B9916" s="5" t="s">
        <v>7692</v>
      </c>
      <c r="C9916" s="5" t="str">
        <f>IFERROR(__xludf.DUMMYFUNCTION("GOOGLETRANSLATE(A9916,""en"",""hy"")"),"Ո՞րն է Աֆրիկայի ամենամեծ լիճը:")</f>
        <v>Ո՞րն է Աֆրիկայի ամենամեծ լիճը:</v>
      </c>
      <c r="D9916" s="6" t="str">
        <f>IFERROR(__xludf.DUMMYFUNCTION("GOOGLETRANSLATE(B9916,""en"",""hy"")"),"Վիկտորիա լիճ.")</f>
        <v>Վիկտորիա լիճ.</v>
      </c>
    </row>
    <row r="9917">
      <c r="A9917" s="5" t="s">
        <v>7689</v>
      </c>
      <c r="B9917" s="5" t="s">
        <v>7690</v>
      </c>
      <c r="C9917" s="5" t="str">
        <f>IFERROR(__xludf.DUMMYFUNCTION("GOOGLETRANSLATE(A9917,""en"",""hy"")"),"Ո՞րն է Ռուսաստանի արժույթը:")</f>
        <v>Ո՞րն է Ռուսաստանի արժույթը:</v>
      </c>
      <c r="D9917" s="6" t="str">
        <f>IFERROR(__xludf.DUMMYFUNCTION("GOOGLETRANSLATE(B9917,""en"",""hy"")"),"Ռուսաստանի արժույթը ռուսական ռուբլին է։")</f>
        <v>Ռուսաստանի արժույթը ռուսական ռուբլին է։</v>
      </c>
    </row>
    <row r="9918">
      <c r="A9918" s="5" t="s">
        <v>7665</v>
      </c>
      <c r="B9918" s="5" t="s">
        <v>7781</v>
      </c>
      <c r="C9918" s="5" t="str">
        <f>IFERROR(__xludf.DUMMYFUNCTION("GOOGLETRANSLATE(A9918,""en"",""hy"")"),"Ո՞րն է նատրիումի քիմիական նշանը:")</f>
        <v>Ո՞րն է նատրիումի քիմիական նշանը:</v>
      </c>
      <c r="D9918" s="6" t="str">
        <f>IFERROR(__xludf.DUMMYFUNCTION("GOOGLETRANSLATE(B9918,""en"",""hy"")"),"Նատրիումի քիմիական նշանը Na է:")</f>
        <v>Նատրիումի քիմիական նշանը Na է:</v>
      </c>
    </row>
    <row r="9919">
      <c r="A9919" s="5" t="s">
        <v>7858</v>
      </c>
      <c r="B9919" s="5" t="s">
        <v>7828</v>
      </c>
      <c r="C9919" s="5" t="str">
        <f>IFERROR(__xludf.DUMMYFUNCTION("GOOGLETRANSLATE(A9919,""en"",""hy"")"),"Ո՞վ է նկարել «Մոնա Լիզան»:")</f>
        <v>Ո՞վ է նկարել «Մոնա Լիզան»:</v>
      </c>
      <c r="D9919" s="6" t="str">
        <f>IFERROR(__xludf.DUMMYFUNCTION("GOOGLETRANSLATE(B9919,""en"",""hy"")"),"Լեոնարդո դա Վինչի")</f>
        <v>Լեոնարդո դա Վինչի</v>
      </c>
    </row>
    <row r="9920">
      <c r="A9920" s="5" t="s">
        <v>7973</v>
      </c>
      <c r="B9920" s="5" t="s">
        <v>7974</v>
      </c>
      <c r="C9920" s="5" t="str">
        <f>IFERROR(__xludf.DUMMYFUNCTION("GOOGLETRANSLATE(A9920,""en"",""hy"")"),"Ո՞րն է աշխարհի ամենափոքր օվկիանոսը:")</f>
        <v>Ո՞րն է աշխարհի ամենափոքր օվկիանոսը:</v>
      </c>
      <c r="D9920" s="6" t="str">
        <f>IFERROR(__xludf.DUMMYFUNCTION("GOOGLETRANSLATE(B9920,""en"",""hy"")"),"Աշխարհի ամենափոքր օվկիանոսը Հյուսիսային Սառուցյալ օվկիանոսն է:")</f>
        <v>Աշխարհի ամենափոքր օվկիանոսը Հյուսիսային Սառուցյալ օվկիանոսն է:</v>
      </c>
    </row>
    <row r="9921">
      <c r="A9921" s="5" t="s">
        <v>7683</v>
      </c>
      <c r="B9921" s="5" t="s">
        <v>1016</v>
      </c>
      <c r="C9921" s="5" t="str">
        <f>IFERROR(__xludf.DUMMYFUNCTION("GOOGLETRANSLATE(A9921,""en"",""hy"")"),"Ո՞վ է գրել «Համլետ» պիեսը։")</f>
        <v>Ո՞վ է գրել «Համլետ» պիեսը։</v>
      </c>
      <c r="D9921" s="6" t="str">
        <f>IFERROR(__xludf.DUMMYFUNCTION("GOOGLETRANSLATE(B9921,""en"",""hy"")"),"Ուիլյամ Շեքսպիր.")</f>
        <v>Ուիլյամ Շեքսպիր.</v>
      </c>
    </row>
    <row r="9922">
      <c r="A9922" s="5" t="s">
        <v>7653</v>
      </c>
      <c r="B9922" s="5" t="s">
        <v>1307</v>
      </c>
      <c r="C9922" s="5" t="str">
        <f>IFERROR(__xludf.DUMMYFUNCTION("GOOGLETRANSLATE(A9922,""en"",""hy"")"),"Ո՞րն է Իսպանիայի մայրաքաղաքը:")</f>
        <v>Ո՞րն է Իսպանիայի մայրաքաղաքը:</v>
      </c>
      <c r="D9922" s="6" t="str">
        <f>IFERROR(__xludf.DUMMYFUNCTION("GOOGLETRANSLATE(B9922,""en"",""hy"")"),"Մադրիդ.")</f>
        <v>Մադրիդ.</v>
      </c>
    </row>
    <row r="9923">
      <c r="A9923" s="5" t="s">
        <v>7566</v>
      </c>
      <c r="B9923" s="5" t="s">
        <v>7934</v>
      </c>
      <c r="C9923" s="5" t="str">
        <f>IFERROR(__xludf.DUMMYFUNCTION("GOOGLETRANSLATE(A9923,""en"",""hy"")"),"Ո՞վ է Կանադայի ներկայիս վարչապետը:")</f>
        <v>Ո՞վ է Կանադայի ներկայիս վարչապետը:</v>
      </c>
      <c r="D9923" s="6" t="str">
        <f>IFERROR(__xludf.DUMMYFUNCTION("GOOGLETRANSLATE(B9923,""en"",""hy"")"),"Ջասթին Թրյուդո.")</f>
        <v>Ջասթին Թրյուդո.</v>
      </c>
    </row>
    <row r="9924">
      <c r="A9924" s="5" t="s">
        <v>8950</v>
      </c>
      <c r="B9924" s="5" t="s">
        <v>8951</v>
      </c>
      <c r="C9924" s="5" t="str">
        <f>IFERROR(__xludf.DUMMYFUNCTION("GOOGLETRANSLATE(A9924,""en"",""hy"")"),"Ո՞րն է Հնդկաստանի պաշտոնական լեզուն:")</f>
        <v>Ո՞րն է Հնդկաստանի պաշտոնական լեզուն:</v>
      </c>
      <c r="D9924" s="6" t="str">
        <f>IFERROR(__xludf.DUMMYFUNCTION("GOOGLETRANSLATE(B9924,""en"",""hy"")"),"Հնդկաստանի պաշտոնական լեզուն հինդին է։")</f>
        <v>Հնդկաստանի պաշտոնական լեզուն հինդին է։</v>
      </c>
    </row>
    <row r="9925">
      <c r="A9925" s="5" t="s">
        <v>7861</v>
      </c>
      <c r="B9925" s="5" t="s">
        <v>7448</v>
      </c>
      <c r="C9925" s="5" t="str">
        <f>IFERROR(__xludf.DUMMYFUNCTION("GOOGLETRANSLATE(A9925,""en"",""hy"")"),"Ո՞վ է նկարել «Վերջին ընթրիքը»:")</f>
        <v>Ո՞վ է նկարել «Վերջին ընթրիքը»:</v>
      </c>
      <c r="D9925" s="6" t="str">
        <f>IFERROR(__xludf.DUMMYFUNCTION("GOOGLETRANSLATE(B9925,""en"",""hy"")"),"Լեոնարդո դա Վինչի.")</f>
        <v>Լեոնարդո դա Վինչի.</v>
      </c>
    </row>
    <row r="9926">
      <c r="A9926" s="5" t="s">
        <v>7561</v>
      </c>
      <c r="B9926" s="5" t="s">
        <v>7669</v>
      </c>
      <c r="C9926" s="5" t="str">
        <f>IFERROR(__xludf.DUMMYFUNCTION("GOOGLETRANSLATE(A9926,""en"",""hy"")"),"Ո՞րն է Մեքսիկայի արժույթը:")</f>
        <v>Ո՞րն է Մեքսիկայի արժույթը:</v>
      </c>
      <c r="D9926" s="6" t="str">
        <f>IFERROR(__xludf.DUMMYFUNCTION("GOOGLETRANSLATE(B9926,""en"",""hy"")"),"Մեքսիկայի արժույթը մեքսիկական պեսոն է։")</f>
        <v>Մեքսիկայի արժույթը մեքսիկական պեսոն է։</v>
      </c>
    </row>
    <row r="9927">
      <c r="A9927" s="5" t="s">
        <v>8223</v>
      </c>
      <c r="B9927" s="5" t="s">
        <v>9214</v>
      </c>
      <c r="C9927" s="5" t="str">
        <f>IFERROR(__xludf.DUMMYFUNCTION("GOOGLETRANSLATE(A9927,""en"",""hy"")"),"Ո՞վ է հայտնաբերել էլեկտրաէներգիան:")</f>
        <v>Ո՞վ է հայտնաբերել էլեկտրաէներգիան:</v>
      </c>
      <c r="D9927" s="6" t="str">
        <f>IFERROR(__xludf.DUMMYFUNCTION("GOOGLETRANSLATE(B9927,""en"",""hy"")"),"Բենջամին Ֆրանկլին.")</f>
        <v>Բենջամին Ֆրանկլին.</v>
      </c>
    </row>
    <row r="9928">
      <c r="A9928" s="5" t="s">
        <v>10171</v>
      </c>
      <c r="B9928" s="5" t="s">
        <v>9315</v>
      </c>
      <c r="C9928" s="5" t="str">
        <f>IFERROR(__xludf.DUMMYFUNCTION("GOOGLETRANSLATE(A9928,""en"",""hy"")"),"Ո՞րն է Հնդկաստանի ամենամեծ կրոնը:")</f>
        <v>Ո՞րն է Հնդկաստանի ամենամեծ կրոնը:</v>
      </c>
      <c r="D9928" s="6" t="str">
        <f>IFERROR(__xludf.DUMMYFUNCTION("GOOGLETRANSLATE(B9928,""en"",""hy"")"),"Հինդուիզմ.")</f>
        <v>Հինդուիզմ.</v>
      </c>
    </row>
    <row r="9929">
      <c r="A9929" s="5" t="s">
        <v>7592</v>
      </c>
      <c r="B9929" s="5" t="s">
        <v>8257</v>
      </c>
      <c r="C9929" s="5" t="str">
        <f>IFERROR(__xludf.DUMMYFUNCTION("GOOGLETRANSLATE(A9929,""en"",""hy"")"),"Ո՞րն է թթվածնի քիմիական նշանը:")</f>
        <v>Ո՞րն է թթվածնի քիմիական նշանը:</v>
      </c>
      <c r="D9929" s="6" t="str">
        <f>IFERROR(__xludf.DUMMYFUNCTION("GOOGLETRANSLATE(B9929,""en"",""hy"")"),"Օ")</f>
        <v>Օ</v>
      </c>
    </row>
    <row r="9930">
      <c r="A9930" s="5" t="s">
        <v>7572</v>
      </c>
      <c r="B9930" s="5" t="s">
        <v>7573</v>
      </c>
      <c r="C9930" s="5" t="str">
        <f>IFERROR(__xludf.DUMMYFUNCTION("GOOGLETRANSLATE(A9930,""en"",""hy"")"),"Ո՞վ է հորինել լամպը:")</f>
        <v>Ո՞վ է հորինել լամպը:</v>
      </c>
      <c r="D9930" s="6" t="str">
        <f>IFERROR(__xludf.DUMMYFUNCTION("GOOGLETRANSLATE(B9930,""en"",""hy"")"),"Թոմաս Էդիսոն.")</f>
        <v>Թոմաս Էդիսոն.</v>
      </c>
    </row>
    <row r="9931">
      <c r="A9931" s="5" t="s">
        <v>8127</v>
      </c>
      <c r="B9931" s="5" t="s">
        <v>6556</v>
      </c>
      <c r="C9931" s="5" t="str">
        <f>IFERROR(__xludf.DUMMYFUNCTION("GOOGLETRANSLATE(A9931,""en"",""hy"")"),"Ո՞րն է Ռուսաստանի պաշտոնական լեզուն:")</f>
        <v>Ո՞րն է Ռուսաստանի պաշտոնական լեզուն:</v>
      </c>
      <c r="D9931" s="6" t="str">
        <f>IFERROR(__xludf.DUMMYFUNCTION("GOOGLETRANSLATE(B9931,""en"",""hy"")"),"Ռուսաստանի պաշտոնական լեզուն ռուսերենն է։")</f>
        <v>Ռուսաստանի պաշտոնական լեզուն ռուսերենն է։</v>
      </c>
    </row>
    <row r="9932">
      <c r="A9932" s="5" t="s">
        <v>7877</v>
      </c>
      <c r="B9932" s="5" t="s">
        <v>7474</v>
      </c>
      <c r="C9932" s="5" t="str">
        <f>IFERROR(__xludf.DUMMYFUNCTION("GOOGLETRANSLATE(A9932,""en"",""hy"")"),"Ո՞վ է նկարել «Սիքստինյան կապելլայի առաստաղը»:")</f>
        <v>Ո՞վ է նկարել «Սիքստինյան կապելլայի առաստաղը»:</v>
      </c>
      <c r="D9932" s="6" t="str">
        <f>IFERROR(__xludf.DUMMYFUNCTION("GOOGLETRANSLATE(B9932,""en"",""hy"")"),"Միքելանջելո.")</f>
        <v>Միքելանջելո.</v>
      </c>
    </row>
    <row r="9933">
      <c r="A9933" s="5" t="s">
        <v>8112</v>
      </c>
      <c r="B9933" s="5" t="s">
        <v>8754</v>
      </c>
      <c r="C9933" s="5" t="str">
        <f>IFERROR(__xludf.DUMMYFUNCTION("GOOGLETRANSLATE(A9933,""en"",""hy"")"),"Ո՞րն է Հյուսիսային Ամերիկայի ամենաբարձր լեռը:")</f>
        <v>Ո՞րն է Հյուսիսային Ամերիկայի ամենաբարձր լեռը:</v>
      </c>
      <c r="D9933" s="6" t="str">
        <f>IFERROR(__xludf.DUMMYFUNCTION("GOOGLETRANSLATE(B9933,""en"",""hy"")"),"Դենալի լեռ.")</f>
        <v>Դենալի լեռ.</v>
      </c>
    </row>
    <row r="9934">
      <c r="A9934" s="5" t="s">
        <v>7659</v>
      </c>
      <c r="B9934" s="5" t="s">
        <v>7516</v>
      </c>
      <c r="C9934" s="5" t="str">
        <f>IFERROR(__xludf.DUMMYFUNCTION("GOOGLETRANSLATE(A9934,""en"",""hy"")"),"Ո՞րն է Բրազիլիայի մայրաքաղաքը:")</f>
        <v>Ո՞րն է Բրազիլիայի մայրաքաղաքը:</v>
      </c>
      <c r="D9934" s="6" t="str">
        <f>IFERROR(__xludf.DUMMYFUNCTION("GOOGLETRANSLATE(B9934,""en"",""hy"")"),"Բրազիլիա.")</f>
        <v>Բրազիլիա.</v>
      </c>
    </row>
    <row r="9935">
      <c r="A9935" s="5" t="s">
        <v>7528</v>
      </c>
      <c r="B9935" s="5" t="s">
        <v>7529</v>
      </c>
      <c r="C9935" s="5" t="str">
        <f>IFERROR(__xludf.DUMMYFUNCTION("GOOGLETRANSLATE(A9935,""en"",""hy"")"),"Ո՞վ է Գերմանիայի ներկայիս կանցլերը:")</f>
        <v>Ո՞վ է Գերմանիայի ներկայիս կանցլերը:</v>
      </c>
      <c r="D9935" s="6" t="str">
        <f>IFERROR(__xludf.DUMMYFUNCTION("GOOGLETRANSLATE(B9935,""en"",""hy"")"),"Անգելա Մերկել.")</f>
        <v>Անգելա Մերկել.</v>
      </c>
    </row>
    <row r="9936">
      <c r="A9936" s="5" t="s">
        <v>8084</v>
      </c>
      <c r="B9936" s="5" t="s">
        <v>7783</v>
      </c>
      <c r="C9936" s="5" t="str">
        <f>IFERROR(__xludf.DUMMYFUNCTION("GOOGLETRANSLATE(A9936,""en"",""hy"")"),"Ո՞րն է Աֆրիկայի ամենամեծ անապատը:")</f>
        <v>Ո՞րն է Աֆրիկայի ամենամեծ անապատը:</v>
      </c>
      <c r="D9936" s="6" t="str">
        <f>IFERROR(__xludf.DUMMYFUNCTION("GOOGLETRANSLATE(B9936,""en"",""hy"")"),"Սահարա անապատ.")</f>
        <v>Սահարա անապատ.</v>
      </c>
    </row>
    <row r="9937">
      <c r="A9937" s="5" t="s">
        <v>8991</v>
      </c>
      <c r="B9937" s="5" t="s">
        <v>7933</v>
      </c>
      <c r="C9937" s="5" t="str">
        <f>IFERROR(__xludf.DUMMYFUNCTION("GOOGLETRANSLATE(A9937,""en"",""hy"")"),"Քանի՞ սենյակ կա մարդու սրտում:")</f>
        <v>Քանի՞ սենյակ կա մարդու սրտում:</v>
      </c>
      <c r="D9937" s="6" t="str">
        <f>IFERROR(__xludf.DUMMYFUNCTION("GOOGLETRANSLATE(B9937,""en"",""hy"")"),"Մարդու սրտում չորս պալատ կա.")</f>
        <v>Մարդու սրտում չորս պալատ կա.</v>
      </c>
    </row>
    <row r="9938">
      <c r="A9938" s="5" t="s">
        <v>7919</v>
      </c>
      <c r="B9938" s="5" t="s">
        <v>7556</v>
      </c>
      <c r="C9938" s="5" t="str">
        <f>IFERROR(__xludf.DUMMYFUNCTION("GOOGLETRANSLATE(A9938,""en"",""hy"")"),"Ո՞վ է հայտնաբերել հարաբերականության տեսությունը:")</f>
        <v>Ո՞վ է հայտնաբերել հարաբերականության տեսությունը:</v>
      </c>
      <c r="D9938" s="6" t="str">
        <f>IFERROR(__xludf.DUMMYFUNCTION("GOOGLETRANSLATE(B9938,""en"",""hy"")"),"Albert Einstein.")</f>
        <v>Albert Einstein.</v>
      </c>
    </row>
    <row r="9939">
      <c r="A9939" s="5" t="s">
        <v>10172</v>
      </c>
      <c r="B9939" s="5" t="s">
        <v>10173</v>
      </c>
      <c r="C9939" s="5" t="str">
        <f>IFERROR(__xludf.DUMMYFUNCTION("GOOGLETRANSLATE(A9939,""en"",""hy"")"),"Ո՞րն է աշխարհում երկրորդ ամենամեծ կրոնը:")</f>
        <v>Ո՞րն է աշխարհում երկրորդ ամենամեծ կրոնը:</v>
      </c>
      <c r="D9939" s="6" t="str">
        <f>IFERROR(__xludf.DUMMYFUNCTION("GOOGLETRANSLATE(B9939,""en"",""hy"")"),"իսլամ.")</f>
        <v>իսլամ.</v>
      </c>
    </row>
    <row r="9940">
      <c r="A9940" s="5" t="s">
        <v>7699</v>
      </c>
      <c r="B9940" s="5" t="s">
        <v>8615</v>
      </c>
      <c r="C9940" s="5" t="str">
        <f>IFERROR(__xludf.DUMMYFUNCTION("GOOGLETRANSLATE(A9940,""en"",""hy"")"),"Ո՞րն է ածխածնի քիմիական նշանը:")</f>
        <v>Ո՞րն է ածխածնի քիմիական նշանը:</v>
      </c>
      <c r="D9940" s="6" t="str">
        <f>IFERROR(__xludf.DUMMYFUNCTION("GOOGLETRANSLATE(B9940,""en"",""hy"")"),"Գ")</f>
        <v>Գ</v>
      </c>
    </row>
    <row r="9941">
      <c r="A9941" s="5" t="s">
        <v>7861</v>
      </c>
      <c r="B9941" s="5" t="s">
        <v>7448</v>
      </c>
      <c r="C9941" s="5" t="str">
        <f>IFERROR(__xludf.DUMMYFUNCTION("GOOGLETRANSLATE(A9941,""en"",""hy"")"),"Ո՞վ է նկարել «Վերջին ընթրիքը»:")</f>
        <v>Ո՞վ է նկարել «Վերջին ընթրիքը»:</v>
      </c>
      <c r="D9941" s="6" t="str">
        <f>IFERROR(__xludf.DUMMYFUNCTION("GOOGLETRANSLATE(B9941,""en"",""hy"")"),"Լեոնարդո դա Վինչի.")</f>
        <v>Լեոնարդո դա Վինչի.</v>
      </c>
    </row>
    <row r="9942">
      <c r="A9942" s="5" t="s">
        <v>8262</v>
      </c>
      <c r="B9942" s="5" t="s">
        <v>8837</v>
      </c>
      <c r="C9942" s="5" t="str">
        <f>IFERROR(__xludf.DUMMYFUNCTION("GOOGLETRANSLATE(A9942,""en"",""hy"")"),"Ո՞րն է Ճապոնիայի պաշտոնական լեզուն:")</f>
        <v>Ո՞րն է Ճապոնիայի պաշտոնական լեզուն:</v>
      </c>
      <c r="D9942" s="6" t="str">
        <f>IFERROR(__xludf.DUMMYFUNCTION("GOOGLETRANSLATE(B9942,""en"",""hy"")"),"Ճապոնիայի պաշտոնական լեզուն ճապոներենն է։")</f>
        <v>Ճապոնիայի պաշտոնական լեզուն ճապոներենն է։</v>
      </c>
    </row>
    <row r="9943">
      <c r="A9943" s="5" t="s">
        <v>7443</v>
      </c>
      <c r="B9943" s="5" t="s">
        <v>7444</v>
      </c>
      <c r="C9943" s="5" t="str">
        <f>IFERROR(__xludf.DUMMYFUNCTION("GOOGLETRANSLATE(A9943,""en"",""hy"")"),"Ո՞վ է գրել «1984» վեպը։")</f>
        <v>Ո՞վ է գրել «1984» վեպը։</v>
      </c>
      <c r="D9943" s="6" t="str">
        <f>IFERROR(__xludf.DUMMYFUNCTION("GOOGLETRANSLATE(B9943,""en"",""hy"")"),"Ջորջ Օրուել.")</f>
        <v>Ջորջ Օրուել.</v>
      </c>
    </row>
    <row r="9944">
      <c r="A9944" s="5" t="s">
        <v>7686</v>
      </c>
      <c r="B9944" s="5" t="s">
        <v>8066</v>
      </c>
      <c r="C9944" s="5" t="str">
        <f>IFERROR(__xludf.DUMMYFUNCTION("GOOGLETRANSLATE(A9944,""en"",""hy"")"),"Ո՞րն է Գերմանիայի մայրաքաղաքը:")</f>
        <v>Ո՞րն է Գերմանիայի մայրաքաղաքը:</v>
      </c>
      <c r="D9944" s="6" t="str">
        <f>IFERROR(__xludf.DUMMYFUNCTION("GOOGLETRANSLATE(B9944,""en"",""hy"")"),"Բեռլին.")</f>
        <v>Բեռլին.</v>
      </c>
    </row>
    <row r="9945">
      <c r="A9945" s="5" t="s">
        <v>7601</v>
      </c>
      <c r="B9945" s="5" t="s">
        <v>3966</v>
      </c>
      <c r="C9945" s="5" t="str">
        <f>IFERROR(__xludf.DUMMYFUNCTION("GOOGLETRANSLATE(A9945,""en"",""hy"")"),"Ո՞վ է Ֆրանսիայի ներկայիս նախագահը.")</f>
        <v>Ո՞վ է Ֆրանսիայի ներկայիս նախագահը.</v>
      </c>
      <c r="D9945" s="6" t="str">
        <f>IFERROR(__xludf.DUMMYFUNCTION("GOOGLETRANSLATE(B9945,""en"",""hy"")"),"Էմանուել Մակրոն.")</f>
        <v>Էմանուել Մակրոն.</v>
      </c>
    </row>
    <row r="9946">
      <c r="A9946" s="5" t="s">
        <v>9184</v>
      </c>
      <c r="B9946" s="5" t="s">
        <v>9185</v>
      </c>
      <c r="C9946" s="5" t="str">
        <f>IFERROR(__xludf.DUMMYFUNCTION("GOOGLETRANSLATE(A9946,""en"",""hy"")"),"Ո՞րն է Հյուսիսային Ամերիկայի ամենամեծ լիճը:")</f>
        <v>Ո՞րն է Հյուսիսային Ամերիկայի ամենամեծ լիճը:</v>
      </c>
      <c r="D9946" s="6" t="str">
        <f>IFERROR(__xludf.DUMMYFUNCTION("GOOGLETRANSLATE(B9946,""en"",""hy"")"),"Հյուսիսային Ամերիկայի ամենամեծ լիճը Սուպերիոր լիճն է։")</f>
        <v>Հյուսիսային Ամերիկայի ամենամեծ լիճը Սուպերիոր լիճն է։</v>
      </c>
    </row>
    <row r="9947">
      <c r="A9947" s="5" t="s">
        <v>7522</v>
      </c>
      <c r="B9947" s="5" t="s">
        <v>8785</v>
      </c>
      <c r="C9947" s="5" t="str">
        <f>IFERROR(__xludf.DUMMYFUNCTION("GOOGLETRANSLATE(A9947,""en"",""hy"")"),"Ո՞րն է Չինաստանի արժույթը:")</f>
        <v>Ո՞րն է Չինաստանի արժույթը:</v>
      </c>
      <c r="D9947" s="6" t="str">
        <f>IFERROR(__xludf.DUMMYFUNCTION("GOOGLETRANSLATE(B9947,""en"",""hy"")"),"Չինաստանի արժույթը չինական յուանն է (CNY):")</f>
        <v>Չինաստանի արժույթը չինական յուանն է (CNY):</v>
      </c>
    </row>
    <row r="9948">
      <c r="A9948" s="5" t="s">
        <v>7761</v>
      </c>
      <c r="B9948" s="5" t="s">
        <v>7762</v>
      </c>
      <c r="C9948" s="5" t="str">
        <f>IFERROR(__xludf.DUMMYFUNCTION("GOOGLETRANSLATE(A9948,""en"",""hy"")"),"Ո՞րն է ջրածնի քիմիական նշանը:")</f>
        <v>Ո՞րն է ջրածնի քիմիական նշանը:</v>
      </c>
      <c r="D9948" s="6" t="str">
        <f>IFERROR(__xludf.DUMMYFUNCTION("GOOGLETRANSLATE(B9948,""en"",""hy"")"),"Հ")</f>
        <v>Հ</v>
      </c>
    </row>
    <row r="9949">
      <c r="A9949" s="5" t="s">
        <v>7931</v>
      </c>
      <c r="B9949" s="5" t="s">
        <v>7648</v>
      </c>
      <c r="C9949" s="5" t="str">
        <f>IFERROR(__xludf.DUMMYFUNCTION("GOOGLETRANSLATE(A9949,""en"",""hy"")"),"Ո՞վ է նկարել «Աստղային գիշերը»:")</f>
        <v>Ո՞վ է նկարել «Աստղային գիշերը»:</v>
      </c>
      <c r="D9949" s="6" t="str">
        <f>IFERROR(__xludf.DUMMYFUNCTION("GOOGLETRANSLATE(B9949,""en"",""hy"")"),"Վինսենթ վան Գոգ.")</f>
        <v>Վինսենթ վան Գոգ.</v>
      </c>
    </row>
    <row r="9950">
      <c r="A9950" s="5" t="s">
        <v>8049</v>
      </c>
      <c r="B9950" s="5" t="s">
        <v>2267</v>
      </c>
      <c r="C9950" s="5" t="str">
        <f>IFERROR(__xludf.DUMMYFUNCTION("GOOGLETRANSLATE(A9950,""en"",""hy"")"),"Ո՞րն է Մեքսիկայի պաշտոնական լեզուն:")</f>
        <v>Ո՞րն է Մեքսիկայի պաշտոնական լեզուն:</v>
      </c>
      <c r="D9950" s="6" t="str">
        <f>IFERROR(__xludf.DUMMYFUNCTION("GOOGLETRANSLATE(B9950,""en"",""hy"")"),"իսպաներեն.")</f>
        <v>իսպաներեն.</v>
      </c>
    </row>
    <row r="9951">
      <c r="A9951" s="5" t="s">
        <v>8843</v>
      </c>
      <c r="B9951" s="5" t="s">
        <v>10174</v>
      </c>
      <c r="C9951" s="5" t="str">
        <f>IFERROR(__xludf.DUMMYFUNCTION("GOOGLETRANSLATE(A9951,""en"",""hy"")"),"Ո՞վ է Հնդկաստանի ներկայիս վարչապետը:")</f>
        <v>Ո՞վ է Հնդկաստանի ներկայիս վարչապետը:</v>
      </c>
      <c r="D9951" s="6" t="str">
        <f>IFERROR(__xludf.DUMMYFUNCTION("GOOGLETRANSLATE(B9951,""en"",""hy"")"),"Նարենդրա Մոդի")</f>
        <v>Նարենդրա Մոդի</v>
      </c>
    </row>
    <row r="9952">
      <c r="A9952" s="5" t="s">
        <v>10175</v>
      </c>
      <c r="B9952" s="5" t="s">
        <v>10176</v>
      </c>
      <c r="C9952" s="5" t="str">
        <f>IFERROR(__xludf.DUMMYFUNCTION("GOOGLETRANSLATE(A9952,""en"",""hy"")"),"Ո՞րն է Հարավային Ամերիկայի ամենաբարձր լեռը:")</f>
        <v>Ո՞րն է Հարավային Ամերիկայի ամենաբարձր լեռը:</v>
      </c>
      <c r="D9952" s="6" t="str">
        <f>IFERROR(__xludf.DUMMYFUNCTION("GOOGLETRANSLATE(B9952,""en"",""hy"")"),"Հարավային Ամերիկայի ամենաբարձր լեռը Ակոնկագուա լեռն է:")</f>
        <v>Հարավային Ամերիկայի ամենաբարձր լեռը Ակոնկագուա լեռն է:</v>
      </c>
    </row>
    <row r="9953">
      <c r="A9953" s="5" t="s">
        <v>10177</v>
      </c>
      <c r="B9953" s="5" t="s">
        <v>607</v>
      </c>
      <c r="C9953" s="5" t="str">
        <f>IFERROR(__xludf.DUMMYFUNCTION("GOOGLETRANSLATE(A9953,""en"",""hy"")"),"Ո՞րն է Միացյալ Թագավորության մայրաքաղաքը:")</f>
        <v>Ո՞րն է Միացյալ Թագավորության մայրաքաղաքը:</v>
      </c>
      <c r="D9953" s="6" t="str">
        <f>IFERROR(__xludf.DUMMYFUNCTION("GOOGLETRANSLATE(B9953,""en"",""hy"")"),"Լոնդոն.")</f>
        <v>Լոնդոն.</v>
      </c>
    </row>
    <row r="9954">
      <c r="A9954" s="5" t="s">
        <v>7992</v>
      </c>
      <c r="B9954" s="5" t="s">
        <v>7607</v>
      </c>
      <c r="C9954" s="5" t="str">
        <f>IFERROR(__xludf.DUMMYFUNCTION("GOOGLETRANSLATE(A9954,""en"",""hy"")"),"Ո՞վ է հայտնաբերել էվոլյուցիայի տեսությունը:")</f>
        <v>Ո՞վ է հայտնաբերել էվոլյուցիայի տեսությունը:</v>
      </c>
      <c r="D9954" s="6" t="str">
        <f>IFERROR(__xludf.DUMMYFUNCTION("GOOGLETRANSLATE(B9954,""en"",""hy"")"),"Չարլզ Դարվին.")</f>
        <v>Չարլզ Դարվին.</v>
      </c>
    </row>
    <row r="9955">
      <c r="A9955" s="5" t="s">
        <v>8750</v>
      </c>
      <c r="B9955" s="5" t="s">
        <v>3894</v>
      </c>
      <c r="C9955" s="5" t="str">
        <f>IFERROR(__xludf.DUMMYFUNCTION("GOOGLETRANSLATE(A9955,""en"",""hy"")"),"Ո՞րն է Իտալիայի պաշտոնական լեզուն:")</f>
        <v>Ո՞րն է Իտալիայի պաշտոնական լեզուն:</v>
      </c>
      <c r="D9955" s="6" t="str">
        <f>IFERROR(__xludf.DUMMYFUNCTION("GOOGLETRANSLATE(B9955,""en"",""hy"")"),"Իտալական.")</f>
        <v>Իտալական.</v>
      </c>
    </row>
    <row r="9956">
      <c r="A9956" s="5" t="s">
        <v>7726</v>
      </c>
      <c r="B9956" s="5" t="s">
        <v>1016</v>
      </c>
      <c r="C9956" s="5" t="str">
        <f>IFERROR(__xludf.DUMMYFUNCTION("GOOGLETRANSLATE(A9956,""en"",""hy"")"),"Ո՞վ է գրել «Մակբեթ» պիեսը։")</f>
        <v>Ո՞վ է գրել «Մակբեթ» պիեսը։</v>
      </c>
      <c r="D9956" s="6" t="str">
        <f>IFERROR(__xludf.DUMMYFUNCTION("GOOGLETRANSLATE(B9956,""en"",""hy"")"),"Ուիլյամ Շեքսպիր.")</f>
        <v>Ուիլյամ Շեքսպիր.</v>
      </c>
    </row>
    <row r="9957">
      <c r="A9957" s="5" t="s">
        <v>7526</v>
      </c>
      <c r="B9957" s="5" t="s">
        <v>7527</v>
      </c>
      <c r="C9957" s="5" t="str">
        <f>IFERROR(__xludf.DUMMYFUNCTION("GOOGLETRANSLATE(A9957,""en"",""hy"")"),"Ո՞րն է աշխարհի ամենամեծ կղզին:")</f>
        <v>Ո՞րն է աշխարհի ամենամեծ կղզին:</v>
      </c>
      <c r="D9957" s="6" t="str">
        <f>IFERROR(__xludf.DUMMYFUNCTION("GOOGLETRANSLATE(B9957,""en"",""hy"")"),"Գրենլանդիա.")</f>
        <v>Գրենլանդիա.</v>
      </c>
    </row>
    <row r="9958">
      <c r="A9958" s="5" t="s">
        <v>7662</v>
      </c>
      <c r="B9958" s="5" t="s">
        <v>7663</v>
      </c>
      <c r="C9958" s="5" t="str">
        <f>IFERROR(__xludf.DUMMYFUNCTION("GOOGLETRANSLATE(A9958,""en"",""hy"")"),"Ո՞րն է Հնդկաստանի արժույթը:")</f>
        <v>Ո՞րն է Հնդկաստանի արժույթը:</v>
      </c>
      <c r="D9958" s="6" t="str">
        <f>IFERROR(__xludf.DUMMYFUNCTION("GOOGLETRANSLATE(B9958,""en"",""hy"")"),"Հնդկաստանի արժույթը հնդկական ռուփին է։")</f>
        <v>Հնդկաստանի արժույթը հնդկական ռուփին է։</v>
      </c>
    </row>
    <row r="9959">
      <c r="A9959" s="5" t="s">
        <v>7509</v>
      </c>
      <c r="B9959" s="5" t="s">
        <v>7684</v>
      </c>
      <c r="C9959" s="5" t="str">
        <f>IFERROR(__xludf.DUMMYFUNCTION("GOOGLETRANSLATE(A9959,""en"",""hy"")"),"Ո՞րն է արծաթի քիմիական նշանը:")</f>
        <v>Ո՞րն է արծաթի քիմիական նշանը:</v>
      </c>
      <c r="D9959" s="6" t="str">
        <f>IFERROR(__xludf.DUMMYFUNCTION("GOOGLETRANSLATE(B9959,""en"",""hy"")"),"Արծաթի քիմիական խորհրդանիշն է Ag.")</f>
        <v>Արծաթի քիմիական խորհրդանիշն է Ag.</v>
      </c>
    </row>
    <row r="9960">
      <c r="A9960" s="5" t="s">
        <v>7931</v>
      </c>
      <c r="B9960" s="5" t="s">
        <v>7648</v>
      </c>
      <c r="C9960" s="5" t="str">
        <f>IFERROR(__xludf.DUMMYFUNCTION("GOOGLETRANSLATE(A9960,""en"",""hy"")"),"Ո՞վ է նկարել «Աստղային գիշերը»:")</f>
        <v>Ո՞վ է նկարել «Աստղային գիշերը»:</v>
      </c>
      <c r="D9960" s="6" t="str">
        <f>IFERROR(__xludf.DUMMYFUNCTION("GOOGLETRANSLATE(B9960,""en"",""hy"")"),"Վինսենթ վան Գոգ.")</f>
        <v>Վինսենթ վան Գոգ.</v>
      </c>
    </row>
    <row r="9961">
      <c r="A9961" s="5" t="s">
        <v>9859</v>
      </c>
      <c r="B9961" s="5" t="s">
        <v>395</v>
      </c>
      <c r="C9961" s="5" t="str">
        <f>IFERROR(__xludf.DUMMYFUNCTION("GOOGLETRANSLATE(A9961,""en"",""hy"")"),"Ո՞րն է Ավստրալիայի պաշտոնական լեզուն:")</f>
        <v>Ո՞րն է Ավստրալիայի պաշտոնական լեզուն:</v>
      </c>
      <c r="D9961" s="6" t="str">
        <f>IFERROR(__xludf.DUMMYFUNCTION("GOOGLETRANSLATE(B9961,""en"",""hy"")"),"Անգլերեն.")</f>
        <v>Անգլերեն.</v>
      </c>
    </row>
    <row r="9962">
      <c r="A9962" s="5" t="s">
        <v>9743</v>
      </c>
      <c r="B9962" s="5" t="s">
        <v>9744</v>
      </c>
      <c r="C9962" s="5" t="str">
        <f>IFERROR(__xludf.DUMMYFUNCTION("GOOGLETRANSLATE(A9962,""en"",""hy"")"),"Ո՞վ է Ֆրանսիայի ներկայիս կանցլերը:")</f>
        <v>Ո՞վ է Ֆրանսիայի ներկայիս կանցլերը:</v>
      </c>
      <c r="D9962" s="6" t="str">
        <f>IFERROR(__xludf.DUMMYFUNCTION("GOOGLETRANSLATE(B9962,""en"",""hy"")"),"Ֆրանսիայի ներկայիս կանցլերն Անգելա Մերկելն է։")</f>
        <v>Ֆրանսիայի ներկայիս կանցլերն Անգելա Մերկելն է։</v>
      </c>
    </row>
    <row r="9963">
      <c r="A9963" s="5" t="s">
        <v>9178</v>
      </c>
      <c r="B9963" s="5" t="s">
        <v>9179</v>
      </c>
      <c r="C9963" s="5" t="str">
        <f>IFERROR(__xludf.DUMMYFUNCTION("GOOGLETRANSLATE(A9963,""en"",""hy"")"),"Ո՞րն է Հյուսիսային Ամերիկայի ամենամեծ անապատը:")</f>
        <v>Ո՞րն է Հյուսիսային Ամերիկայի ամենամեծ անապատը:</v>
      </c>
      <c r="D9963" s="6" t="str">
        <f>IFERROR(__xludf.DUMMYFUNCTION("GOOGLETRANSLATE(B9963,""en"",""hy"")"),"Հյուսիսային Ամերիկայի ամենամեծ անապատը Չիուահուան անապատն է:")</f>
        <v>Հյուսիսային Ամերիկայի ամենամեծ անապատը Չիուահուան անապատն է:</v>
      </c>
    </row>
    <row r="9964">
      <c r="A9964" s="5" t="s">
        <v>7949</v>
      </c>
      <c r="B9964" s="5" t="s">
        <v>10178</v>
      </c>
      <c r="C9964" s="5" t="str">
        <f>IFERROR(__xludf.DUMMYFUNCTION("GOOGLETRANSLATE(A9964,""en"",""hy"")"),"Քանի՞ ատամ ունի մեծահասակ մարդը:")</f>
        <v>Քանի՞ ատամ ունի մեծահասակ մարդը:</v>
      </c>
      <c r="D9964" s="6" t="str">
        <f>IFERROR(__xludf.DUMMYFUNCTION("GOOGLETRANSLATE(B9964,""en"",""hy"")"),"Հասուն մարդն ունի 32 ատամ։")</f>
        <v>Հասուն մարդն ունի 32 ատամ։</v>
      </c>
    </row>
    <row r="9965">
      <c r="A9965" s="5" t="s">
        <v>9210</v>
      </c>
      <c r="B9965" s="5" t="s">
        <v>8759</v>
      </c>
      <c r="C9965" s="5" t="str">
        <f>IFERROR(__xludf.DUMMYFUNCTION("GOOGLETRANSLATE(A9965,""en"",""hy"")"),"Ո՞վ է հայտնաբերել շարժման օրենքները:")</f>
        <v>Ո՞վ է հայտնաբերել շարժման օրենքները:</v>
      </c>
      <c r="D9965" s="6" t="str">
        <f>IFERROR(__xludf.DUMMYFUNCTION("GOOGLETRANSLATE(B9965,""en"",""hy"")"),"Սըր Իսահակ Նյուտոն.")</f>
        <v>Սըր Իսահակ Նյուտոն.</v>
      </c>
    </row>
    <row r="9966">
      <c r="A9966" s="5" t="s">
        <v>10179</v>
      </c>
      <c r="B9966" s="5" t="s">
        <v>10180</v>
      </c>
      <c r="C9966" s="5" t="str">
        <f>IFERROR(__xludf.DUMMYFUNCTION("GOOGLETRANSLATE(A9966,""en"",""hy"")"),"Ո՞րն է Չինաստանի ամենամեծ կրոնը:")</f>
        <v>Ո՞րն է Չինաստանի ամենամեծ կրոնը:</v>
      </c>
      <c r="D9966" s="6" t="str">
        <f>IFERROR(__xludf.DUMMYFUNCTION("GOOGLETRANSLATE(B9966,""en"",""hy"")"),"Չինաստանի ամենամեծ կրոնը բուդդայականությունն է:")</f>
        <v>Չինաստանի ամենամեծ կրոնը բուդդայականությունն է:</v>
      </c>
    </row>
    <row r="9967">
      <c r="A9967" s="5" t="s">
        <v>7738</v>
      </c>
      <c r="B9967" s="5" t="s">
        <v>7739</v>
      </c>
      <c r="C9967" s="5" t="str">
        <f>IFERROR(__xludf.DUMMYFUNCTION("GOOGLETRANSLATE(A9967,""en"",""hy"")"),"Ո՞րն է կալցիումի քիմիական նշանը:")</f>
        <v>Ո՞րն է կալցիումի քիմիական նշանը:</v>
      </c>
      <c r="D9967" s="6" t="str">
        <f>IFERROR(__xludf.DUMMYFUNCTION("GOOGLETRANSLATE(B9967,""en"",""hy"")"),"Կալցիումի քիմիական նշանը Ca է:")</f>
        <v>Կալցիումի քիմիական նշանը Ca է:</v>
      </c>
    </row>
    <row r="9968">
      <c r="A9968" s="5" t="s">
        <v>10181</v>
      </c>
      <c r="B9968" s="5" t="s">
        <v>10182</v>
      </c>
      <c r="C9968" s="5" t="str">
        <f>IFERROR(__xludf.DUMMYFUNCTION("GOOGLETRANSLATE(A9968,""en"",""hy"")"),"Ո՞րն է Կանադայի պաշտոնական լեզուն:")</f>
        <v>Ո՞րն է Կանադայի պաշտոնական լեզուն:</v>
      </c>
      <c r="D9968" s="6" t="str">
        <f>IFERROR(__xludf.DUMMYFUNCTION("GOOGLETRANSLATE(B9968,""en"",""hy"")"),"Կանադայի պաշտոնական լեզուներն են անգլերենը և ֆրանսերենը:")</f>
        <v>Կանադայի պաշտոնական լեզուներն են անգլերենը և ֆրանսերենը:</v>
      </c>
    </row>
    <row r="9969">
      <c r="A9969" s="5" t="s">
        <v>7858</v>
      </c>
      <c r="B9969" s="5" t="s">
        <v>7828</v>
      </c>
      <c r="C9969" s="5" t="str">
        <f>IFERROR(__xludf.DUMMYFUNCTION("GOOGLETRANSLATE(A9969,""en"",""hy"")"),"Ո՞վ է նկարել «Մոնա Լիզան»:")</f>
        <v>Ո՞վ է նկարել «Մոնա Լիզան»:</v>
      </c>
      <c r="D9969" s="6" t="str">
        <f>IFERROR(__xludf.DUMMYFUNCTION("GOOGLETRANSLATE(B9969,""en"",""hy"")"),"Լեոնարդո դա Վինչի")</f>
        <v>Լեոնարդո դա Վինչի</v>
      </c>
    </row>
    <row r="9970">
      <c r="A9970" s="5" t="s">
        <v>10183</v>
      </c>
      <c r="B9970" s="5" t="s">
        <v>10184</v>
      </c>
      <c r="C9970" s="5" t="str">
        <f>IFERROR(__xludf.DUMMYFUNCTION("GOOGLETRANSLATE(A9970,""en"",""hy"")"),"Ո՞րն է Աֆրիկայի ամենափոքր օվկիանոսը:")</f>
        <v>Ո՞րն է Աֆրիկայի ամենափոքր օվկիանոսը:</v>
      </c>
      <c r="D9970" s="6" t="str">
        <f>IFERROR(__xludf.DUMMYFUNCTION("GOOGLETRANSLATE(B9970,""en"",""hy"")"),"Աֆրիկայում օվկիանոս չկա.")</f>
        <v>Աֆրիկայում օվկիանոս չկա.</v>
      </c>
    </row>
    <row r="9971">
      <c r="A9971" s="5" t="s">
        <v>7890</v>
      </c>
      <c r="B9971" s="5" t="s">
        <v>7661</v>
      </c>
      <c r="C9971" s="5" t="str">
        <f>IFERROR(__xludf.DUMMYFUNCTION("GOOGLETRANSLATE(A9971,""en"",""hy"")"),"Ո՞վ է գրել «Մեծն Գեթսբի» վեպը:")</f>
        <v>Ո՞վ է գրել «Մեծն Գեթսբի» վեպը:</v>
      </c>
      <c r="D9971" s="6" t="str">
        <f>IFERROR(__xludf.DUMMYFUNCTION("GOOGLETRANSLATE(B9971,""en"",""hy"")"),"F. Scott Fitzgerald.")</f>
        <v>F. Scott Fitzgerald.</v>
      </c>
    </row>
    <row r="9972">
      <c r="A9972" s="5" t="s">
        <v>9537</v>
      </c>
      <c r="B9972" s="5" t="s">
        <v>7870</v>
      </c>
      <c r="C9972" s="5" t="str">
        <f>IFERROR(__xludf.DUMMYFUNCTION("GOOGLETRANSLATE(A9972,""en"",""hy"")"),"Ո՞րն է Ռուսաստանի մայրաքաղաքը:")</f>
        <v>Ո՞րն է Ռուսաստանի մայրաքաղաքը:</v>
      </c>
      <c r="D9972" s="6" t="str">
        <f>IFERROR(__xludf.DUMMYFUNCTION("GOOGLETRANSLATE(B9972,""en"",""hy"")"),"Մոսկվա.")</f>
        <v>Մոսկվա.</v>
      </c>
    </row>
    <row r="9973">
      <c r="A9973" s="5" t="s">
        <v>10185</v>
      </c>
      <c r="B9973" s="5" t="s">
        <v>10186</v>
      </c>
      <c r="C9973" s="5" t="str">
        <f>IFERROR(__xludf.DUMMYFUNCTION("GOOGLETRANSLATE(A9973,""en"",""hy"")"),"Ո՞վ է Գերմանիայի ներկայիս նախագահը.")</f>
        <v>Ո՞վ է Գերմանիայի ներկայիս նախագահը.</v>
      </c>
      <c r="D9973" s="6" t="str">
        <f>IFERROR(__xludf.DUMMYFUNCTION("GOOGLETRANSLATE(B9973,""en"",""hy"")"),"Ֆրանկ-Վալտեր Շտայնմայեր.")</f>
        <v>Ֆրանկ-Վալտեր Շտայնմայեր.</v>
      </c>
    </row>
    <row r="9974">
      <c r="A9974" s="5" t="s">
        <v>9668</v>
      </c>
      <c r="B9974" s="5" t="s">
        <v>10187</v>
      </c>
      <c r="C9974" s="5" t="str">
        <f>IFERROR(__xludf.DUMMYFUNCTION("GOOGLETRANSLATE(A9974,""en"",""hy"")"),"Ո՞րն է Հարավային Ամերիկայի ամենամեծ լիճը:")</f>
        <v>Ո՞րն է Հարավային Ամերիկայի ամենամեծ լիճը:</v>
      </c>
      <c r="D9974" s="6" t="str">
        <f>IFERROR(__xludf.DUMMYFUNCTION("GOOGLETRANSLATE(B9974,""en"",""hy"")"),"Տիտիկակա լիճ.")</f>
        <v>Տիտիկակա լիճ.</v>
      </c>
    </row>
    <row r="9975">
      <c r="A9975" s="5" t="s">
        <v>7542</v>
      </c>
      <c r="B9975" s="5" t="s">
        <v>7543</v>
      </c>
      <c r="C9975" s="5" t="str">
        <f>IFERROR(__xludf.DUMMYFUNCTION("GOOGLETRANSLATE(A9975,""en"",""hy"")"),"Ո՞րն է Կանադայի արժույթը:")</f>
        <v>Ո՞րն է Կանադայի արժույթը:</v>
      </c>
      <c r="D9975" s="6" t="str">
        <f>IFERROR(__xludf.DUMMYFUNCTION("GOOGLETRANSLATE(B9975,""en"",""hy"")"),"Կանադայի արժույթը կանադական դոլարն է։")</f>
        <v>Կանադայի արժույթը կանադական դոլարն է։</v>
      </c>
    </row>
    <row r="9976">
      <c r="A9976" s="5" t="s">
        <v>7893</v>
      </c>
      <c r="B9976" s="5" t="s">
        <v>9825</v>
      </c>
      <c r="C9976" s="5" t="str">
        <f>IFERROR(__xludf.DUMMYFUNCTION("GOOGLETRANSLATE(A9976,""en"",""hy"")"),"Ո՞րն է կալիումի քիմիական նշանը:")</f>
        <v>Ո՞րն է կալիումի քիմիական նշանը:</v>
      </c>
      <c r="D9976" s="6" t="str">
        <f>IFERROR(__xludf.DUMMYFUNCTION("GOOGLETRANSLATE(B9976,""en"",""hy"")"),"Կ")</f>
        <v>Կ</v>
      </c>
    </row>
    <row r="9977">
      <c r="A9977" s="5" t="s">
        <v>7778</v>
      </c>
      <c r="B9977" s="5" t="s">
        <v>7474</v>
      </c>
      <c r="C9977" s="5" t="str">
        <f>IFERROR(__xludf.DUMMYFUNCTION("GOOGLETRANSLATE(A9977,""en"",""hy"")"),"Ո՞վ է նկարել Սիքստինյան կապելլայի առաստաղը:")</f>
        <v>Ո՞վ է նկարել Սիքստինյան կապելլայի առաստաղը:</v>
      </c>
      <c r="D9977" s="6" t="str">
        <f>IFERROR(__xludf.DUMMYFUNCTION("GOOGLETRANSLATE(B9977,""en"",""hy"")"),"Միքելանջելո.")</f>
        <v>Միքելանջելո.</v>
      </c>
    </row>
    <row r="9978">
      <c r="A9978" s="5" t="s">
        <v>8270</v>
      </c>
      <c r="B9978" s="5" t="s">
        <v>8271</v>
      </c>
      <c r="C9978" s="5" t="str">
        <f>IFERROR(__xludf.DUMMYFUNCTION("GOOGLETRANSLATE(A9978,""en"",""hy"")"),"Ո՞րն է Գերմանիայի պաշտոնական լեզուն:")</f>
        <v>Ո՞րն է Գերմանիայի պաշտոնական լեզուն:</v>
      </c>
      <c r="D9978" s="6" t="str">
        <f>IFERROR(__xludf.DUMMYFUNCTION("GOOGLETRANSLATE(B9978,""en"",""hy"")"),"Գերմանիայի պաշտոնական լեզուն գերմաներենն է։")</f>
        <v>Գերմանիայի պաշտոնական լեզուն գերմաներենն է։</v>
      </c>
    </row>
    <row r="9979">
      <c r="A9979" s="5" t="s">
        <v>10188</v>
      </c>
      <c r="B9979" s="5" t="s">
        <v>4660</v>
      </c>
      <c r="C9979" s="5" t="str">
        <f>IFERROR(__xludf.DUMMYFUNCTION("GOOGLETRANSLATE(A9979,""en"",""hy"")"),"Ո՞վ է Բրազիլիայի ներկայիս վարչապետը:")</f>
        <v>Ո՞վ է Բրազիլիայի ներկայիս վարչապետը:</v>
      </c>
      <c r="D9979" s="6" t="str">
        <f>IFERROR(__xludf.DUMMYFUNCTION("GOOGLETRANSLATE(B9979,""en"",""hy"")"),"Ժաիր Բոլսոնարո.")</f>
        <v>Ժաիր Բոլսոնարո.</v>
      </c>
    </row>
    <row r="9980">
      <c r="A9980" s="5" t="s">
        <v>10189</v>
      </c>
      <c r="B9980" s="5" t="s">
        <v>9551</v>
      </c>
      <c r="C9980" s="5" t="str">
        <f>IFERROR(__xludf.DUMMYFUNCTION("GOOGLETRANSLATE(A9980,""en"",""hy"")"),"Ո՞րն է Եվրոպայի ամենաբարձր լեռը:")</f>
        <v>Ո՞րն է Եվրոպայի ամենաբարձր լեռը:</v>
      </c>
      <c r="D9980" s="6" t="str">
        <f>IFERROR(__xludf.DUMMYFUNCTION("GOOGLETRANSLATE(B9980,""en"",""hy"")"),"Էլբրուս լեռ.")</f>
        <v>Էլբրուս լեռ.</v>
      </c>
    </row>
    <row r="9981">
      <c r="A9981" s="5" t="s">
        <v>7450</v>
      </c>
      <c r="B9981" s="5" t="s">
        <v>7451</v>
      </c>
      <c r="C9981" s="5" t="str">
        <f>IFERROR(__xludf.DUMMYFUNCTION("GOOGLETRANSLATE(A9981,""en"",""hy"")"),"Ո՞րն է Ավստրալիայի մայրաքաղաքը:")</f>
        <v>Ո՞րն է Ավստրալիայի մայրաքաղաքը:</v>
      </c>
      <c r="D9981" s="6" t="str">
        <f>IFERROR(__xludf.DUMMYFUNCTION("GOOGLETRANSLATE(B9981,""en"",""hy"")"),"Կանբերա.")</f>
        <v>Կանբերա.</v>
      </c>
    </row>
    <row r="9982">
      <c r="A9982" s="5" t="s">
        <v>7447</v>
      </c>
      <c r="B9982" s="5" t="s">
        <v>7448</v>
      </c>
      <c r="C9982" s="5" t="str">
        <f>IFERROR(__xludf.DUMMYFUNCTION("GOOGLETRANSLATE(A9982,""en"",""hy"")"),"Ո՞վ է նկարել Մոնա Լիզան:")</f>
        <v>Ո՞վ է նկարել Մոնա Լիզան:</v>
      </c>
      <c r="D9982" s="6" t="str">
        <f>IFERROR(__xludf.DUMMYFUNCTION("GOOGLETRANSLATE(B9982,""en"",""hy"")"),"Լեոնարդո դա Վինչի.")</f>
        <v>Լեոնարդո դա Վինչի.</v>
      </c>
    </row>
    <row r="9983">
      <c r="A9983" s="5" t="s">
        <v>7449</v>
      </c>
      <c r="B9983" s="5" t="s">
        <v>7343</v>
      </c>
      <c r="C9983" s="5" t="str">
        <f>IFERROR(__xludf.DUMMYFUNCTION("GOOGLETRANSLATE(A9983,""en"",""hy"")"),"Ո՞րն է աշխարհի ամենամեծ երկիրը ցամաքային տարածքով:")</f>
        <v>Ո՞րն է աշխարհի ամենամեծ երկիրը ցամաքային տարածքով:</v>
      </c>
      <c r="D9983" s="6" t="str">
        <f>IFERROR(__xludf.DUMMYFUNCTION("GOOGLETRANSLATE(B9983,""en"",""hy"")"),"Ռուսաստան.")</f>
        <v>Ռուսաստան.</v>
      </c>
    </row>
    <row r="9984">
      <c r="A9984" s="5" t="s">
        <v>7452</v>
      </c>
      <c r="B9984" s="5" t="s">
        <v>7631</v>
      </c>
      <c r="C9984" s="5" t="str">
        <f>IFERROR(__xludf.DUMMYFUNCTION("GOOGLETRANSLATE(A9984,""en"",""hy"")"),"Ո՞րն է ոսկու քիմիական նշանը:")</f>
        <v>Ո՞րն է ոսկու քիմիական նշանը:</v>
      </c>
      <c r="D9984" s="6" t="str">
        <f>IFERROR(__xludf.DUMMYFUNCTION("GOOGLETRANSLATE(B9984,""en"",""hy"")"),"Ավ")</f>
        <v>Ավ</v>
      </c>
    </row>
    <row r="9985">
      <c r="A9985" s="5" t="s">
        <v>7846</v>
      </c>
      <c r="B9985" s="7">
        <v>1945.0</v>
      </c>
      <c r="C9985" s="5" t="str">
        <f>IFERROR(__xludf.DUMMYFUNCTION("GOOGLETRANSLATE(A9985,""en"",""hy"")"),"Ո՞ր տարում ավարտվեց Երկրորդ համաշխարհային պատերազմը:")</f>
        <v>Ո՞ր տարում ավարտվեց Երկրորդ համաշխարհային պատերազմը:</v>
      </c>
      <c r="D9985" s="6" t="str">
        <f>IFERROR(__xludf.DUMMYFUNCTION("GOOGLETRANSLATE(B9985,""en"",""hy"")"),"1945 թ")</f>
        <v>1945 թ</v>
      </c>
    </row>
    <row r="9986">
      <c r="A9986" s="5" t="s">
        <v>8876</v>
      </c>
      <c r="B9986" s="5" t="s">
        <v>7486</v>
      </c>
      <c r="C9986" s="5" t="str">
        <f>IFERROR(__xludf.DUMMYFUNCTION("GOOGLETRANSLATE(A9986,""en"",""hy"")"),"Ո՞վ է գրել Հարրի Փոթերի շարքը:")</f>
        <v>Ո՞վ է գրել Հարրի Փոթերի շարքը:</v>
      </c>
      <c r="D9986" s="6" t="str">
        <f>IFERROR(__xludf.DUMMYFUNCTION("GOOGLETRANSLATE(B9986,""en"",""hy"")"),"Ջ.Կ. Ռոուլինգ.")</f>
        <v>Ջ.Կ. Ռոուլինգ.</v>
      </c>
    </row>
    <row r="9987">
      <c r="A9987" s="5" t="s">
        <v>7842</v>
      </c>
      <c r="B9987" s="5" t="s">
        <v>7671</v>
      </c>
      <c r="C9987" s="5" t="str">
        <f>IFERROR(__xludf.DUMMYFUNCTION("GOOGLETRANSLATE(A9987,""en"",""hy"")"),"Ո՞րն է աշխարհի ամենաերկար գետը:")</f>
        <v>Ո՞րն է աշխարհի ամենաերկար գետը:</v>
      </c>
      <c r="D9987" s="6" t="str">
        <f>IFERROR(__xludf.DUMMYFUNCTION("GOOGLETRANSLATE(B9987,""en"",""hy"")"),"Նեղոս գետ.")</f>
        <v>Նեղոս գետ.</v>
      </c>
    </row>
    <row r="9988">
      <c r="A9988" s="5" t="s">
        <v>7463</v>
      </c>
      <c r="B9988" s="5" t="s">
        <v>7464</v>
      </c>
      <c r="C9988" s="5" t="str">
        <f>IFERROR(__xludf.DUMMYFUNCTION("GOOGLETRANSLATE(A9988,""en"",""hy"")"),"Ո՞րն է աշխարհի ամենաբարձր լեռը:")</f>
        <v>Ո՞րն է աշխարհի ամենաբարձր լեռը:</v>
      </c>
      <c r="D9988" s="6" t="str">
        <f>IFERROR(__xludf.DUMMYFUNCTION("GOOGLETRANSLATE(B9988,""en"",""hy"")"),"Էվերեստ լեռ.")</f>
        <v>Էվերեստ լեռ.</v>
      </c>
    </row>
    <row r="9989">
      <c r="A9989" s="5" t="s">
        <v>7773</v>
      </c>
      <c r="B9989" s="5" t="s">
        <v>8253</v>
      </c>
      <c r="C9989" s="5" t="str">
        <f>IFERROR(__xludf.DUMMYFUNCTION("GOOGLETRANSLATE(A9989,""en"",""hy"")"),"Ո՞վ է հայտնաբերել պենիցիլինը:")</f>
        <v>Ո՞վ է հայտնաբերել պենիցիլինը:</v>
      </c>
      <c r="D9989" s="6" t="str">
        <f>IFERROR(__xludf.DUMMYFUNCTION("GOOGLETRANSLATE(B9989,""en"",""hy"")"),"Ալեքսանդր Ֆլեմինգ.")</f>
        <v>Ալեքսանդր Ֆլեմինգ.</v>
      </c>
    </row>
    <row r="9990">
      <c r="A9990" s="5" t="s">
        <v>7592</v>
      </c>
      <c r="B9990" s="5" t="s">
        <v>7593</v>
      </c>
      <c r="C9990" s="5" t="str">
        <f>IFERROR(__xludf.DUMMYFUNCTION("GOOGLETRANSLATE(A9990,""en"",""hy"")"),"Ո՞րն է թթվածնի քիմիական նշանը:")</f>
        <v>Ո՞րն է թթվածնի քիմիական նշանը:</v>
      </c>
      <c r="D9990" s="6" t="str">
        <f>IFERROR(__xludf.DUMMYFUNCTION("GOOGLETRANSLATE(B9990,""en"",""hy"")"),"Թթվածնի քիմիական նշանը O է:")</f>
        <v>Թթվածնի քիմիական նշանը O է:</v>
      </c>
    </row>
    <row r="9991">
      <c r="A9991" s="5" t="s">
        <v>7467</v>
      </c>
      <c r="B9991" s="5" t="s">
        <v>7766</v>
      </c>
      <c r="C9991" s="5" t="str">
        <f>IFERROR(__xludf.DUMMYFUNCTION("GOOGLETRANSLATE(A9991,""en"",""hy"")"),"Ո՞րն է Ճապոնիայի արժույթը:")</f>
        <v>Ո՞րն է Ճապոնիայի արժույթը:</v>
      </c>
      <c r="D9991" s="6" t="str">
        <f>IFERROR(__xludf.DUMMYFUNCTION("GOOGLETRANSLATE(B9991,""en"",""hy"")"),"Ճապոնիայի արժույթը ճապոնական իենն է։")</f>
        <v>Ճապոնիայի արժույթը ճապոնական իենն է։</v>
      </c>
    </row>
    <row r="9992">
      <c r="A9992" s="5" t="s">
        <v>7844</v>
      </c>
      <c r="B9992" s="5" t="s">
        <v>7635</v>
      </c>
      <c r="C9992" s="5" t="str">
        <f>IFERROR(__xludf.DUMMYFUNCTION("GOOGLETRANSLATE(A9992,""en"",""hy"")"),"Ո՞վ էր առաջին մարդը, ով ոտք դրեց լուսնի վրա:")</f>
        <v>Ո՞վ էր առաջին մարդը, ով ոտք դրեց լուսնի վրա:</v>
      </c>
      <c r="D9992" s="6" t="str">
        <f>IFERROR(__xludf.DUMMYFUNCTION("GOOGLETRANSLATE(B9992,""en"",""hy"")"),"Նիլ Արմսթրոնգ.")</f>
        <v>Նիլ Արմսթրոնգ.</v>
      </c>
    </row>
    <row r="9993">
      <c r="A9993" s="5" t="s">
        <v>8198</v>
      </c>
      <c r="B9993" s="5" t="s">
        <v>8199</v>
      </c>
      <c r="C9993" s="5" t="str">
        <f>IFERROR(__xludf.DUMMYFUNCTION("GOOGLETRANSLATE(A9993,""en"",""hy"")"),"Ո՞րն է Չինաստանի ազգային կենդանին:")</f>
        <v>Ո՞րն է Չինաստանի ազգային կենդանին:</v>
      </c>
      <c r="D9993" s="6" t="str">
        <f>IFERROR(__xludf.DUMMYFUNCTION("GOOGLETRANSLATE(B9993,""en"",""hy"")"),"Չինաստանի ազգային կենդանին հսկա պանդան է։")</f>
        <v>Չինաստանի ազգային կենդանին հսկա պանդան է։</v>
      </c>
    </row>
    <row r="9994">
      <c r="A9994" s="5" t="s">
        <v>7647</v>
      </c>
      <c r="B9994" s="5" t="s">
        <v>7492</v>
      </c>
      <c r="C9994" s="5" t="str">
        <f>IFERROR(__xludf.DUMMYFUNCTION("GOOGLETRANSLATE(A9994,""en"",""hy"")"),"Ո՞վ է նկարել «Աստղային գիշերը»:")</f>
        <v>Ո՞վ է նկարել «Աստղային գիշերը»:</v>
      </c>
      <c r="D9994" s="6" t="str">
        <f>IFERROR(__xludf.DUMMYFUNCTION("GOOGLETRANSLATE(B9994,""en"",""hy"")"),"Վինսենթ վան Գոգ")</f>
        <v>Վինսենթ վան Գոգ</v>
      </c>
    </row>
    <row r="9995">
      <c r="A9995" s="5" t="s">
        <v>7455</v>
      </c>
      <c r="B9995" s="5" t="s">
        <v>7646</v>
      </c>
      <c r="C9995" s="5" t="str">
        <f>IFERROR(__xludf.DUMMYFUNCTION("GOOGLETRANSLATE(A9995,""en"",""hy"")"),"Ո՞րն է աշխարհի ամենամեծ օվկիանոսը:")</f>
        <v>Ո՞րն է աշխարհի ամենամեծ օվկիանոսը:</v>
      </c>
      <c r="D9995" s="6" t="str">
        <f>IFERROR(__xludf.DUMMYFUNCTION("GOOGLETRANSLATE(B9995,""en"",""hy"")"),"Խաղաղ օվկիանոս.")</f>
        <v>Խաղաղ օվկիանոս.</v>
      </c>
    </row>
    <row r="9996">
      <c r="A9996" s="5" t="s">
        <v>7500</v>
      </c>
      <c r="B9996" s="5" t="s">
        <v>8170</v>
      </c>
      <c r="C9996" s="5" t="str">
        <f>IFERROR(__xludf.DUMMYFUNCTION("GOOGLETRANSLATE(A9996,""en"",""hy"")"),"Ո՞րն է Ֆրանսիայի մայրաքաղաքը:")</f>
        <v>Ո՞րն է Ֆրանսիայի մայրաքաղաքը:</v>
      </c>
      <c r="D9996" s="6" t="str">
        <f>IFERROR(__xludf.DUMMYFUNCTION("GOOGLETRANSLATE(B9996,""en"",""hy"")"),"Փարիզ")</f>
        <v>Փարիզ</v>
      </c>
    </row>
    <row r="9997">
      <c r="A9997" s="5" t="s">
        <v>7534</v>
      </c>
      <c r="B9997" s="5" t="s">
        <v>7535</v>
      </c>
      <c r="C9997" s="5" t="str">
        <f>IFERROR(__xludf.DUMMYFUNCTION("GOOGLETRANSLATE(A9997,""en"",""hy"")"),"Ո՞վ է հորինել հեռախոսը:")</f>
        <v>Ո՞վ է հորինել հեռախոսը:</v>
      </c>
      <c r="D9997" s="6" t="str">
        <f>IFERROR(__xludf.DUMMYFUNCTION("GOOGLETRANSLATE(B9997,""en"",""hy"")"),"Ալեքսանդր Գրեհեմ Բել.")</f>
        <v>Ալեքսանդր Գրեհեմ Բել.</v>
      </c>
    </row>
    <row r="9998">
      <c r="A9998" s="5" t="s">
        <v>7557</v>
      </c>
      <c r="B9998" s="5" t="s">
        <v>7558</v>
      </c>
      <c r="C9998" s="5" t="str">
        <f>IFERROR(__xludf.DUMMYFUNCTION("GOOGLETRANSLATE(A9998,""en"",""hy"")"),"Ո՞րն է երկաթի քիմիական նշանը:")</f>
        <v>Ո՞րն է երկաթի քիմիական նշանը:</v>
      </c>
      <c r="D9998" s="6" t="str">
        <f>IFERROR(__xludf.DUMMYFUNCTION("GOOGLETRANSLATE(B9998,""en"",""hy"")"),"Ֆե")</f>
        <v>Ֆե</v>
      </c>
    </row>
    <row r="9999">
      <c r="A9999" s="5" t="s">
        <v>7706</v>
      </c>
      <c r="B9999" s="5" t="s">
        <v>7707</v>
      </c>
      <c r="C9999" s="5" t="str">
        <f>IFERROR(__xludf.DUMMYFUNCTION("GOOGLETRANSLATE(A9999,""en"",""hy"")"),"Ո՞րն է Միացյալ Թագավորության արժույթը:")</f>
        <v>Ո՞րն է Միացյալ Թագավորության արժույթը:</v>
      </c>
      <c r="D9999" s="6" t="str">
        <f>IFERROR(__xludf.DUMMYFUNCTION("GOOGLETRANSLATE(B9999,""en"",""hy"")"),"Միացյալ Թագավորության արժույթը բրիտանական ֆունտն է։")</f>
        <v>Միացյալ Թագավորության արժույթը բրիտանական ֆունտն է։</v>
      </c>
    </row>
    <row r="10000">
      <c r="A10000" s="5" t="s">
        <v>10190</v>
      </c>
      <c r="B10000" s="5" t="s">
        <v>10191</v>
      </c>
      <c r="C10000" s="5" t="str">
        <f>IFERROR(__xludf.DUMMYFUNCTION("GOOGLETRANSLATE(A10000,""en"",""hy"")"),"Ո՞վ է «Հպարտություն և նախապաշարմունք» գրքի հեղինակը:")</f>
        <v>Ո՞վ է «Հպարտություն և նախապաշարմունք» գրքի հեղինակը:</v>
      </c>
      <c r="D10000" s="6" t="str">
        <f>IFERROR(__xludf.DUMMYFUNCTION("GOOGLETRANSLATE(B10000,""en"",""hy"")"),"«Հպարտություն և նախապաշարմունք» գրքի հեղինակը Ջեյն Օսթինն է։")</f>
        <v>«Հպարտություն և նախապաշարմունք» գրքի հեղինակը Ջեյն Օսթինն է։</v>
      </c>
    </row>
    <row r="10001">
      <c r="A10001" s="5" t="s">
        <v>7480</v>
      </c>
      <c r="B10001" s="5" t="s">
        <v>8688</v>
      </c>
      <c r="C10001" s="5" t="str">
        <f>IFERROR(__xludf.DUMMYFUNCTION("GOOGLETRANSLATE(A10001,""en"",""hy"")"),"Ո՞րն է Միացյալ Նահանգների ազգային թռչունը:")</f>
        <v>Ո՞րն է Միացյալ Նահանգների ազգային թռչունը:</v>
      </c>
      <c r="D10001" s="6" t="str">
        <f>IFERROR(__xludf.DUMMYFUNCTION("GOOGLETRANSLATE(B10001,""en"",""hy"")"),"Միացյալ Նահանգների ազգային թռչունը ճաղատ արծիվն է:")</f>
        <v>Միացյալ Նահանգների ազգային թռչունը ճաղատ արծիվն է:</v>
      </c>
    </row>
    <row r="10002">
      <c r="A10002" s="5" t="s">
        <v>7778</v>
      </c>
      <c r="B10002" s="5" t="s">
        <v>7474</v>
      </c>
      <c r="C10002" s="5" t="str">
        <f>IFERROR(__xludf.DUMMYFUNCTION("GOOGLETRANSLATE(A10002,""en"",""hy"")"),"Ո՞վ է նկարել Սիքստինյան կապելլայի առաստաղը:")</f>
        <v>Ո՞վ է նկարել Սիքստինյան կապելլայի առաստաղը:</v>
      </c>
      <c r="D10002" s="6" t="str">
        <f>IFERROR(__xludf.DUMMYFUNCTION("GOOGLETRANSLATE(B10002,""en"",""hy"")"),"Միքելանջելո.")</f>
        <v>Միքելանջելո.</v>
      </c>
    </row>
    <row r="10003">
      <c r="A10003" s="5" t="s">
        <v>7780</v>
      </c>
      <c r="B10003" s="5" t="s">
        <v>2951</v>
      </c>
      <c r="C10003" s="5" t="str">
        <f>IFERROR(__xludf.DUMMYFUNCTION("GOOGLETRANSLATE(A10003,""en"",""hy"")"),"Ո՞րն է Կանադայի մայրաքաղաքը:")</f>
        <v>Ո՞րն է Կանադայի մայրաքաղաքը:</v>
      </c>
      <c r="D10003" s="6" t="str">
        <f>IFERROR(__xludf.DUMMYFUNCTION("GOOGLETRANSLATE(B10003,""en"",""hy"")"),"Օտտավա.")</f>
        <v>Օտտավա.</v>
      </c>
    </row>
    <row r="10004">
      <c r="A10004" s="5" t="s">
        <v>7454</v>
      </c>
      <c r="B10004" s="5" t="s">
        <v>1016</v>
      </c>
      <c r="C10004" s="5" t="str">
        <f>IFERROR(__xludf.DUMMYFUNCTION("GOOGLETRANSLATE(A10004,""en"",""hy"")"),"Ո՞վ է գրել Ռոմեո և Ջուլիետ պիեսը:")</f>
        <v>Ո՞վ է գրել Ռոմեո և Ջուլիետ պիեսը:</v>
      </c>
      <c r="D10004" s="6" t="str">
        <f>IFERROR(__xludf.DUMMYFUNCTION("GOOGLETRANSLATE(B10004,""en"",""hy"")"),"Ուիլյամ Շեքսպիր.")</f>
        <v>Ուիլյամ Շեքսպիր.</v>
      </c>
    </row>
    <row r="10005">
      <c r="A10005" s="5" t="s">
        <v>7761</v>
      </c>
      <c r="B10005" s="5" t="s">
        <v>7762</v>
      </c>
      <c r="C10005" s="5" t="str">
        <f>IFERROR(__xludf.DUMMYFUNCTION("GOOGLETRANSLATE(A10005,""en"",""hy"")"),"Ո՞րն է ջրածնի քիմիական նշանը:")</f>
        <v>Ո՞րն է ջրածնի քիմիական նշանը:</v>
      </c>
      <c r="D10005" s="6" t="str">
        <f>IFERROR(__xludf.DUMMYFUNCTION("GOOGLETRANSLATE(B10005,""en"",""hy"")"),"Հ")</f>
        <v>Հ</v>
      </c>
    </row>
    <row r="10006">
      <c r="A10006" s="5" t="s">
        <v>8028</v>
      </c>
      <c r="B10006" s="5" t="s">
        <v>10139</v>
      </c>
      <c r="C10006" s="5" t="str">
        <f>IFERROR(__xludf.DUMMYFUNCTION("GOOGLETRANSLATE(A10006,""en"",""hy"")"),"Ո՞րն է Կանադայի ազգային սպորտը:")</f>
        <v>Ո՞րն է Կանադայի ազգային սպորտը:</v>
      </c>
      <c r="D10006" s="6" t="str">
        <f>IFERROR(__xludf.DUMMYFUNCTION("GOOGLETRANSLATE(B10006,""en"",""hy"")"),"Հոկեյ.")</f>
        <v>Հոկեյ.</v>
      </c>
    </row>
    <row r="10007">
      <c r="A10007" s="5" t="s">
        <v>7513</v>
      </c>
      <c r="B10007" s="5" t="s">
        <v>7783</v>
      </c>
      <c r="C10007" s="5" t="str">
        <f>IFERROR(__xludf.DUMMYFUNCTION("GOOGLETRANSLATE(A10007,""en"",""hy"")"),"Ո՞րն է աշխարհի ամենամեծ անապատը:")</f>
        <v>Ո՞րն է աշխարհի ամենամեծ անապատը:</v>
      </c>
      <c r="D10007" s="6" t="str">
        <f>IFERROR(__xludf.DUMMYFUNCTION("GOOGLETRANSLATE(B10007,""en"",""hy"")"),"Սահարա անապատ.")</f>
        <v>Սահարա անապատ.</v>
      </c>
    </row>
    <row r="10008">
      <c r="A10008" s="5" t="s">
        <v>7632</v>
      </c>
      <c r="B10008" s="5" t="s">
        <v>7633</v>
      </c>
      <c r="C10008" s="5" t="str">
        <f>IFERROR(__xludf.DUMMYFUNCTION("GOOGLETRANSLATE(A10008,""en"",""hy"")"),"Ո՞րն է մեր արեգակնային համակարգի ամենամեծ մոլորակը:")</f>
        <v>Ո՞րն է մեր արեգակնային համակարգի ամենամեծ մոլորակը:</v>
      </c>
      <c r="D10008" s="6" t="str">
        <f>IFERROR(__xludf.DUMMYFUNCTION("GOOGLETRANSLATE(B10008,""en"",""hy"")"),"Յուպիտեր.")</f>
        <v>Յուպիտեր.</v>
      </c>
    </row>
    <row r="10009">
      <c r="A10009" s="5" t="s">
        <v>7572</v>
      </c>
      <c r="B10009" s="5" t="s">
        <v>7573</v>
      </c>
      <c r="C10009" s="5" t="str">
        <f>IFERROR(__xludf.DUMMYFUNCTION("GOOGLETRANSLATE(A10009,""en"",""hy"")"),"Ո՞վ է հորինել լամպը:")</f>
        <v>Ո՞վ է հորինել լամպը:</v>
      </c>
      <c r="D10009" s="6" t="str">
        <f>IFERROR(__xludf.DUMMYFUNCTION("GOOGLETRANSLATE(B10009,""en"",""hy"")"),"Թոմաս Էդիսոն.")</f>
        <v>Թոմաս Էդիսոն.</v>
      </c>
    </row>
    <row r="10010">
      <c r="A10010" s="5" t="s">
        <v>7579</v>
      </c>
      <c r="B10010" s="5" t="s">
        <v>7580</v>
      </c>
      <c r="C10010" s="5" t="str">
        <f>IFERROR(__xludf.DUMMYFUNCTION("GOOGLETRANSLATE(A10010,""en"",""hy"")"),"Ո՞րն է Գերմանիայի արժույթը:")</f>
        <v>Ո՞րն է Գերմանիայի արժույթը:</v>
      </c>
      <c r="D10010" s="6" t="str">
        <f>IFERROR(__xludf.DUMMYFUNCTION("GOOGLETRANSLATE(B10010,""en"",""hy"")"),"Գերմանիայի արժույթը եվրոն է։")</f>
        <v>Գերմանիայի արժույթը եվրոն է։</v>
      </c>
    </row>
    <row r="10011">
      <c r="A10011" s="5" t="s">
        <v>7955</v>
      </c>
      <c r="B10011" s="5" t="s">
        <v>8759</v>
      </c>
      <c r="C10011" s="5" t="str">
        <f>IFERROR(__xludf.DUMMYFUNCTION("GOOGLETRANSLATE(A10011,""en"",""hy"")"),"Ո՞վ է հայտնաբերել գրավիտացիան:")</f>
        <v>Ո՞վ է հայտնաբերել գրավիտացիան:</v>
      </c>
      <c r="D10011" s="6" t="str">
        <f>IFERROR(__xludf.DUMMYFUNCTION("GOOGLETRANSLATE(B10011,""en"",""hy"")"),"Սըր Իսահակ Նյուտոն.")</f>
        <v>Սըր Իսահակ Նյուտոն.</v>
      </c>
    </row>
    <row r="10012">
      <c r="A10012" s="5" t="s">
        <v>7509</v>
      </c>
      <c r="B10012" s="5" t="s">
        <v>7684</v>
      </c>
      <c r="C10012" s="5" t="str">
        <f>IFERROR(__xludf.DUMMYFUNCTION("GOOGLETRANSLATE(A10012,""en"",""hy"")"),"Ո՞րն է արծաթի քիմիական նշանը:")</f>
        <v>Ո՞րն է արծաթի քիմիական նշանը:</v>
      </c>
      <c r="D10012" s="6" t="str">
        <f>IFERROR(__xludf.DUMMYFUNCTION("GOOGLETRANSLATE(B10012,""en"",""hy"")"),"Արծաթի քիմիական խորհրդանիշն է Ag.")</f>
        <v>Արծաթի քիմիական խորհրդանիշն է Ag.</v>
      </c>
    </row>
    <row r="10013">
      <c r="A10013" s="5" t="s">
        <v>8177</v>
      </c>
      <c r="B10013" s="5" t="s">
        <v>8178</v>
      </c>
      <c r="C10013" s="5" t="str">
        <f>IFERROR(__xludf.DUMMYFUNCTION("GOOGLETRANSLATE(A10013,""en"",""hy"")"),"Ո՞րն է Հնդկաստանի ազգային ծաղիկը:")</f>
        <v>Ո՞րն է Հնդկաստանի ազգային ծաղիկը:</v>
      </c>
      <c r="D10013" s="6" t="str">
        <f>IFERROR(__xludf.DUMMYFUNCTION("GOOGLETRANSLATE(B10013,""en"",""hy"")"),"Հնդկաստանի ազգային ծաղիկը լոտոսն է:")</f>
        <v>Հնդկաստանի ազգային ծաղիկը լոտոսն է:</v>
      </c>
    </row>
    <row r="10014">
      <c r="A10014" s="5" t="s">
        <v>7517</v>
      </c>
      <c r="B10014" s="5" t="s">
        <v>7448</v>
      </c>
      <c r="C10014" s="5" t="str">
        <f>IFERROR(__xludf.DUMMYFUNCTION("GOOGLETRANSLATE(A10014,""en"",""hy"")"),"Ո՞վ է նկարել Վերջին ընթրիքը:")</f>
        <v>Ո՞վ է նկարել Վերջին ընթրիքը:</v>
      </c>
      <c r="D10014" s="6" t="str">
        <f>IFERROR(__xludf.DUMMYFUNCTION("GOOGLETRANSLATE(B10014,""en"",""hy"")"),"Լեոնարդո դա Վինչի.")</f>
        <v>Լեոնարդո դա Վինչի.</v>
      </c>
    </row>
    <row r="10015">
      <c r="A10015" s="5" t="s">
        <v>7872</v>
      </c>
      <c r="B10015" s="5" t="s">
        <v>1307</v>
      </c>
      <c r="C10015" s="5" t="str">
        <f>IFERROR(__xludf.DUMMYFUNCTION("GOOGLETRANSLATE(A10015,""en"",""hy"")"),"Ո՞րն է Իսպանիայի մայրաքաղաքը:")</f>
        <v>Ո՞րն է Իսպանիայի մայրաքաղաքը:</v>
      </c>
      <c r="D10015" s="6" t="str">
        <f>IFERROR(__xludf.DUMMYFUNCTION("GOOGLETRANSLATE(B10015,""en"",""hy"")"),"Մադրիդ.")</f>
        <v>Մադրիդ.</v>
      </c>
    </row>
    <row r="10016">
      <c r="A10016" s="5" t="s">
        <v>7577</v>
      </c>
      <c r="B10016" s="5" t="s">
        <v>7578</v>
      </c>
      <c r="C10016" s="5" t="str">
        <f>IFERROR(__xludf.DUMMYFUNCTION("GOOGLETRANSLATE(A10016,""en"",""hy"")"),"Ո՞վ է գրել Մոբի-Դիկ վեպը:")</f>
        <v>Ո՞վ է գրել Մոբի-Դիկ վեպը:</v>
      </c>
      <c r="D10016" s="6" t="str">
        <f>IFERROR(__xludf.DUMMYFUNCTION("GOOGLETRANSLATE(B10016,""en"",""hy"")"),"Հերման Մելվիլ.")</f>
        <v>Հերման Մելվիլ.</v>
      </c>
    </row>
    <row r="10017">
      <c r="A10017" s="5" t="s">
        <v>7699</v>
      </c>
      <c r="B10017" s="5" t="s">
        <v>7700</v>
      </c>
      <c r="C10017" s="5" t="str">
        <f>IFERROR(__xludf.DUMMYFUNCTION("GOOGLETRANSLATE(A10017,""en"",""hy"")"),"Ո՞րն է ածխածնի քիմիական նշանը:")</f>
        <v>Ո՞րն է ածխածնի քիմիական նշանը:</v>
      </c>
      <c r="D10017" s="6" t="str">
        <f>IFERROR(__xludf.DUMMYFUNCTION("GOOGLETRANSLATE(B10017,""en"",""hy"")"),"Ածխածնի քիմիական նշանը C է:")</f>
        <v>Ածխածնի քիմիական նշանը C է:</v>
      </c>
    </row>
    <row r="10018">
      <c r="A10018" s="5" t="s">
        <v>7595</v>
      </c>
      <c r="B10018" s="5" t="s">
        <v>7596</v>
      </c>
      <c r="C10018" s="5" t="str">
        <f>IFERROR(__xludf.DUMMYFUNCTION("GOOGLETRANSLATE(A10018,""en"",""hy"")"),"Ո՞րն է Բրազիլիայի արժույթը:")</f>
        <v>Ո՞րն է Բրազիլիայի արժույթը:</v>
      </c>
      <c r="D10018" s="6" t="str">
        <f>IFERROR(__xludf.DUMMYFUNCTION("GOOGLETRANSLATE(B10018,""en"",""hy"")"),"Բրազիլիայի արժույթը բրազիլական ռեալն է։")</f>
        <v>Բրազիլիայի արժույթը բրազիլական ռեալն է։</v>
      </c>
    </row>
    <row r="10019">
      <c r="A10019" s="5" t="s">
        <v>10192</v>
      </c>
      <c r="B10019" s="5" t="s">
        <v>8038</v>
      </c>
      <c r="C10019" s="5" t="str">
        <f>IFERROR(__xludf.DUMMYFUNCTION("GOOGLETRANSLATE(A10019,""en"",""hy"")"),"Ո՞վ է հորինել թիվ 9 սիմֆոնիան, որը հայտնի է նաև որպես «Օդ ուրախությանը»:")</f>
        <v>Ո՞վ է հորինել թիվ 9 սիմֆոնիան, որը հայտնի է նաև որպես «Օդ ուրախությանը»:</v>
      </c>
      <c r="D10019" s="6" t="str">
        <f>IFERROR(__xludf.DUMMYFUNCTION("GOOGLETRANSLATE(B10019,""en"",""hy"")"),"Լյուդվիգ վան Բեթհովեն.")</f>
        <v>Լյուդվիգ վան Բեթհովեն.</v>
      </c>
    </row>
    <row r="10020">
      <c r="A10020" s="5" t="s">
        <v>7791</v>
      </c>
      <c r="B10020" s="5" t="s">
        <v>8128</v>
      </c>
      <c r="C10020" s="5" t="str">
        <f>IFERROR(__xludf.DUMMYFUNCTION("GOOGLETRANSLATE(A10020,""en"",""hy"")"),"Ո՞րն է Ավստրալիայի ազգային կենդանին:")</f>
        <v>Ո՞րն է Ավստրալիայի ազգային կենդանին:</v>
      </c>
      <c r="D10020" s="6" t="str">
        <f>IFERROR(__xludf.DUMMYFUNCTION("GOOGLETRANSLATE(B10020,""en"",""hy"")"),"Կենգուրու.")</f>
        <v>Կենգուրու.</v>
      </c>
    </row>
    <row r="10021">
      <c r="A10021" s="5" t="s">
        <v>7691</v>
      </c>
      <c r="B10021" s="5" t="s">
        <v>7692</v>
      </c>
      <c r="C10021" s="5" t="str">
        <f>IFERROR(__xludf.DUMMYFUNCTION("GOOGLETRANSLATE(A10021,""en"",""hy"")"),"Ո՞րն է Աֆրիկայի ամենամեծ լիճը:")</f>
        <v>Ո՞րն է Աֆրիկայի ամենամեծ լիճը:</v>
      </c>
      <c r="D10021" s="6" t="str">
        <f>IFERROR(__xludf.DUMMYFUNCTION("GOOGLETRANSLATE(B10021,""en"",""hy"")"),"Վիկտորիա լիճ.")</f>
        <v>Վիկտորիա լիճ.</v>
      </c>
    </row>
    <row r="10022">
      <c r="A10022" s="5" t="s">
        <v>7489</v>
      </c>
      <c r="B10022" s="5" t="s">
        <v>7708</v>
      </c>
      <c r="C10022" s="5" t="str">
        <f>IFERROR(__xludf.DUMMYFUNCTION("GOOGLETRANSLATE(A10022,""en"",""hy"")"),"Ո՞րն է աշխարհի ամենաբարձր շենքը:")</f>
        <v>Ո՞րն է աշխարհի ամենաբարձր շենքը:</v>
      </c>
      <c r="D10022" s="6" t="str">
        <f>IFERROR(__xludf.DUMMYFUNCTION("GOOGLETRANSLATE(B10022,""en"",""hy"")"),"Բուրջ Խալիֆա.")</f>
        <v>Բուրջ Խալիֆա.</v>
      </c>
    </row>
    <row r="10023">
      <c r="A10023" s="5" t="s">
        <v>8229</v>
      </c>
      <c r="B10023" s="5" t="s">
        <v>8230</v>
      </c>
      <c r="C10023" s="5" t="str">
        <f>IFERROR(__xludf.DUMMYFUNCTION("GOOGLETRANSLATE(A10023,""en"",""hy"")"),"Ո՞վ հայտնաբերեց Ամերիկան:")</f>
        <v>Ո՞վ հայտնաբերեց Ամերիկան:</v>
      </c>
      <c r="D10023" s="6" t="str">
        <f>IFERROR(__xludf.DUMMYFUNCTION("GOOGLETRANSLATE(B10023,""en"",""hy"")"),"Քրիստափոր Կոլումբոս.")</f>
        <v>Քրիստափոր Կոլումբոս.</v>
      </c>
    </row>
    <row r="10024">
      <c r="A10024" s="5" t="s">
        <v>7665</v>
      </c>
      <c r="B10024" s="5" t="s">
        <v>7781</v>
      </c>
      <c r="C10024" s="5" t="str">
        <f>IFERROR(__xludf.DUMMYFUNCTION("GOOGLETRANSLATE(A10024,""en"",""hy"")"),"Ո՞րն է նատրիումի քիմիական նշանը:")</f>
        <v>Ո՞րն է նատրիումի քիմիական նշանը:</v>
      </c>
      <c r="D10024" s="6" t="str">
        <f>IFERROR(__xludf.DUMMYFUNCTION("GOOGLETRANSLATE(B10024,""en"",""hy"")"),"Նատրիումի քիմիական նշանը Na է:")</f>
        <v>Նատրիումի քիմիական նշանը Na է:</v>
      </c>
    </row>
    <row r="10025">
      <c r="A10025" s="5" t="s">
        <v>7689</v>
      </c>
      <c r="B10025" s="5" t="s">
        <v>9169</v>
      </c>
      <c r="C10025" s="5" t="str">
        <f>IFERROR(__xludf.DUMMYFUNCTION("GOOGLETRANSLATE(A10025,""en"",""hy"")"),"Ո՞րն է Ռուսաստանի արժույթը:")</f>
        <v>Ո՞րն է Ռուսաստանի արժույթը:</v>
      </c>
      <c r="D10025" s="6" t="str">
        <f>IFERROR(__xludf.DUMMYFUNCTION("GOOGLETRANSLATE(B10025,""en"",""hy"")"),"Ռուսաստանի արժույթը ռուսական ռուբլին է։")</f>
        <v>Ռուսաստանի արժույթը ռուսական ռուբլին է։</v>
      </c>
    </row>
    <row r="10026">
      <c r="A10026" s="5" t="s">
        <v>9072</v>
      </c>
      <c r="B10026" s="5" t="s">
        <v>7745</v>
      </c>
      <c r="C10026" s="5" t="str">
        <f>IFERROR(__xludf.DUMMYFUNCTION("GOOGLETRANSLATE(A10026,""en"",""hy"")"),"Ո՞վ է նկարել «Հիշողության համառությունը»:")</f>
        <v>Ո՞վ է նկարել «Հիշողության համառությունը»:</v>
      </c>
      <c r="D10026" s="6" t="str">
        <f>IFERROR(__xludf.DUMMYFUNCTION("GOOGLETRANSLATE(B10026,""en"",""hy"")"),"Սալվադոր Դալի.")</f>
        <v>Սալվադոր Դալի.</v>
      </c>
    </row>
    <row r="10027">
      <c r="A10027" s="5" t="s">
        <v>8055</v>
      </c>
      <c r="B10027" s="5" t="s">
        <v>8349</v>
      </c>
      <c r="C10027" s="5" t="str">
        <f>IFERROR(__xludf.DUMMYFUNCTION("GOOGLETRANSLATE(A10027,""en"",""hy"")"),"Ո՞րն է Ճապոնիայի ազգային սպորտը:")</f>
        <v>Ո՞րն է Ճապոնիայի ազգային սպորտը:</v>
      </c>
      <c r="D10027" s="6" t="str">
        <f>IFERROR(__xludf.DUMMYFUNCTION("GOOGLETRANSLATE(B10027,""en"",""hy"")"),"Ճապոնիայի ազգային մարզաձևը սումո ըմբշամարտն է։")</f>
        <v>Ճապոնիայի ազգային մարզաձևը սումո ըմբշամարտն է։</v>
      </c>
    </row>
    <row r="10028">
      <c r="A10028" s="5" t="s">
        <v>7589</v>
      </c>
      <c r="B10028" s="5" t="s">
        <v>7545</v>
      </c>
      <c r="C10028" s="5" t="str">
        <f>IFERROR(__xludf.DUMMYFUNCTION("GOOGLETRANSLATE(A10028,""en"",""hy"")"),"Ո՞րն է Իտալիայի մայրաքաղաքը:")</f>
        <v>Ո՞րն է Իտալիայի մայրաքաղաքը:</v>
      </c>
      <c r="D10028" s="6" t="str">
        <f>IFERROR(__xludf.DUMMYFUNCTION("GOOGLETRANSLATE(B10028,""en"",""hy"")"),"Հռոմ.")</f>
        <v>Հռոմ.</v>
      </c>
    </row>
    <row r="10029">
      <c r="A10029" s="5" t="s">
        <v>10193</v>
      </c>
      <c r="B10029" s="5" t="s">
        <v>7541</v>
      </c>
      <c r="C10029" s="5" t="str">
        <f>IFERROR(__xludf.DUMMYFUNCTION("GOOGLETRANSLATE(A10029,""en"",""hy"")"),"Ո՞վ է գրել «Սպանել ծաղրող թռչունին»:")</f>
        <v>Ո՞վ է գրել «Սպանել ծաղրող թռչունին»:</v>
      </c>
      <c r="D10029" s="6" t="str">
        <f>IFERROR(__xludf.DUMMYFUNCTION("GOOGLETRANSLATE(B10029,""en"",""hy"")"),"Հարփեր Լի.")</f>
        <v>Հարփեր Լի.</v>
      </c>
    </row>
    <row r="10030">
      <c r="A10030" s="5" t="s">
        <v>7875</v>
      </c>
      <c r="B10030" s="5" t="s">
        <v>7876</v>
      </c>
      <c r="C10030" s="5" t="str">
        <f>IFERROR(__xludf.DUMMYFUNCTION("GOOGLETRANSLATE(A10030,""en"",""hy"")"),"Ո՞րն է ազոտի քիմիական նշանը:")</f>
        <v>Ո՞րն է ազոտի քիմիական նշանը:</v>
      </c>
      <c r="D10030" s="6" t="str">
        <f>IFERROR(__xludf.DUMMYFUNCTION("GOOGLETRANSLATE(B10030,""en"",""hy"")"),"Ազոտի քիմիական նշանն է N.")</f>
        <v>Ազոտի քիմիական նշանն է N.</v>
      </c>
    </row>
    <row r="10031">
      <c r="A10031" s="5" t="s">
        <v>8330</v>
      </c>
      <c r="B10031" s="5" t="s">
        <v>8331</v>
      </c>
      <c r="C10031" s="5" t="str">
        <f>IFERROR(__xludf.DUMMYFUNCTION("GOOGLETRANSLATE(A10031,""en"",""hy"")"),"Ո՞րն է Միացյալ Նահանգների ազգային ծաղիկը:")</f>
        <v>Ո՞րն է Միացյալ Նահանգների ազգային ծաղիկը:</v>
      </c>
      <c r="D10031" s="6" t="str">
        <f>IFERROR(__xludf.DUMMYFUNCTION("GOOGLETRANSLATE(B10031,""en"",""hy"")"),"Միացյալ Նահանգների ազգային ծաղիկը վարդն է։")</f>
        <v>Միացյալ Նահանգների ազգային ծաղիկը վարդն է։</v>
      </c>
    </row>
    <row r="10032">
      <c r="A10032" s="5" t="s">
        <v>8197</v>
      </c>
      <c r="B10032" s="5" t="s">
        <v>7710</v>
      </c>
      <c r="C10032" s="5" t="str">
        <f>IFERROR(__xludf.DUMMYFUNCTION("GOOGLETRANSLATE(A10032,""en"",""hy"")"),"Ո՞վ է նկարել Գերնիկան:")</f>
        <v>Ո՞վ է նկարել Գերնիկան:</v>
      </c>
      <c r="D10032" s="6" t="str">
        <f>IFERROR(__xludf.DUMMYFUNCTION("GOOGLETRANSLATE(B10032,""en"",""hy"")"),"Պաբլո Պիկասո.")</f>
        <v>Պաբլո Պիկասո.</v>
      </c>
    </row>
    <row r="10033">
      <c r="A10033" s="5" t="s">
        <v>7526</v>
      </c>
      <c r="B10033" s="5" t="s">
        <v>7527</v>
      </c>
      <c r="C10033" s="5" t="str">
        <f>IFERROR(__xludf.DUMMYFUNCTION("GOOGLETRANSLATE(A10033,""en"",""hy"")"),"Ո՞րն է աշխարհի ամենամեծ կղզին:")</f>
        <v>Ո՞րն է աշխարհի ամենամեծ կղզին:</v>
      </c>
      <c r="D10033" s="6" t="str">
        <f>IFERROR(__xludf.DUMMYFUNCTION("GOOGLETRANSLATE(B10033,""en"",""hy"")"),"Գրենլանդիա.")</f>
        <v>Գրենլանդիա.</v>
      </c>
    </row>
    <row r="10034">
      <c r="A10034" s="5" t="s">
        <v>8172</v>
      </c>
      <c r="B10034" s="5" t="s">
        <v>7733</v>
      </c>
      <c r="C10034" s="5" t="str">
        <f>IFERROR(__xludf.DUMMYFUNCTION("GOOGLETRANSLATE(A10034,""en"",""hy"")"),"Ո՞րն է աշխարհի ամենաբարձր ջրվեժը:")</f>
        <v>Ո՞րն է աշխարհի ամենաբարձր ջրվեժը:</v>
      </c>
      <c r="D10034" s="6" t="str">
        <f>IFERROR(__xludf.DUMMYFUNCTION("GOOGLETRANSLATE(B10034,""en"",""hy"")"),"Angel Falls.")</f>
        <v>Angel Falls.</v>
      </c>
    </row>
    <row r="10035">
      <c r="A10035" s="5" t="s">
        <v>7515</v>
      </c>
      <c r="B10035" s="5" t="s">
        <v>9403</v>
      </c>
      <c r="C10035" s="5" t="str">
        <f>IFERROR(__xludf.DUMMYFUNCTION("GOOGLETRANSLATE(A10035,""en"",""hy"")"),"Ո՞րն է Բրազիլիայի մայրաքաղաքը:")</f>
        <v>Ո՞րն է Բրազիլիայի մայրաքաղաքը:</v>
      </c>
      <c r="D10035" s="6" t="str">
        <f>IFERROR(__xludf.DUMMYFUNCTION("GOOGLETRANSLATE(B10035,""en"",""hy"")"),"Բրազիլիա")</f>
        <v>Բրազիլիա</v>
      </c>
    </row>
    <row r="10036">
      <c r="A10036" s="5" t="s">
        <v>7919</v>
      </c>
      <c r="B10036" s="5" t="s">
        <v>7556</v>
      </c>
      <c r="C10036" s="5" t="str">
        <f>IFERROR(__xludf.DUMMYFUNCTION("GOOGLETRANSLATE(A10036,""en"",""hy"")"),"Ո՞վ է հայտնաբերել հարաբերականության տեսությունը:")</f>
        <v>Ո՞վ է հայտնաբերել հարաբերականության տեսությունը:</v>
      </c>
      <c r="D10036" s="6" t="str">
        <f>IFERROR(__xludf.DUMMYFUNCTION("GOOGLETRANSLATE(B10036,""en"",""hy"")"),"Albert Einstein.")</f>
        <v>Albert Einstein.</v>
      </c>
    </row>
    <row r="10037">
      <c r="A10037" s="5" t="s">
        <v>7738</v>
      </c>
      <c r="B10037" s="5" t="s">
        <v>7739</v>
      </c>
      <c r="C10037" s="5" t="str">
        <f>IFERROR(__xludf.DUMMYFUNCTION("GOOGLETRANSLATE(A10037,""en"",""hy"")"),"Ո՞րն է կալցիումի քիմիական նշանը:")</f>
        <v>Ո՞րն է կալցիումի քիմիական նշանը:</v>
      </c>
      <c r="D10037" s="6" t="str">
        <f>IFERROR(__xludf.DUMMYFUNCTION("GOOGLETRANSLATE(B10037,""en"",""hy"")"),"Կալցիումի քիմիական նշանը Ca է:")</f>
        <v>Կալցիումի քիմիական նշանը Ca է:</v>
      </c>
    </row>
    <row r="10038">
      <c r="A10038" s="5" t="s">
        <v>7522</v>
      </c>
      <c r="B10038" s="5" t="s">
        <v>8785</v>
      </c>
      <c r="C10038" s="5" t="str">
        <f>IFERROR(__xludf.DUMMYFUNCTION("GOOGLETRANSLATE(A10038,""en"",""hy"")"),"Ո՞րն է Չինաստանի արժույթը:")</f>
        <v>Ո՞րն է Չինաստանի արժույթը:</v>
      </c>
      <c r="D10038" s="6" t="str">
        <f>IFERROR(__xludf.DUMMYFUNCTION("GOOGLETRANSLATE(B10038,""en"",""hy"")"),"Չինաստանի արժույթը չինական յուանն է (CNY):")</f>
        <v>Չինաստանի արժույթը չինական յուանն է (CNY):</v>
      </c>
    </row>
    <row r="10039">
      <c r="A10039" s="5" t="s">
        <v>10194</v>
      </c>
      <c r="B10039" s="5" t="s">
        <v>8038</v>
      </c>
      <c r="C10039" s="5" t="str">
        <f>IFERROR(__xludf.DUMMYFUNCTION("GOOGLETRANSLATE(A10039,""en"",""hy"")"),"Ո՞վ է հեղինակել «Ճակատագիր» կոչվող սիմֆոնիան:")</f>
        <v>Ո՞վ է հեղինակել «Ճակատագիր» կոչվող սիմֆոնիան:</v>
      </c>
      <c r="D10039" s="6" t="str">
        <f>IFERROR(__xludf.DUMMYFUNCTION("GOOGLETRANSLATE(B10039,""en"",""hy"")"),"Լյուդվիգ վան Բեթհովեն.")</f>
        <v>Լյուդվիգ վան Բեթհովեն.</v>
      </c>
    </row>
    <row r="10040">
      <c r="A10040" s="5" t="s">
        <v>7817</v>
      </c>
      <c r="B10040" s="5" t="s">
        <v>7818</v>
      </c>
      <c r="C10040" s="5" t="str">
        <f>IFERROR(__xludf.DUMMYFUNCTION("GOOGLETRANSLATE(A10040,""en"",""hy"")"),"Ո՞րն է Կանադայի ազգային կենդանին:")</f>
        <v>Ո՞րն է Կանադայի ազգային կենդանին:</v>
      </c>
      <c r="D10040" s="6" t="str">
        <f>IFERROR(__xludf.DUMMYFUNCTION("GOOGLETRANSLATE(B10040,""en"",""hy"")"),"Կանադայի ազգային կենդանին կեղևն է:")</f>
        <v>Կանադայի ազգային կենդանին կեղևն է:</v>
      </c>
    </row>
    <row r="10041">
      <c r="A10041" s="5" t="s">
        <v>10113</v>
      </c>
      <c r="B10041" s="5" t="s">
        <v>10165</v>
      </c>
      <c r="C10041" s="5" t="str">
        <f>IFERROR(__xludf.DUMMYFUNCTION("GOOGLETRANSLATE(A10041,""en"",""hy"")"),"Ո՞րն է աշխարհի ամենամեծ լեռնաշղթան:")</f>
        <v>Ո՞րն է աշխարհի ամենամեծ լեռնաշղթան:</v>
      </c>
      <c r="D10041" s="6" t="str">
        <f>IFERROR(__xludf.DUMMYFUNCTION("GOOGLETRANSLATE(B10041,""en"",""hy"")"),"Հիմալայներ.")</f>
        <v>Հիմալայներ.</v>
      </c>
    </row>
    <row r="10042">
      <c r="A10042" s="5" t="s">
        <v>8410</v>
      </c>
      <c r="B10042" s="5" t="s">
        <v>8881</v>
      </c>
      <c r="C10042" s="5" t="str">
        <f>IFERROR(__xludf.DUMMYFUNCTION("GOOGLETRANSLATE(A10042,""en"",""hy"")"),"Ո՞րն է բոլոր ժամանակների ամենաշատ եկամուտ ստացած ֆիլմը:")</f>
        <v>Ո՞րն է բոլոր ժամանակների ամենաշատ եկամուտ ստացած ֆիլմը:</v>
      </c>
      <c r="D10042" s="6" t="str">
        <f>IFERROR(__xludf.DUMMYFUNCTION("GOOGLETRANSLATE(B10042,""en"",""hy"")"),"Անձնանշան")</f>
        <v>Անձնանշան</v>
      </c>
    </row>
    <row r="10043">
      <c r="A10043" s="5" t="s">
        <v>10195</v>
      </c>
      <c r="B10043" s="5" t="s">
        <v>10196</v>
      </c>
      <c r="C10043" s="5" t="str">
        <f>IFERROR(__xludf.DUMMYFUNCTION("GOOGLETRANSLATE(A10043,""en"",""hy"")"),"Ո՞վ է ղեկավարել Միացյալ Նահանգներում քաղաքացիական իրավունքների շարժումը:")</f>
        <v>Ո՞վ է ղեկավարել Միացյալ Նահանգներում քաղաքացիական իրավունքների շարժումը:</v>
      </c>
      <c r="D10043" s="6" t="str">
        <f>IFERROR(__xludf.DUMMYFUNCTION("GOOGLETRANSLATE(B10043,""en"",""hy"")"),"Մարտին Լյութեր Քինգ կրտսեր.")</f>
        <v>Մարտին Լյութեր Քինգ կրտսեր.</v>
      </c>
    </row>
    <row r="10044">
      <c r="A10044" s="5" t="s">
        <v>7893</v>
      </c>
      <c r="B10044" s="5" t="s">
        <v>7894</v>
      </c>
      <c r="C10044" s="5" t="str">
        <f>IFERROR(__xludf.DUMMYFUNCTION("GOOGLETRANSLATE(A10044,""en"",""hy"")"),"Ո՞րն է կալիումի քիմիական նշանը:")</f>
        <v>Ո՞րն է կալիումի քիմիական նշանը:</v>
      </c>
      <c r="D10044" s="6" t="str">
        <f>IFERROR(__xludf.DUMMYFUNCTION("GOOGLETRANSLATE(B10044,""en"",""hy"")"),"Կալիումի քիմիական նշանը Կ.")</f>
        <v>Կալիումի քիմիական նշանը Կ.</v>
      </c>
    </row>
    <row r="10045">
      <c r="A10045" s="5" t="s">
        <v>7614</v>
      </c>
      <c r="B10045" s="5" t="s">
        <v>8035</v>
      </c>
      <c r="C10045" s="5" t="str">
        <f>IFERROR(__xludf.DUMMYFUNCTION("GOOGLETRANSLATE(A10045,""en"",""hy"")"),"Ո՞րն է Ֆրանսիայի արժույթը:")</f>
        <v>Ո՞րն է Ֆրանսիայի արժույթը:</v>
      </c>
      <c r="D10045" s="6" t="str">
        <f>IFERROR(__xludf.DUMMYFUNCTION("GOOGLETRANSLATE(B10045,""en"",""hy"")"),"եվրո.")</f>
        <v>եվրո.</v>
      </c>
    </row>
    <row r="10046">
      <c r="A10046" s="5" t="s">
        <v>10197</v>
      </c>
      <c r="B10046" s="5" t="s">
        <v>7444</v>
      </c>
      <c r="C10046" s="5" t="str">
        <f>IFERROR(__xludf.DUMMYFUNCTION("GOOGLETRANSLATE(A10046,""en"",""hy"")"),"Ո՞վ է գրել 1984 թ.")</f>
        <v>Ո՞վ է գրել 1984 թ.</v>
      </c>
      <c r="D10046" s="6" t="str">
        <f>IFERROR(__xludf.DUMMYFUNCTION("GOOGLETRANSLATE(B10046,""en"",""hy"")"),"Ջորջ Օրուել.")</f>
        <v>Ջորջ Օրուել.</v>
      </c>
    </row>
    <row r="10047">
      <c r="A10047" s="5" t="s">
        <v>7530</v>
      </c>
      <c r="B10047" s="5" t="s">
        <v>7531</v>
      </c>
      <c r="C10047" s="5" t="str">
        <f>IFERROR(__xludf.DUMMYFUNCTION("GOOGLETRANSLATE(A10047,""en"",""hy"")"),"Ո՞րն է Հնդկաստանի ազգային թռչունը:")</f>
        <v>Ո՞րն է Հնդկաստանի ազգային թռչունը:</v>
      </c>
      <c r="D10047" s="6" t="str">
        <f>IFERROR(__xludf.DUMMYFUNCTION("GOOGLETRANSLATE(B10047,""en"",""hy"")"),"Հնդկաստանի ազգային թռչունը սիրամարգն է։")</f>
        <v>Հնդկաստանի ազգային թռչունը սիրամարգն է։</v>
      </c>
    </row>
    <row r="10048">
      <c r="A10048" s="5" t="s">
        <v>9076</v>
      </c>
      <c r="B10048" s="5" t="s">
        <v>7474</v>
      </c>
      <c r="C10048" s="5" t="str">
        <f>IFERROR(__xludf.DUMMYFUNCTION("GOOGLETRANSLATE(A10048,""en"",""hy"")"),"Ո՞վ է նկարել Ադամի արարումը:")</f>
        <v>Ո՞վ է նկարել Ադամի արարումը:</v>
      </c>
      <c r="D10048" s="6" t="str">
        <f>IFERROR(__xludf.DUMMYFUNCTION("GOOGLETRANSLATE(B10048,""en"",""hy"")"),"Միքելանջելո.")</f>
        <v>Միքելանջելո.</v>
      </c>
    </row>
    <row r="10049">
      <c r="A10049" s="5" t="s">
        <v>7536</v>
      </c>
      <c r="B10049" s="5" t="s">
        <v>7537</v>
      </c>
      <c r="C10049" s="5" t="str">
        <f>IFERROR(__xludf.DUMMYFUNCTION("GOOGLETRANSLATE(A10049,""en"",""hy"")"),"Ո՞րն է Ռուսաստանի մայրաքաղաքը:")</f>
        <v>Ո՞րն է Ռուսաստանի մայրաքաղաքը:</v>
      </c>
      <c r="D10049" s="6" t="str">
        <f>IFERROR(__xludf.DUMMYFUNCTION("GOOGLETRANSLATE(B10049,""en"",""hy"")"),"Մոսկվա")</f>
        <v>Մոսկվա</v>
      </c>
    </row>
    <row r="10050">
      <c r="A10050" s="5" t="s">
        <v>10198</v>
      </c>
      <c r="B10050" s="5" t="s">
        <v>2143</v>
      </c>
      <c r="C10050" s="5" t="str">
        <f>IFERROR(__xludf.DUMMYFUNCTION("GOOGLETRANSLATE(A10050,""en"",""hy"")"),"Ո՞վ է հիմնադրել Facebook-ը.")</f>
        <v>Ո՞վ է հիմնադրել Facebook-ը.</v>
      </c>
      <c r="D10050" s="6" t="str">
        <f>IFERROR(__xludf.DUMMYFUNCTION("GOOGLETRANSLATE(B10050,""en"",""hy"")"),"Մարկ Ցուկերբերգը.")</f>
        <v>Մարկ Ցուկերբերգը.</v>
      </c>
    </row>
    <row r="10051">
      <c r="A10051" s="5" t="s">
        <v>8406</v>
      </c>
      <c r="B10051" s="5" t="s">
        <v>8407</v>
      </c>
      <c r="C10051" s="5" t="str">
        <f>IFERROR(__xludf.DUMMYFUNCTION("GOOGLETRANSLATE(A10051,""en"",""hy"")"),"Ո՞րն է աշխարհի ամենամեծ կորալային խութը:")</f>
        <v>Ո՞րն է աշխարհի ամենամեծ կորալային խութը:</v>
      </c>
      <c r="D10051" s="6" t="str">
        <f>IFERROR(__xludf.DUMMYFUNCTION("GOOGLETRANSLATE(B10051,""en"",""hy"")"),"Մեծ արգելախութ.")</f>
        <v>Մեծ արգելախութ.</v>
      </c>
    </row>
    <row r="10052">
      <c r="A10052" s="5" t="s">
        <v>7662</v>
      </c>
      <c r="B10052" s="5" t="s">
        <v>7663</v>
      </c>
      <c r="C10052" s="5" t="str">
        <f>IFERROR(__xludf.DUMMYFUNCTION("GOOGLETRANSLATE(A10052,""en"",""hy"")"),"Ո՞րն է Հնդկաստանի արժույթը:")</f>
        <v>Ո՞րն է Հնդկաստանի արժույթը:</v>
      </c>
      <c r="D10052" s="6" t="str">
        <f>IFERROR(__xludf.DUMMYFUNCTION("GOOGLETRANSLATE(B10052,""en"",""hy"")"),"Հնդկաստանի արժույթը հնդկական ռուփին է։")</f>
        <v>Հնդկաստանի արժույթը հնդկական ռուփին է։</v>
      </c>
    </row>
    <row r="10053">
      <c r="A10053" s="5" t="s">
        <v>10199</v>
      </c>
      <c r="B10053" s="5" t="s">
        <v>8038</v>
      </c>
      <c r="C10053" s="5" t="str">
        <f>IFERROR(__xludf.DUMMYFUNCTION("GOOGLETRANSLATE(A10053,""en"",""hy"")"),"Ո՞վ է ստեղծել թիվ 5 սիմֆոնիան, որը հայտնի է նաև որպես «Ճակատագիր»:")</f>
        <v>Ո՞վ է ստեղծել թիվ 5 սիմֆոնիան, որը հայտնի է նաև որպես «Ճակատագիր»:</v>
      </c>
      <c r="D10053" s="6" t="str">
        <f>IFERROR(__xludf.DUMMYFUNCTION("GOOGLETRANSLATE(B10053,""en"",""hy"")"),"Լյուդվիգ վան Բեթհովեն.")</f>
        <v>Լյուդվիգ վան Բեթհովեն.</v>
      </c>
    </row>
    <row r="10054">
      <c r="A10054" s="5" t="s">
        <v>8198</v>
      </c>
      <c r="B10054" s="5" t="s">
        <v>8199</v>
      </c>
      <c r="C10054" s="5" t="str">
        <f>IFERROR(__xludf.DUMMYFUNCTION("GOOGLETRANSLATE(A10054,""en"",""hy"")"),"Ո՞րն է Չինաստանի ազգային կենդանին:")</f>
        <v>Ո՞րն է Չինաստանի ազգային կենդանին:</v>
      </c>
      <c r="D10054" s="6" t="str">
        <f>IFERROR(__xludf.DUMMYFUNCTION("GOOGLETRANSLATE(B10054,""en"",""hy"")"),"Չինաստանի ազգային կենդանին հսկա պանդան է։")</f>
        <v>Չինաստանի ազգային կենդանին հսկա պանդան է։</v>
      </c>
    </row>
    <row r="10055">
      <c r="A10055" s="5" t="s">
        <v>7672</v>
      </c>
      <c r="B10055" s="5" t="s">
        <v>7673</v>
      </c>
      <c r="C10055" s="5" t="str">
        <f>IFERROR(__xludf.DUMMYFUNCTION("GOOGLETRANSLATE(A10055,""en"",""hy"")"),"Ո՞րն է Հարավային Ամերիկայի ամենամեծ երկիրը:")</f>
        <v>Ո՞րն է Հարավային Ամերիկայի ամենամեծ երկիրը:</v>
      </c>
      <c r="D10055" s="6" t="str">
        <f>IFERROR(__xludf.DUMMYFUNCTION("GOOGLETRANSLATE(B10055,""en"",""hy"")"),"Բրազիլիա.")</f>
        <v>Բրազիլիա.</v>
      </c>
    </row>
    <row r="10056">
      <c r="A10056" s="5" t="s">
        <v>7798</v>
      </c>
      <c r="B10056" s="5" t="s">
        <v>7799</v>
      </c>
      <c r="C10056" s="5" t="str">
        <f>IFERROR(__xludf.DUMMYFUNCTION("GOOGLETRANSLATE(A10056,""en"",""hy"")"),"Ո՞րն է ԱՄՆ-ի ամենաբարձր շենքը:")</f>
        <v>Ո՞րն է ԱՄՆ-ի ամենաբարձր շենքը:</v>
      </c>
      <c r="D10056" s="6" t="str">
        <f>IFERROR(__xludf.DUMMYFUNCTION("GOOGLETRANSLATE(B10056,""en"",""hy"")"),"Մեկ Համաշխարհային Առևտրի Կենտրոն.")</f>
        <v>Մեկ Համաշխարհային Առևտրի Կենտրոն.</v>
      </c>
    </row>
    <row r="10057">
      <c r="A10057" s="5" t="s">
        <v>7992</v>
      </c>
      <c r="B10057" s="5" t="s">
        <v>8448</v>
      </c>
      <c r="C10057" s="5" t="str">
        <f>IFERROR(__xludf.DUMMYFUNCTION("GOOGLETRANSLATE(A10057,""en"",""hy"")"),"Ո՞վ է հայտնաբերել էվոլյուցիայի տեսությունը:")</f>
        <v>Ո՞վ է հայտնաբերել էվոլյուցիայի տեսությունը:</v>
      </c>
      <c r="D10057" s="6" t="str">
        <f>IFERROR(__xludf.DUMMYFUNCTION("GOOGLETRANSLATE(B10057,""en"",""hy"")"),"Չարլզ Դարվին")</f>
        <v>Չարլզ Դարվին</v>
      </c>
    </row>
    <row r="10058">
      <c r="A10058" s="5" t="s">
        <v>8068</v>
      </c>
      <c r="B10058" s="5" t="s">
        <v>8374</v>
      </c>
      <c r="C10058" s="5" t="str">
        <f>IFERROR(__xludf.DUMMYFUNCTION("GOOGLETRANSLATE(A10058,""en"",""hy"")"),"Ո՞րն է պղնձի քիմիական նշանը:")</f>
        <v>Ո՞րն է պղնձի քիմիական նշանը:</v>
      </c>
      <c r="D10058" s="6" t="str">
        <f>IFERROR(__xludf.DUMMYFUNCTION("GOOGLETRANSLATE(B10058,""en"",""hy"")"),"Պղնձի քիմիական նշանը Cu-ն է։")</f>
        <v>Պղնձի քիմիական նշանը Cu-ն է։</v>
      </c>
    </row>
    <row r="10059">
      <c r="A10059" s="5" t="s">
        <v>7561</v>
      </c>
      <c r="B10059" s="5" t="s">
        <v>7562</v>
      </c>
      <c r="C10059" s="5" t="str">
        <f>IFERROR(__xludf.DUMMYFUNCTION("GOOGLETRANSLATE(A10059,""en"",""hy"")"),"Ո՞րն է Մեքսիկայի արժույթը:")</f>
        <v>Ո՞րն է Մեքսիկայի արժույթը:</v>
      </c>
      <c r="D10059" s="6" t="str">
        <f>IFERROR(__xludf.DUMMYFUNCTION("GOOGLETRANSLATE(B10059,""en"",""hy"")"),"Մեքսիկայի արժույթը մեքսիկական պեսոն է։")</f>
        <v>Մեքսիկայի արժույթը մեքսիկական պեսոն է։</v>
      </c>
    </row>
    <row r="10060">
      <c r="A10060" s="5" t="s">
        <v>9093</v>
      </c>
      <c r="B10060" s="5" t="s">
        <v>7832</v>
      </c>
      <c r="C10060" s="5" t="str">
        <f>IFERROR(__xludf.DUMMYFUNCTION("GOOGLETRANSLATE(A10060,""en"",""hy"")"),"Ո՞վ է նկարել Վեներայի ծնունդը:")</f>
        <v>Ո՞վ է նկարել Վեներայի ծնունդը:</v>
      </c>
      <c r="D10060" s="6" t="str">
        <f>IFERROR(__xludf.DUMMYFUNCTION("GOOGLETRANSLATE(B10060,""en"",""hy"")"),"Սանդրո Բոտիչելի")</f>
        <v>Սանդրո Բոտիչելի</v>
      </c>
    </row>
    <row r="10061">
      <c r="A10061" s="5" t="s">
        <v>8079</v>
      </c>
      <c r="B10061" s="5" t="s">
        <v>10200</v>
      </c>
      <c r="C10061" s="5" t="str">
        <f>IFERROR(__xludf.DUMMYFUNCTION("GOOGLETRANSLATE(A10061,""en"",""hy"")"),"Ո՞րն է Ավստրալիայի ազգային սպորտը:")</f>
        <v>Ո՞րն է Ավստրալիայի ազգային սպորտը:</v>
      </c>
      <c r="D10061" s="6" t="str">
        <f>IFERROR(__xludf.DUMMYFUNCTION("GOOGLETRANSLATE(B10061,""en"",""hy"")"),"Ավստրալիան ղեկավարում է ֆուտբոլը.")</f>
        <v>Ավստրալիան ղեկավարում է ֆուտբոլը.</v>
      </c>
    </row>
    <row r="10062">
      <c r="A10062" s="5" t="s">
        <v>7839</v>
      </c>
      <c r="B10062" s="5" t="s">
        <v>8989</v>
      </c>
      <c r="C10062" s="5" t="str">
        <f>IFERROR(__xludf.DUMMYFUNCTION("GOOGLETRANSLATE(A10062,""en"",""hy"")"),"Ո՞րն է Ճապոնիայի մայրաքաղաքը:")</f>
        <v>Ո՞րն է Ճապոնիայի մայրաքաղաքը:</v>
      </c>
      <c r="D10062" s="6" t="str">
        <f>IFERROR(__xludf.DUMMYFUNCTION("GOOGLETRANSLATE(B10062,""en"",""hy"")"),"Տոկիո")</f>
        <v>Տոկիո</v>
      </c>
    </row>
    <row r="10063">
      <c r="A10063" s="5" t="s">
        <v>9658</v>
      </c>
      <c r="B10063" s="5" t="s">
        <v>7661</v>
      </c>
      <c r="C10063" s="5" t="str">
        <f>IFERROR(__xludf.DUMMYFUNCTION("GOOGLETRANSLATE(A10063,""en"",""hy"")"),"Ո՞վ է Մեծ Գեթսբիի հեղինակը:")</f>
        <v>Ո՞վ է Մեծ Գեթսբիի հեղինակը:</v>
      </c>
      <c r="D10063" s="6" t="str">
        <f>IFERROR(__xludf.DUMMYFUNCTION("GOOGLETRANSLATE(B10063,""en"",""hy"")"),"F. Scott Fitzgerald.")</f>
        <v>F. Scott Fitzgerald.</v>
      </c>
    </row>
    <row r="10064">
      <c r="A10064" s="5" t="s">
        <v>10201</v>
      </c>
      <c r="B10064" s="5" t="s">
        <v>10202</v>
      </c>
      <c r="C10064" s="5" t="str">
        <f>IFERROR(__xludf.DUMMYFUNCTION("GOOGLETRANSLATE(A10064,""en"",""hy"")"),"Ո՞րն է մագնեզիումի քիմիական նշանը:")</f>
        <v>Ո՞րն է մագնեզիումի քիմիական նշանը:</v>
      </c>
      <c r="D10064" s="6" t="str">
        <f>IFERROR(__xludf.DUMMYFUNCTION("GOOGLETRANSLATE(B10064,""en"",""hy"")"),"Մագնեզիումի քիմիական նշանը Mg է:")</f>
        <v>Մագնեզիումի քիմիական նշանը Mg է:</v>
      </c>
    </row>
    <row r="10065">
      <c r="A10065" s="5" t="s">
        <v>9687</v>
      </c>
      <c r="B10065" s="5" t="s">
        <v>10203</v>
      </c>
      <c r="C10065" s="5" t="str">
        <f>IFERROR(__xludf.DUMMYFUNCTION("GOOGLETRANSLATE(A10065,""en"",""hy"")"),"Ո՞րն է Իսպանիայի արժույթը:")</f>
        <v>Ո՞րն է Իսպանիայի արժույթը:</v>
      </c>
      <c r="D10065" s="6" t="str">
        <f>IFERROR(__xludf.DUMMYFUNCTION("GOOGLETRANSLATE(B10065,""en"",""hy"")"),"Իսպանիայի արժույթը եվրոն է։")</f>
        <v>Իսպանիայի արժույթը եվրոն է։</v>
      </c>
    </row>
    <row r="10066">
      <c r="A10066" s="5" t="s">
        <v>7521</v>
      </c>
      <c r="B10066" s="5" t="s">
        <v>1016</v>
      </c>
      <c r="C10066" s="5" t="str">
        <f>IFERROR(__xludf.DUMMYFUNCTION("GOOGLETRANSLATE(A10066,""en"",""hy"")"),"Ո՞վ է գրել Համլետ պիեսը:")</f>
        <v>Ո՞վ է գրել Համլետ պիեսը:</v>
      </c>
      <c r="D10066" s="6" t="str">
        <f>IFERROR(__xludf.DUMMYFUNCTION("GOOGLETRANSLATE(B10066,""en"",""hy"")"),"Ուիլյամ Շեքսպիր.")</f>
        <v>Ուիլյամ Շեքսպիր.</v>
      </c>
    </row>
    <row r="10067">
      <c r="A10067" s="5" t="s">
        <v>9880</v>
      </c>
      <c r="B10067" s="5" t="s">
        <v>10204</v>
      </c>
      <c r="C10067" s="5" t="str">
        <f>IFERROR(__xludf.DUMMYFUNCTION("GOOGLETRANSLATE(A10067,""en"",""hy"")"),"Ո՞րն է Բրազիլիայի ազգային թռչունը:")</f>
        <v>Ո՞րն է Բրազիլիայի ազգային թռչունը:</v>
      </c>
      <c r="D10067" s="6" t="str">
        <f>IFERROR(__xludf.DUMMYFUNCTION("GOOGLETRANSLATE(B10067,""en"",""hy"")"),"Բրազիլիայի ազգային թռչունը կեռնեխն է:")</f>
        <v>Բրազիլիայի ազգային թռչունը կեռնեխն է:</v>
      </c>
    </row>
    <row r="10068">
      <c r="A10068" s="5" t="s">
        <v>7447</v>
      </c>
      <c r="B10068" s="5" t="s">
        <v>7448</v>
      </c>
      <c r="C10068" s="5" t="str">
        <f>IFERROR(__xludf.DUMMYFUNCTION("GOOGLETRANSLATE(A10068,""en"",""hy"")"),"Ո՞վ է նկարել Մոնա Լիզան:")</f>
        <v>Ո՞վ է նկարել Մոնա Լիզան:</v>
      </c>
      <c r="D10068" s="6" t="str">
        <f>IFERROR(__xludf.DUMMYFUNCTION("GOOGLETRANSLATE(B10068,""en"",""hy"")"),"Լեոնարդո դա Վինչի.")</f>
        <v>Լեոնարդո դա Վինչի.</v>
      </c>
    </row>
    <row r="10069">
      <c r="A10069" s="5" t="s">
        <v>9689</v>
      </c>
      <c r="B10069" s="5" t="s">
        <v>10161</v>
      </c>
      <c r="C10069" s="5" t="str">
        <f>IFERROR(__xludf.DUMMYFUNCTION("GOOGLETRANSLATE(A10069,""en"",""hy"")"),"Ո՞րն է Եվրոպայի ամենամեծ լիճը:")</f>
        <v>Ո՞րն է Եվրոպայի ամենամեծ լիճը:</v>
      </c>
      <c r="D10069" s="6" t="str">
        <f>IFERROR(__xludf.DUMMYFUNCTION("GOOGLETRANSLATE(B10069,""en"",""hy"")"),"Եվրոպայի ամենամեծ լիճը Լադոգա լիճն է։")</f>
        <v>Եվրոպայի ամենամեծ լիճը Լադոգա լիճն է։</v>
      </c>
    </row>
    <row r="10070">
      <c r="A10070" s="5" t="s">
        <v>8753</v>
      </c>
      <c r="B10070" s="5" t="s">
        <v>10205</v>
      </c>
      <c r="C10070" s="5" t="str">
        <f>IFERROR(__xludf.DUMMYFUNCTION("GOOGLETRANSLATE(A10070,""en"",""hy"")"),"Ո՞րն է Հյուսիսային Ամերիկայի ամենաբարձր լեռը:")</f>
        <v>Ո՞րն է Հյուսիսային Ամերիկայի ամենաբարձր լեռը:</v>
      </c>
      <c r="D10070" s="6" t="str">
        <f>IFERROR(__xludf.DUMMYFUNCTION("GOOGLETRANSLATE(B10070,""en"",""hy"")"),"Դենալի լեռ (նախկինում հայտնի է որպես Մաունթ ՄաքՔինլի)")</f>
        <v>Դենալի լեռ (նախկինում հայտնի է որպես Մաունթ ՄաքՔինլի)</v>
      </c>
    </row>
    <row r="10071">
      <c r="A10071" s="5" t="s">
        <v>7701</v>
      </c>
      <c r="B10071" s="5" t="s">
        <v>10206</v>
      </c>
      <c r="C10071" s="5" t="str">
        <f>IFERROR(__xludf.DUMMYFUNCTION("GOOGLETRANSLATE(A10071,""en"",""hy"")"),"Ո՞վ է հորինել համակարգիչը:")</f>
        <v>Ո՞վ է հորինել համակարգիչը:</v>
      </c>
      <c r="D10071" s="6" t="str">
        <f>IFERROR(__xludf.DUMMYFUNCTION("GOOGLETRANSLATE(B10071,""en"",""hy"")"),"Համակարգիչը մեկ մարդ չի հորինել. Այն մշակվել է ժամանակի ընթացքում բազմաթիվ գյուտարարների և գիտնականների ջանքերով:")</f>
        <v>Համակարգիչը մեկ մարդ չի հորինել. Այն մշակվել է ժամանակի ընթացքում բազմաթիվ գյուտարարների և գիտնականների ջանքերով:</v>
      </c>
    </row>
    <row r="10072">
      <c r="A10072" s="5" t="s">
        <v>8384</v>
      </c>
      <c r="B10072" s="5" t="s">
        <v>10207</v>
      </c>
      <c r="C10072" s="5" t="str">
        <f>IFERROR(__xludf.DUMMYFUNCTION("GOOGLETRANSLATE(A10072,""en"",""hy"")"),"Ո՞րն է կապարի քիմիական նշանը:")</f>
        <v>Ո՞րն է կապարի քիմիական նշանը:</v>
      </c>
      <c r="D10072" s="6" t="str">
        <f>IFERROR(__xludf.DUMMYFUNCTION("GOOGLETRANSLATE(B10072,""en"",""hy"")"),"Pb")</f>
        <v>Pb</v>
      </c>
    </row>
    <row r="10073">
      <c r="A10073" s="5" t="s">
        <v>7542</v>
      </c>
      <c r="B10073" s="5" t="s">
        <v>7543</v>
      </c>
      <c r="C10073" s="5" t="str">
        <f>IFERROR(__xludf.DUMMYFUNCTION("GOOGLETRANSLATE(A10073,""en"",""hy"")"),"Ո՞րն է Կանադայի արժույթը:")</f>
        <v>Ո՞րն է Կանադայի արժույթը:</v>
      </c>
      <c r="D10073" s="6" t="str">
        <f>IFERROR(__xludf.DUMMYFUNCTION("GOOGLETRANSLATE(B10073,""en"",""hy"")"),"Կանադայի արժույթը կանադական դոլարն է։")</f>
        <v>Կանադայի արժույթը կանադական դոլարն է։</v>
      </c>
    </row>
    <row r="10074">
      <c r="A10074" s="5" t="s">
        <v>10208</v>
      </c>
      <c r="B10074" s="5" t="s">
        <v>8038</v>
      </c>
      <c r="C10074" s="5" t="str">
        <f>IFERROR(__xludf.DUMMYFUNCTION("GOOGLETRANSLATE(A10074,""en"",""hy"")"),"Ո՞վ է հորինել թիվ 5 սիմֆոնիան, որը հայտնի է նաև որպես «Ճակատագիր»:")</f>
        <v>Ո՞վ է հորինել թիվ 5 սիմֆոնիան, որը հայտնի է նաև որպես «Ճակատագիր»:</v>
      </c>
      <c r="D10074" s="6" t="str">
        <f>IFERROR(__xludf.DUMMYFUNCTION("GOOGLETRANSLATE(B10074,""en"",""hy"")"),"Լյուդվիգ վան Բեթհովեն.")</f>
        <v>Լյուդվիգ վան Բեթհովեն.</v>
      </c>
    </row>
    <row r="10075">
      <c r="A10075" s="5" t="s">
        <v>8233</v>
      </c>
      <c r="B10075" s="5" t="s">
        <v>9033</v>
      </c>
      <c r="C10075" s="5" t="str">
        <f>IFERROR(__xludf.DUMMYFUNCTION("GOOGLETRANSLATE(A10075,""en"",""hy"")"),"Ո՞րն է Գերմանիայի ազգային կենդանին:")</f>
        <v>Ո՞րն է Գերմանիայի ազգային կենդանին:</v>
      </c>
      <c r="D10075" s="6" t="str">
        <f>IFERROR(__xludf.DUMMYFUNCTION("GOOGLETRANSLATE(B10075,""en"",""hy"")"),"Գերմանիայի ազգային կենդանին արծիվն է։")</f>
        <v>Գերմանիայի ազգային կենդանին արծիվն է։</v>
      </c>
    </row>
    <row r="10076">
      <c r="A10076" s="5" t="s">
        <v>8938</v>
      </c>
      <c r="B10076" s="5" t="s">
        <v>9224</v>
      </c>
      <c r="C10076" s="5" t="str">
        <f>IFERROR(__xludf.DUMMYFUNCTION("GOOGLETRANSLATE(A10076,""en"",""hy"")"),"Ո՞րն է Աֆրիկայի ամենամեծ երկիրը ցամաքային տարածքով:")</f>
        <v>Ո՞րն է Աֆրիկայի ամենամեծ երկիրը ցամաքային տարածքով:</v>
      </c>
      <c r="D10076" s="6" t="str">
        <f>IFERROR(__xludf.DUMMYFUNCTION("GOOGLETRANSLATE(B10076,""en"",""hy"")"),"Աֆրիկայի ամենամեծ երկիրը ցամաքային տարածքով Ալժիրն է։")</f>
        <v>Աֆրիկայի ամենամեծ երկիրը ցամաքային տարածքով Ալժիրն է։</v>
      </c>
    </row>
    <row r="10077">
      <c r="A10077" s="5" t="s">
        <v>10209</v>
      </c>
      <c r="B10077" s="5" t="s">
        <v>10210</v>
      </c>
      <c r="C10077" s="5" t="str">
        <f>IFERROR(__xludf.DUMMYFUNCTION("GOOGLETRANSLATE(A10077,""en"",""hy"")"),"Ո՞րն է ներկայումս աշխարհի ամենաբարձր շենքը:")</f>
        <v>Ո՞րն է ներկայումս աշխարհի ամենաբարձր շենքը:</v>
      </c>
      <c r="D10077" s="6" t="str">
        <f>IFERROR(__xludf.DUMMYFUNCTION("GOOGLETRANSLATE(B10077,""en"",""hy"")"),"Դուբայի Բուրջ Խալիֆան ներկայումս աշխարհի ամենաբարձր շենքն է:")</f>
        <v>Դուբայի Բուրջ Խալիֆան ներկայումս աշխարհի ամենաբարձր շենքն է:</v>
      </c>
    </row>
    <row r="10078">
      <c r="A10078" s="5" t="s">
        <v>8698</v>
      </c>
      <c r="B10078" s="5" t="s">
        <v>8759</v>
      </c>
      <c r="C10078" s="5" t="str">
        <f>IFERROR(__xludf.DUMMYFUNCTION("GOOGLETRANSLATE(A10078,""en"",""hy"")"),"Ո՞վ է հայտնաբերել գրավիտացիայի տեսությունը:")</f>
        <v>Ո՞վ է հայտնաբերել գրավիտացիայի տեսությունը:</v>
      </c>
      <c r="D10078" s="6" t="str">
        <f>IFERROR(__xludf.DUMMYFUNCTION("GOOGLETRANSLATE(B10078,""en"",""hy"")"),"Սըր Իսահակ Նյուտոն.")</f>
        <v>Սըր Իսահակ Նյուտոն.</v>
      </c>
    </row>
    <row r="10079">
      <c r="A10079" s="5" t="s">
        <v>10211</v>
      </c>
      <c r="B10079" s="5" t="s">
        <v>10212</v>
      </c>
      <c r="C10079" s="5" t="str">
        <f>IFERROR(__xludf.DUMMYFUNCTION("GOOGLETRANSLATE(A10079,""en"",""hy"")"),"Ո՞րն է անագի քիմիական նշանը:")</f>
        <v>Ո՞րն է անագի քիմիական նշանը:</v>
      </c>
      <c r="D10079" s="6" t="str">
        <f>IFERROR(__xludf.DUMMYFUNCTION("GOOGLETRANSLATE(B10079,""en"",""hy"")"),"Սն")</f>
        <v>Սն</v>
      </c>
    </row>
    <row r="10080">
      <c r="A10080" s="5" t="s">
        <v>7908</v>
      </c>
      <c r="B10080" s="5" t="s">
        <v>7909</v>
      </c>
      <c r="C10080" s="5" t="str">
        <f>IFERROR(__xludf.DUMMYFUNCTION("GOOGLETRANSLATE(A10080,""en"",""hy"")"),"Ո՞րն է Իտալիայի արժույթը:")</f>
        <v>Ո՞րն է Իտալիայի արժույթը:</v>
      </c>
      <c r="D10080" s="6" t="str">
        <f>IFERROR(__xludf.DUMMYFUNCTION("GOOGLETRANSLATE(B10080,""en"",""hy"")"),"Իտալիայի արժույթը եվրոն է։")</f>
        <v>Իտալիայի արժույթը եվրոն է։</v>
      </c>
    </row>
    <row r="10081">
      <c r="A10081" s="5" t="s">
        <v>7450</v>
      </c>
      <c r="B10081" s="5" t="s">
        <v>7451</v>
      </c>
      <c r="C10081" s="5" t="str">
        <f>IFERROR(__xludf.DUMMYFUNCTION("GOOGLETRANSLATE(A10081,""en"",""hy"")"),"Ո՞րն է Ավստրալիայի մայրաքաղաքը:")</f>
        <v>Ո՞րն է Ավստրալիայի մայրաքաղաքը:</v>
      </c>
      <c r="D10081" s="6" t="str">
        <f>IFERROR(__xludf.DUMMYFUNCTION("GOOGLETRANSLATE(B10081,""en"",""hy"")"),"Կանբերա.")</f>
        <v>Կանբերա.</v>
      </c>
    </row>
    <row r="10082">
      <c r="A10082" s="5" t="s">
        <v>7447</v>
      </c>
      <c r="B10082" s="5" t="s">
        <v>7828</v>
      </c>
      <c r="C10082" s="5" t="str">
        <f>IFERROR(__xludf.DUMMYFUNCTION("GOOGLETRANSLATE(A10082,""en"",""hy"")"),"Ո՞վ է նկարել Մոնա Լիզան:")</f>
        <v>Ո՞վ է նկարել Մոնա Լիզան:</v>
      </c>
      <c r="D10082" s="6" t="str">
        <f>IFERROR(__xludf.DUMMYFUNCTION("GOOGLETRANSLATE(B10082,""en"",""hy"")"),"Լեոնարդո դա Վինչի")</f>
        <v>Լեոնարդո դա Վինչի</v>
      </c>
    </row>
    <row r="10083">
      <c r="A10083" s="5" t="s">
        <v>7800</v>
      </c>
      <c r="B10083" s="5" t="s">
        <v>1299</v>
      </c>
      <c r="C10083" s="5" t="str">
        <f>IFERROR(__xludf.DUMMYFUNCTION("GOOGLETRANSLATE(A10083,""en"",""hy"")"),"Ո՞րն է ամենամեծ մայրցամաքը:")</f>
        <v>Ո՞րն է ամենամեծ մայրցամաքը:</v>
      </c>
      <c r="D10083" s="6" t="str">
        <f>IFERROR(__xludf.DUMMYFUNCTION("GOOGLETRANSLATE(B10083,""en"",""hy"")"),"Ասիա.")</f>
        <v>Ասիա.</v>
      </c>
    </row>
    <row r="10084">
      <c r="A10084" s="5" t="s">
        <v>7452</v>
      </c>
      <c r="B10084" s="5" t="s">
        <v>7453</v>
      </c>
      <c r="C10084" s="5" t="str">
        <f>IFERROR(__xludf.DUMMYFUNCTION("GOOGLETRANSLATE(A10084,""en"",""hy"")"),"Ո՞րն է ոսկու քիմիական նշանը:")</f>
        <v>Ո՞րն է ոսկու քիմիական նշանը:</v>
      </c>
      <c r="D10084" s="6" t="str">
        <f>IFERROR(__xludf.DUMMYFUNCTION("GOOGLETRANSLATE(B10084,""en"",""hy"")"),"Ոսկու քիմիական նշանը Au-ն է:")</f>
        <v>Ոսկու քիմիական նշանը Au-ն է:</v>
      </c>
    </row>
    <row r="10085">
      <c r="A10085" s="5" t="s">
        <v>7849</v>
      </c>
      <c r="B10085" s="5" t="s">
        <v>7541</v>
      </c>
      <c r="C10085" s="5" t="str">
        <f>IFERROR(__xludf.DUMMYFUNCTION("GOOGLETRANSLATE(A10085,""en"",""hy"")"),"Ո՞վ է գրել «Սպանել ծաղրող թռչունին» վեպը:")</f>
        <v>Ո՞վ է գրել «Սպանել ծաղրող թռչունին» վեպը:</v>
      </c>
      <c r="D10085" s="6" t="str">
        <f>IFERROR(__xludf.DUMMYFUNCTION("GOOGLETRANSLATE(B10085,""en"",""hy"")"),"Հարփեր Լի.")</f>
        <v>Հարփեր Լի.</v>
      </c>
    </row>
    <row r="10086">
      <c r="A10086" s="5" t="s">
        <v>9625</v>
      </c>
      <c r="B10086" s="5" t="s">
        <v>7512</v>
      </c>
      <c r="C10086" s="5" t="str">
        <f>IFERROR(__xludf.DUMMYFUNCTION("GOOGLETRANSLATE(A10086,""en"",""hy"")"),"Ո՞ր երկրում կգտնեք Գիզայի մեծ բուրգը:")</f>
        <v>Ո՞ր երկրում կգտնեք Գիզայի մեծ բուրգը:</v>
      </c>
      <c r="D10086" s="6" t="str">
        <f>IFERROR(__xludf.DUMMYFUNCTION("GOOGLETRANSLATE(B10086,""en"",""hy"")"),"Եգիպտոս.")</f>
        <v>Եգիպտոս.</v>
      </c>
    </row>
    <row r="10087">
      <c r="A10087" s="5" t="s">
        <v>7534</v>
      </c>
      <c r="B10087" s="5" t="s">
        <v>7535</v>
      </c>
      <c r="C10087" s="5" t="str">
        <f>IFERROR(__xludf.DUMMYFUNCTION("GOOGLETRANSLATE(A10087,""en"",""hy"")"),"Ո՞վ է հորինել հեռախոսը:")</f>
        <v>Ո՞վ է հորինել հեռախոսը:</v>
      </c>
      <c r="D10087" s="6" t="str">
        <f>IFERROR(__xludf.DUMMYFUNCTION("GOOGLETRANSLATE(B10087,""en"",""hy"")"),"Ալեքսանդր Գրեհեմ Բել.")</f>
        <v>Ալեքսանդր Գրեհեմ Բել.</v>
      </c>
    </row>
    <row r="10088">
      <c r="A10088" s="5" t="s">
        <v>10213</v>
      </c>
      <c r="B10088" s="5" t="s">
        <v>7646</v>
      </c>
      <c r="C10088" s="5" t="str">
        <f>IFERROR(__xludf.DUMMYFUNCTION("GOOGLETRANSLATE(A10088,""en"",""hy"")"),"Ո՞րն է ամենամեծ օվկիանոսը:")</f>
        <v>Ո՞րն է ամենամեծ օվկիանոսը:</v>
      </c>
      <c r="D10088" s="6" t="str">
        <f>IFERROR(__xludf.DUMMYFUNCTION("GOOGLETRANSLATE(B10088,""en"",""hy"")"),"Խաղաղ օվկիանոս.")</f>
        <v>Խաղաղ օվկիանոս.</v>
      </c>
    </row>
    <row r="10089">
      <c r="A10089" s="5" t="s">
        <v>7518</v>
      </c>
      <c r="B10089" s="5" t="s">
        <v>7519</v>
      </c>
      <c r="C10089" s="5" t="str">
        <f>IFERROR(__xludf.DUMMYFUNCTION("GOOGLETRANSLATE(A10089,""en"",""hy"")"),"Որքա՞ն է լույսի արագությունը վայրկյանում մետրերով:")</f>
        <v>Որքա՞ն է լույսի արագությունը վայրկյանում մետրերով:</v>
      </c>
      <c r="D10089" s="6" t="str">
        <f>IFERROR(__xludf.DUMMYFUNCTION("GOOGLETRANSLATE(B10089,""en"",""hy"")"),"Լույսի արագությունը մոտավորապես 299,792,458 մետր է վայրկյանում։")</f>
        <v>Լույսի արագությունը մոտավորապես 299,792,458 մետր է վայրկյանում։</v>
      </c>
    </row>
    <row r="10090">
      <c r="A10090" s="5" t="s">
        <v>7844</v>
      </c>
      <c r="B10090" s="5" t="s">
        <v>7635</v>
      </c>
      <c r="C10090" s="5" t="str">
        <f>IFERROR(__xludf.DUMMYFUNCTION("GOOGLETRANSLATE(A10090,""en"",""hy"")"),"Ո՞վ էր առաջին մարդը, ով ոտք դրեց լուսնի վրա:")</f>
        <v>Ո՞վ էր առաջին մարդը, ով ոտք դրեց լուսնի վրա:</v>
      </c>
      <c r="D10090" s="6" t="str">
        <f>IFERROR(__xludf.DUMMYFUNCTION("GOOGLETRANSLATE(B10090,""en"",""hy"")"),"Նիլ Արմսթրոնգ.")</f>
        <v>Նիլ Արմսթրոնգ.</v>
      </c>
    </row>
    <row r="10091">
      <c r="A10091" s="5" t="s">
        <v>7592</v>
      </c>
      <c r="B10091" s="5" t="s">
        <v>7593</v>
      </c>
      <c r="C10091" s="5" t="str">
        <f>IFERROR(__xludf.DUMMYFUNCTION("GOOGLETRANSLATE(A10091,""en"",""hy"")"),"Ո՞րն է թթվածնի քիմիական նշանը:")</f>
        <v>Ո՞րն է թթվածնի քիմիական նշանը:</v>
      </c>
      <c r="D10091" s="6" t="str">
        <f>IFERROR(__xludf.DUMMYFUNCTION("GOOGLETRANSLATE(B10091,""en"",""hy"")"),"Թթվածնի քիմիական նշանը O է:")</f>
        <v>Թթվածնի քիմիական նշանը O է:</v>
      </c>
    </row>
    <row r="10092">
      <c r="A10092" s="5" t="s">
        <v>7778</v>
      </c>
      <c r="B10092" s="5" t="s">
        <v>7474</v>
      </c>
      <c r="C10092" s="5" t="str">
        <f>IFERROR(__xludf.DUMMYFUNCTION("GOOGLETRANSLATE(A10092,""en"",""hy"")"),"Ո՞վ է նկարել Սիքստինյան կապելլայի առաստաղը:")</f>
        <v>Ո՞վ է նկարել Սիքստինյան կապելլայի առաստաղը:</v>
      </c>
      <c r="D10092" s="6" t="str">
        <f>IFERROR(__xludf.DUMMYFUNCTION("GOOGLETRANSLATE(B10092,""en"",""hy"")"),"Միքելանջելո.")</f>
        <v>Միքելանջելո.</v>
      </c>
    </row>
    <row r="10093">
      <c r="A10093" s="5" t="s">
        <v>7779</v>
      </c>
      <c r="B10093" s="5" t="s">
        <v>7446</v>
      </c>
      <c r="C10093" s="5" t="str">
        <f>IFERROR(__xludf.DUMMYFUNCTION("GOOGLETRANSLATE(A10093,""en"",""hy"")"),"Ո՞ր մոլորակն է հայտնի որպես «Կարմիր մոլորակ»:")</f>
        <v>Ո՞ր մոլորակն է հայտնի որպես «Կարմիր մոլորակ»:</v>
      </c>
      <c r="D10093" s="6" t="str">
        <f>IFERROR(__xludf.DUMMYFUNCTION("GOOGLETRANSLATE(B10093,""en"",""hy"")"),"Մարս.")</f>
        <v>Մարս.</v>
      </c>
    </row>
    <row r="10094">
      <c r="A10094" s="5" t="s">
        <v>7746</v>
      </c>
      <c r="B10094" s="5" t="s">
        <v>7747</v>
      </c>
      <c r="C10094" s="5" t="str">
        <f>IFERROR(__xludf.DUMMYFUNCTION("GOOGLETRANSLATE(A10094,""en"",""hy"")"),"Ո՞րն է Աֆրիկայի ամենամեծ երկիրը:")</f>
        <v>Ո՞րն է Աֆրիկայի ամենամեծ երկիրը:</v>
      </c>
      <c r="D10094" s="6" t="str">
        <f>IFERROR(__xludf.DUMMYFUNCTION("GOOGLETRANSLATE(B10094,""en"",""hy"")"),"Ալժիր.")</f>
        <v>Ալժիր.</v>
      </c>
    </row>
    <row r="10095">
      <c r="A10095" s="5" t="s">
        <v>7640</v>
      </c>
      <c r="B10095" s="5" t="s">
        <v>1016</v>
      </c>
      <c r="C10095" s="5" t="str">
        <f>IFERROR(__xludf.DUMMYFUNCTION("GOOGLETRANSLATE(A10095,""en"",""hy"")"),"Ո՞վ է գրել «Ռոմեո և Ջուլիետ» պիեսը:")</f>
        <v>Ո՞վ է գրել «Ռոմեո և Ջուլիետ» պիեսը:</v>
      </c>
      <c r="D10095" s="6" t="str">
        <f>IFERROR(__xludf.DUMMYFUNCTION("GOOGLETRANSLATE(B10095,""en"",""hy"")"),"Ուիլյամ Շեքսպիր.")</f>
        <v>Ուիլյամ Շեքսպիր.</v>
      </c>
    </row>
    <row r="10096">
      <c r="A10096" s="5" t="s">
        <v>7500</v>
      </c>
      <c r="B10096" s="5" t="s">
        <v>7501</v>
      </c>
      <c r="C10096" s="5" t="str">
        <f>IFERROR(__xludf.DUMMYFUNCTION("GOOGLETRANSLATE(A10096,""en"",""hy"")"),"Ո՞րն է Ֆրանսիայի մայրաքաղաքը:")</f>
        <v>Ո՞րն է Ֆրանսիայի մայրաքաղաքը:</v>
      </c>
      <c r="D10096" s="6" t="str">
        <f>IFERROR(__xludf.DUMMYFUNCTION("GOOGLETRANSLATE(B10096,""en"",""hy"")"),"Փարիզ.")</f>
        <v>Փարիզ.</v>
      </c>
    </row>
    <row r="10097">
      <c r="A10097" s="5" t="s">
        <v>7932</v>
      </c>
      <c r="B10097" s="5" t="s">
        <v>7933</v>
      </c>
      <c r="C10097" s="5" t="str">
        <f>IFERROR(__xludf.DUMMYFUNCTION("GOOGLETRANSLATE(A10097,""en"",""hy"")"),"Քանի՞ խցիկ կա մարդու սրտում:")</f>
        <v>Քանի՞ խցիկ կա մարդու սրտում:</v>
      </c>
      <c r="D10097" s="6" t="str">
        <f>IFERROR(__xludf.DUMMYFUNCTION("GOOGLETRANSLATE(B10097,""en"",""hy"")"),"Մարդու սրտում չորս պալատ կա.")</f>
        <v>Մարդու սրտում չորս պալատ կա.</v>
      </c>
    </row>
    <row r="10098">
      <c r="A10098" s="5" t="s">
        <v>10214</v>
      </c>
      <c r="B10098" s="5" t="s">
        <v>7648</v>
      </c>
      <c r="C10098" s="5" t="str">
        <f>IFERROR(__xludf.DUMMYFUNCTION("GOOGLETRANSLATE(A10098,""en"",""hy"")"),"Ո՞վ է նկարիչը կանգնած «Աստղային գիշեր» կտավի հետևում։")</f>
        <v>Ո՞վ է նկարիչը կանգնած «Աստղային գիշեր» կտավի հետևում։</v>
      </c>
      <c r="D10098" s="6" t="str">
        <f>IFERROR(__xludf.DUMMYFUNCTION("GOOGLETRANSLATE(B10098,""en"",""hy"")"),"Վինսենթ վան Գոգ.")</f>
        <v>Վինսենթ վան Գոգ.</v>
      </c>
    </row>
    <row r="10099">
      <c r="A10099" s="5" t="s">
        <v>7557</v>
      </c>
      <c r="B10099" s="5" t="s">
        <v>7558</v>
      </c>
      <c r="C10099" s="5" t="str">
        <f>IFERROR(__xludf.DUMMYFUNCTION("GOOGLETRANSLATE(A10099,""en"",""hy"")"),"Ո՞րն է երկաթի քիմիական նշանը:")</f>
        <v>Ո՞րն է երկաթի քիմիական նշանը:</v>
      </c>
      <c r="D10099" s="6" t="str">
        <f>IFERROR(__xludf.DUMMYFUNCTION("GOOGLETRANSLATE(B10099,""en"",""hy"")"),"Ֆե")</f>
        <v>Ֆե</v>
      </c>
    </row>
    <row r="10100">
      <c r="A10100" s="5" t="s">
        <v>10215</v>
      </c>
      <c r="B10100" s="5" t="s">
        <v>4283</v>
      </c>
      <c r="C10100" s="5" t="str">
        <f>IFERROR(__xludf.DUMMYFUNCTION("GOOGLETRANSLATE(A10100,""en"",""hy"")"),"Ո՞ր երկրում է գտնվում աշխարհի ամենաբարձր լեռը՝ Էվերեստը:")</f>
        <v>Ո՞ր երկրում է գտնվում աշխարհի ամենաբարձր լեռը՝ Էվերեստը:</v>
      </c>
      <c r="D10100" s="6" t="str">
        <f>IFERROR(__xludf.DUMMYFUNCTION("GOOGLETRANSLATE(B10100,""en"",""hy"")"),"Նեպալ")</f>
        <v>Նեպալ</v>
      </c>
    </row>
    <row r="10101">
      <c r="A10101" s="5" t="s">
        <v>7919</v>
      </c>
      <c r="B10101" s="5" t="s">
        <v>7556</v>
      </c>
      <c r="C10101" s="5" t="str">
        <f>IFERROR(__xludf.DUMMYFUNCTION("GOOGLETRANSLATE(A10101,""en"",""hy"")"),"Ո՞վ է հայտնաբերել հարաբերականության տեսությունը:")</f>
        <v>Ո՞վ է հայտնաբերել հարաբերականության տեսությունը:</v>
      </c>
      <c r="D10101" s="6" t="str">
        <f>IFERROR(__xludf.DUMMYFUNCTION("GOOGLETRANSLATE(B10101,""en"",""hy"")"),"Albert Einstein.")</f>
        <v>Albert Einstein.</v>
      </c>
    </row>
    <row r="10102">
      <c r="A10102" s="5" t="s">
        <v>8414</v>
      </c>
      <c r="B10102" s="5" t="s">
        <v>8163</v>
      </c>
      <c r="C10102" s="5" t="str">
        <f>IFERROR(__xludf.DUMMYFUNCTION("GOOGLETRANSLATE(A10102,""en"",""hy"")"),"Քանի՞ խաղացող կա բասկետբոլի թիմում:")</f>
        <v>Քանի՞ խաղացող կա բասկետբոլի թիմում:</v>
      </c>
      <c r="D10102" s="6" t="str">
        <f>IFERROR(__xludf.DUMMYFUNCTION("GOOGLETRANSLATE(B10102,""en"",""hy"")"),"Բասկետբոլի թիմում 5 խաղացող կա։")</f>
        <v>Բասկետբոլի թիմում 5 խաղացող կա։</v>
      </c>
    </row>
    <row r="10103">
      <c r="A10103" s="5" t="s">
        <v>7839</v>
      </c>
      <c r="B10103" s="5" t="s">
        <v>8989</v>
      </c>
      <c r="C10103" s="5" t="str">
        <f>IFERROR(__xludf.DUMMYFUNCTION("GOOGLETRANSLATE(A10103,""en"",""hy"")"),"Ո՞րն է Ճապոնիայի մայրաքաղաքը:")</f>
        <v>Ո՞րն է Ճապոնիայի մայրաքաղաքը:</v>
      </c>
      <c r="D10103" s="6" t="str">
        <f>IFERROR(__xludf.DUMMYFUNCTION("GOOGLETRANSLATE(B10103,""en"",""hy"")"),"Տոկիո")</f>
        <v>Տոկիո</v>
      </c>
    </row>
    <row r="10104">
      <c r="A10104" s="5" t="s">
        <v>7858</v>
      </c>
      <c r="B10104" s="5" t="s">
        <v>7448</v>
      </c>
      <c r="C10104" s="5" t="str">
        <f>IFERROR(__xludf.DUMMYFUNCTION("GOOGLETRANSLATE(A10104,""en"",""hy"")"),"Ո՞վ է նկարել «Մոնա Լիզան»:")</f>
        <v>Ո՞վ է նկարել «Մոնա Լիզան»:</v>
      </c>
      <c r="D10104" s="6" t="str">
        <f>IFERROR(__xludf.DUMMYFUNCTION("GOOGLETRANSLATE(B10104,""en"",""hy"")"),"Լեոնարդո դա Վինչի.")</f>
        <v>Լեոնարդո դա Վինչի.</v>
      </c>
    </row>
    <row r="10105">
      <c r="A10105" s="5" t="s">
        <v>7509</v>
      </c>
      <c r="B10105" s="5" t="s">
        <v>7684</v>
      </c>
      <c r="C10105" s="5" t="str">
        <f>IFERROR(__xludf.DUMMYFUNCTION("GOOGLETRANSLATE(A10105,""en"",""hy"")"),"Ո՞րն է արծաթի քիմիական նշանը:")</f>
        <v>Ո՞րն է արծաթի քիմիական նշանը:</v>
      </c>
      <c r="D10105" s="6" t="str">
        <f>IFERROR(__xludf.DUMMYFUNCTION("GOOGLETRANSLATE(B10105,""en"",""hy"")"),"Արծաթի քիմիական խորհրդանիշն է Ag.")</f>
        <v>Արծաթի քիմիական խորհրդանիշն է Ag.</v>
      </c>
    </row>
    <row r="10106">
      <c r="A10106" s="5" t="s">
        <v>7698</v>
      </c>
      <c r="B10106" s="5" t="s">
        <v>7630</v>
      </c>
      <c r="C10106" s="5" t="str">
        <f>IFERROR(__xludf.DUMMYFUNCTION("GOOGLETRANSLATE(A10106,""en"",""hy"")"),"Ո՞վ է գրել «Հպարտություն և նախապաշարմունք» վեպը:")</f>
        <v>Ո՞վ է գրել «Հպարտություն և նախապաշարմունք» վեպը:</v>
      </c>
      <c r="D10106" s="6" t="str">
        <f>IFERROR(__xludf.DUMMYFUNCTION("GOOGLETRANSLATE(B10106,""en"",""hy"")"),"Ջեյն Օսթին.")</f>
        <v>Ջեյն Օսթին.</v>
      </c>
    </row>
    <row r="10107">
      <c r="A10107" s="5" t="s">
        <v>9351</v>
      </c>
      <c r="B10107" s="5" t="s">
        <v>7994</v>
      </c>
      <c r="C10107" s="5" t="str">
        <f>IFERROR(__xludf.DUMMYFUNCTION("GOOGLETRANSLATE(A10107,""en"",""hy"")"),"Ո՞ր երկրում կգտնեք Ազատության արձանը:")</f>
        <v>Ո՞ր երկրում կգտնեք Ազատության արձանը:</v>
      </c>
      <c r="D10107" s="6" t="str">
        <f>IFERROR(__xludf.DUMMYFUNCTION("GOOGLETRANSLATE(B10107,""en"",""hy"")"),"Ազատության արձանը գտնվում է ԱՄՆ-ում։")</f>
        <v>Ազատության արձանը գտնվում է ԱՄՆ-ում։</v>
      </c>
    </row>
    <row r="10108">
      <c r="A10108" s="5" t="s">
        <v>8312</v>
      </c>
      <c r="B10108" s="5" t="s">
        <v>9516</v>
      </c>
      <c r="C10108" s="5" t="str">
        <f>IFERROR(__xludf.DUMMYFUNCTION("GOOGLETRANSLATE(A10108,""en"",""hy"")"),"Ո՞ւմ է վերագրվում լամպի հայտնագործությունը:")</f>
        <v>Ո՞ւմ է վերագրվում լամպի հայտնագործությունը:</v>
      </c>
      <c r="D10108" s="6" t="str">
        <f>IFERROR(__xludf.DUMMYFUNCTION("GOOGLETRANSLATE(B10108,""en"",""hy"")"),"Թոմաս Էդիսոնը վերագրվում է լույսի լամպի հայտնագործմանը:")</f>
        <v>Թոմաս Էդիսոնը վերագրվում է լույսի լամպի հայտնագործմանը:</v>
      </c>
    </row>
    <row r="10109">
      <c r="A10109" s="5" t="s">
        <v>7632</v>
      </c>
      <c r="B10109" s="5" t="s">
        <v>7633</v>
      </c>
      <c r="C10109" s="5" t="str">
        <f>IFERROR(__xludf.DUMMYFUNCTION("GOOGLETRANSLATE(A10109,""en"",""hy"")"),"Ո՞րն է մեր արեգակնային համակարգի ամենամեծ մոլորակը:")</f>
        <v>Ո՞րն է մեր արեգակնային համակարգի ամենամեծ մոլորակը:</v>
      </c>
      <c r="D10109" s="6" t="str">
        <f>IFERROR(__xludf.DUMMYFUNCTION("GOOGLETRANSLATE(B10109,""en"",""hy"")"),"Յուպիտեր.")</f>
        <v>Յուպիտեր.</v>
      </c>
    </row>
    <row r="10110">
      <c r="A10110" s="5" t="s">
        <v>10216</v>
      </c>
      <c r="B10110" s="5" t="s">
        <v>10217</v>
      </c>
      <c r="C10110" s="5" t="str">
        <f>IFERROR(__xludf.DUMMYFUNCTION("GOOGLETRANSLATE(A10110,""en"",""hy"")"),"Ո՞րն է հեռավորության չափման ստանդարտ միավորը:")</f>
        <v>Ո՞րն է հեռավորության չափման ստանդարտ միավորը:</v>
      </c>
      <c r="D10110" s="6" t="str">
        <f>IFERROR(__xludf.DUMMYFUNCTION("GOOGLETRANSLATE(B10110,""en"",""hy"")"),"Հեռավորության չափման ստանդարտ միավորը մետրն է:")</f>
        <v>Հեռավորության չափման ստանդարտ միավորը մետրն է:</v>
      </c>
    </row>
    <row r="10111">
      <c r="A10111" s="5" t="s">
        <v>10218</v>
      </c>
      <c r="B10111" s="5" t="s">
        <v>9902</v>
      </c>
      <c r="C10111" s="5" t="str">
        <f>IFERROR(__xludf.DUMMYFUNCTION("GOOGLETRANSLATE(A10111,""en"",""hy"")"),"Ո՞վ էր Կամելոտի լեգենդար արքան Արթուրյան լեգենդներում:")</f>
        <v>Ո՞վ էր Կամելոտի լեգենդար արքան Արթուրյան լեգենդներում:</v>
      </c>
      <c r="D10111" s="6" t="str">
        <f>IFERROR(__xludf.DUMMYFUNCTION("GOOGLETRANSLATE(B10111,""en"",""hy"")"),"Արթուր թագավոր.")</f>
        <v>Արթուր թագավոր.</v>
      </c>
    </row>
    <row r="10112">
      <c r="A10112" s="5" t="s">
        <v>7780</v>
      </c>
      <c r="B10112" s="5" t="s">
        <v>2951</v>
      </c>
      <c r="C10112" s="5" t="str">
        <f>IFERROR(__xludf.DUMMYFUNCTION("GOOGLETRANSLATE(A10112,""en"",""hy"")"),"Ո՞րն է Կանադայի մայրաքաղաքը:")</f>
        <v>Ո՞րն է Կանադայի մայրաքաղաքը:</v>
      </c>
      <c r="D10112" s="6" t="str">
        <f>IFERROR(__xludf.DUMMYFUNCTION("GOOGLETRANSLATE(B10112,""en"",""hy"")"),"Օտտավա.")</f>
        <v>Օտտավա.</v>
      </c>
    </row>
    <row r="10113">
      <c r="A10113" s="5" t="s">
        <v>7699</v>
      </c>
      <c r="B10113" s="5" t="s">
        <v>8615</v>
      </c>
      <c r="C10113" s="5" t="str">
        <f>IFERROR(__xludf.DUMMYFUNCTION("GOOGLETRANSLATE(A10113,""en"",""hy"")"),"Ո՞րն է ածխածնի քիմիական նշանը:")</f>
        <v>Ո՞րն է ածխածնի քիմիական նշանը:</v>
      </c>
      <c r="D10113" s="6" t="str">
        <f>IFERROR(__xludf.DUMMYFUNCTION("GOOGLETRANSLATE(B10113,""en"",""hy"")"),"Գ")</f>
        <v>Գ</v>
      </c>
    </row>
    <row r="10114">
      <c r="A10114" s="5" t="s">
        <v>10219</v>
      </c>
      <c r="B10114" s="5" t="s">
        <v>7448</v>
      </c>
      <c r="C10114" s="5" t="str">
        <f>IFERROR(__xludf.DUMMYFUNCTION("GOOGLETRANSLATE(A10114,""en"",""hy"")"),"Ո՞վ է նկարել «Վերջին ընթրիքը» որմնանկարը:")</f>
        <v>Ո՞վ է նկարել «Վերջին ընթրիքը» որմնանկարը:</v>
      </c>
      <c r="D10114" s="6" t="str">
        <f>IFERROR(__xludf.DUMMYFUNCTION("GOOGLETRANSLATE(B10114,""en"",""hy"")"),"Լեոնարդո դա Վինչի.")</f>
        <v>Լեոնարդո դա Վինչի.</v>
      </c>
    </row>
    <row r="10115">
      <c r="A10115" s="5" t="s">
        <v>7805</v>
      </c>
      <c r="B10115" s="5" t="s">
        <v>7806</v>
      </c>
      <c r="C10115" s="5" t="str">
        <f>IFERROR(__xludf.DUMMYFUNCTION("GOOGLETRANSLATE(A10115,""en"",""hy"")"),"Ո՞ր մոլորակն է հայտնի որպես «Կապույտ մոլորակ»:")</f>
        <v>Ո՞ր մոլորակն է հայտնի որպես «Կապույտ մոլորակ»:</v>
      </c>
      <c r="D10115" s="6" t="str">
        <f>IFERROR(__xludf.DUMMYFUNCTION("GOOGLETRANSLATE(B10115,""en"",""hy"")"),"Երկիր.")</f>
        <v>Երկիր.</v>
      </c>
    </row>
    <row r="10116">
      <c r="A10116" s="5" t="s">
        <v>7672</v>
      </c>
      <c r="B10116" s="5" t="s">
        <v>7673</v>
      </c>
      <c r="C10116" s="5" t="str">
        <f>IFERROR(__xludf.DUMMYFUNCTION("GOOGLETRANSLATE(A10116,""en"",""hy"")"),"Ո՞րն է Հարավային Ամերիկայի ամենամեծ երկիրը:")</f>
        <v>Ո՞րն է Հարավային Ամերիկայի ամենամեծ երկիրը:</v>
      </c>
      <c r="D10116" s="6" t="str">
        <f>IFERROR(__xludf.DUMMYFUNCTION("GOOGLETRANSLATE(B10116,""en"",""hy"")"),"Բրազիլիա.")</f>
        <v>Բրազիլիա.</v>
      </c>
    </row>
    <row r="10117">
      <c r="A10117" s="5" t="s">
        <v>7443</v>
      </c>
      <c r="B10117" s="5" t="s">
        <v>7444</v>
      </c>
      <c r="C10117" s="5" t="str">
        <f>IFERROR(__xludf.DUMMYFUNCTION("GOOGLETRANSLATE(A10117,""en"",""hy"")"),"Ո՞վ է գրել «1984» վեպը։")</f>
        <v>Ո՞վ է գրել «1984» վեպը։</v>
      </c>
      <c r="D10117" s="6" t="str">
        <f>IFERROR(__xludf.DUMMYFUNCTION("GOOGLETRANSLATE(B10117,""en"",""hy"")"),"Ջորջ Օրուել.")</f>
        <v>Ջորջ Օրուել.</v>
      </c>
    </row>
    <row r="10118">
      <c r="A10118" s="5" t="s">
        <v>9633</v>
      </c>
      <c r="B10118" s="5" t="s">
        <v>7972</v>
      </c>
      <c r="C10118" s="5" t="str">
        <f>IFERROR(__xludf.DUMMYFUNCTION("GOOGLETRANSLATE(A10118,""en"",""hy"")"),"Ո՞ր երկրում կգտնեք Էյֆելյան աշտարակը:")</f>
        <v>Ո՞ր երկրում կգտնեք Էյֆելյան աշտարակը:</v>
      </c>
      <c r="D10118" s="6" t="str">
        <f>IFERROR(__xludf.DUMMYFUNCTION("GOOGLETRANSLATE(B10118,""en"",""hy"")"),"Ֆրանսիա.")</f>
        <v>Ֆրանսիա.</v>
      </c>
    </row>
    <row r="10119">
      <c r="A10119" s="5" t="s">
        <v>7955</v>
      </c>
      <c r="B10119" s="5" t="s">
        <v>7956</v>
      </c>
      <c r="C10119" s="5" t="str">
        <f>IFERROR(__xludf.DUMMYFUNCTION("GOOGLETRANSLATE(A10119,""en"",""hy"")"),"Ո՞վ է հայտնաբերել գրավիտացիան:")</f>
        <v>Ո՞վ է հայտնաբերել գրավիտացիան:</v>
      </c>
      <c r="D10119" s="6" t="str">
        <f>IFERROR(__xludf.DUMMYFUNCTION("GOOGLETRANSLATE(B10119,""en"",""hy"")"),"Իսահակ Նյուտոն.")</f>
        <v>Իսահակ Նյուտոն.</v>
      </c>
    </row>
    <row r="10120">
      <c r="A10120" s="5" t="s">
        <v>7502</v>
      </c>
      <c r="B10120" s="5" t="s">
        <v>7503</v>
      </c>
      <c r="C10120" s="5" t="str">
        <f>IFERROR(__xludf.DUMMYFUNCTION("GOOGLETRANSLATE(A10120,""en"",""hy"")"),"Քանի՞ կողմ ունի վեցանկյունը:")</f>
        <v>Քանի՞ կողմ ունի վեցանկյունը:</v>
      </c>
      <c r="D10120" s="6" t="str">
        <f>IFERROR(__xludf.DUMMYFUNCTION("GOOGLETRANSLATE(B10120,""en"",""hy"")"),"Վեցանկյունն ունի վեց կողմ:")</f>
        <v>Վեցանկյունն ունի վեց կողմ:</v>
      </c>
    </row>
    <row r="10121">
      <c r="A10121" s="5" t="s">
        <v>7608</v>
      </c>
      <c r="B10121" s="5" t="s">
        <v>7609</v>
      </c>
      <c r="C10121" s="5" t="str">
        <f>IFERROR(__xludf.DUMMYFUNCTION("GOOGLETRANSLATE(A10121,""en"",""hy"")"),"Ո՞րն է Հնդկաստանի մայրաքաղաքը:")</f>
        <v>Ո՞րն է Հնդկաստանի մայրաքաղաքը:</v>
      </c>
      <c r="D10121" s="6" t="str">
        <f>IFERROR(__xludf.DUMMYFUNCTION("GOOGLETRANSLATE(B10121,""en"",""hy"")"),"Նյու Դելի.")</f>
        <v>Նյու Դելի.</v>
      </c>
    </row>
    <row r="10122">
      <c r="A10122" s="5" t="s">
        <v>7877</v>
      </c>
      <c r="B10122" s="5" t="s">
        <v>7474</v>
      </c>
      <c r="C10122" s="5" t="str">
        <f>IFERROR(__xludf.DUMMYFUNCTION("GOOGLETRANSLATE(A10122,""en"",""hy"")"),"Ո՞վ է նկարել «Սիքստինյան կապելլայի առաստաղը»:")</f>
        <v>Ո՞վ է նկարել «Սիքստինյան կապելլայի առաստաղը»:</v>
      </c>
      <c r="D10122" s="6" t="str">
        <f>IFERROR(__xludf.DUMMYFUNCTION("GOOGLETRANSLATE(B10122,""en"",""hy"")"),"Միքելանջելո.")</f>
        <v>Միքելանջելո.</v>
      </c>
    </row>
    <row r="10123">
      <c r="A10123" s="5" t="s">
        <v>7761</v>
      </c>
      <c r="B10123" s="5" t="s">
        <v>7762</v>
      </c>
      <c r="C10123" s="5" t="str">
        <f>IFERROR(__xludf.DUMMYFUNCTION("GOOGLETRANSLATE(A10123,""en"",""hy"")"),"Ո՞րն է ջրածնի քիմիական նշանը:")</f>
        <v>Ո՞րն է ջրածնի քիմիական նշանը:</v>
      </c>
      <c r="D10123" s="6" t="str">
        <f>IFERROR(__xludf.DUMMYFUNCTION("GOOGLETRANSLATE(B10123,""en"",""hy"")"),"Հ")</f>
        <v>Հ</v>
      </c>
    </row>
    <row r="10124">
      <c r="A10124" s="5" t="s">
        <v>7683</v>
      </c>
      <c r="B10124" s="5" t="s">
        <v>1016</v>
      </c>
      <c r="C10124" s="5" t="str">
        <f>IFERROR(__xludf.DUMMYFUNCTION("GOOGLETRANSLATE(A10124,""en"",""hy"")"),"Ո՞վ է գրել «Համլետ» պիեսը։")</f>
        <v>Ո՞վ է գրել «Համլետ» պիեսը։</v>
      </c>
      <c r="D10124" s="6" t="str">
        <f>IFERROR(__xludf.DUMMYFUNCTION("GOOGLETRANSLATE(B10124,""en"",""hy"")"),"Ուիլյամ Շեքսպիր.")</f>
        <v>Ուիլյամ Շեքսպիր.</v>
      </c>
    </row>
    <row r="10125">
      <c r="A10125" s="5" t="s">
        <v>8672</v>
      </c>
      <c r="B10125" s="5" t="s">
        <v>7921</v>
      </c>
      <c r="C10125" s="5" t="str">
        <f>IFERROR(__xludf.DUMMYFUNCTION("GOOGLETRANSLATE(A10125,""en"",""hy"")"),"Ո՞ր երկրում կգտնեք Թաջ Մահալը:")</f>
        <v>Ո՞ր երկրում կգտնեք Թաջ Մահալը:</v>
      </c>
      <c r="D10125" s="6" t="str">
        <f>IFERROR(__xludf.DUMMYFUNCTION("GOOGLETRANSLATE(B10125,""en"",""hy"")"),"Հնդկաստան.")</f>
        <v>Հնդկաստան.</v>
      </c>
    </row>
    <row r="10126">
      <c r="A10126" s="5" t="s">
        <v>9523</v>
      </c>
      <c r="B10126" s="5" t="s">
        <v>8253</v>
      </c>
      <c r="C10126" s="5" t="str">
        <f>IFERROR(__xludf.DUMMYFUNCTION("GOOGLETRANSLATE(A10126,""en"",""hy"")"),"Ո՞ւմ է վերագրվում պենիցիլինի հայտնաբերումը:")</f>
        <v>Ո՞ւմ է վերագրվում պենիցիլինի հայտնաբերումը:</v>
      </c>
      <c r="D10126" s="6" t="str">
        <f>IFERROR(__xludf.DUMMYFUNCTION("GOOGLETRANSLATE(B10126,""en"",""hy"")"),"Ալեքսանդր Ֆլեմինգ.")</f>
        <v>Ալեքսանդր Ֆլեմինգ.</v>
      </c>
    </row>
    <row r="10127">
      <c r="A10127" s="5" t="s">
        <v>10220</v>
      </c>
      <c r="B10127" s="5" t="s">
        <v>10221</v>
      </c>
      <c r="C10127" s="5" t="str">
        <f>IFERROR(__xludf.DUMMYFUNCTION("GOOGLETRANSLATE(A10127,""en"",""hy"")"),"Ո՞րն է արեգակնային համակարգի ամենամեծ լուսինը:")</f>
        <v>Ո՞րն է արեգակնային համակարգի ամենամեծ լուսինը:</v>
      </c>
      <c r="D10127" s="6" t="str">
        <f>IFERROR(__xludf.DUMMYFUNCTION("GOOGLETRANSLATE(B10127,""en"",""hy"")"),"Գանիմեդ")</f>
        <v>Գանիմեդ</v>
      </c>
    </row>
    <row r="10128">
      <c r="A10128" s="5" t="s">
        <v>10222</v>
      </c>
      <c r="B10128" s="5" t="s">
        <v>10223</v>
      </c>
      <c r="C10128" s="5" t="str">
        <f>IFERROR(__xludf.DUMMYFUNCTION("GOOGLETRANSLATE(A10128,""en"",""hy"")"),"Ո՞րն է ժամանակի չափման ստանդարտ միավորը:")</f>
        <v>Ո՞րն է ժամանակի չափման ստանդարտ միավորը:</v>
      </c>
      <c r="D10128" s="6" t="str">
        <f>IFERROR(__xludf.DUMMYFUNCTION("GOOGLETRANSLATE(B10128,""en"",""hy"")"),"Ժամանակի չափման ստանդարտ միավորը երկրորդն է:")</f>
        <v>Ժամանակի չափման ստանդարտ միավորը երկրորդն է:</v>
      </c>
    </row>
    <row r="10129">
      <c r="A10129" s="5" t="s">
        <v>10224</v>
      </c>
      <c r="B10129" s="5" t="s">
        <v>10225</v>
      </c>
      <c r="C10129" s="5" t="str">
        <f>IFERROR(__xludf.DUMMYFUNCTION("GOOGLETRANSLATE(A10129,""en"",""hy"")"),"Ո՞վ էր 17-րդ դարում Կարիբյան ծովով նավարկած հայտնի ծովահենը:")</f>
        <v>Ո՞վ էր 17-րդ դարում Կարիբյան ծովով նավարկած հայտնի ծովահենը:</v>
      </c>
      <c r="D10129" s="6" t="str">
        <f>IFERROR(__xludf.DUMMYFUNCTION("GOOGLETRANSLATE(B10129,""en"",""hy"")"),"Սեւ մորուք.")</f>
        <v>Սեւ մորուք.</v>
      </c>
    </row>
    <row r="10130">
      <c r="A10130" s="5" t="s">
        <v>7626</v>
      </c>
      <c r="B10130" s="5" t="s">
        <v>6980</v>
      </c>
      <c r="C10130" s="5" t="str">
        <f>IFERROR(__xludf.DUMMYFUNCTION("GOOGLETRANSLATE(A10130,""en"",""hy"")"),"Ո՞րն է Գերմանիայի մայրաքաղաքը:")</f>
        <v>Ո՞րն է Գերմանիայի մայրաքաղաքը:</v>
      </c>
      <c r="D10130" s="6" t="str">
        <f>IFERROR(__xludf.DUMMYFUNCTION("GOOGLETRANSLATE(B10130,""en"",""hy"")"),"Բեռլին")</f>
        <v>Բեռլին</v>
      </c>
    </row>
    <row r="10131">
      <c r="A10131" s="5" t="s">
        <v>7665</v>
      </c>
      <c r="B10131" s="5" t="s">
        <v>7781</v>
      </c>
      <c r="C10131" s="5" t="str">
        <f>IFERROR(__xludf.DUMMYFUNCTION("GOOGLETRANSLATE(A10131,""en"",""hy"")"),"Ո՞րն է նատրիումի քիմիական նշանը:")</f>
        <v>Ո՞րն է նատրիումի քիմիական նշանը:</v>
      </c>
      <c r="D10131" s="6" t="str">
        <f>IFERROR(__xludf.DUMMYFUNCTION("GOOGLETRANSLATE(B10131,""en"",""hy"")"),"Նատրիումի քիմիական նշանը Na է:")</f>
        <v>Նատրիումի քիմիական նշանը Na է:</v>
      </c>
    </row>
    <row r="10132">
      <c r="A10132" s="5" t="s">
        <v>7931</v>
      </c>
      <c r="B10132" s="5" t="s">
        <v>7648</v>
      </c>
      <c r="C10132" s="5" t="str">
        <f>IFERROR(__xludf.DUMMYFUNCTION("GOOGLETRANSLATE(A10132,""en"",""hy"")"),"Ո՞վ է նկարել «Աստղային գիշերը»:")</f>
        <v>Ո՞վ է նկարել «Աստղային գիշերը»:</v>
      </c>
      <c r="D10132" s="6" t="str">
        <f>IFERROR(__xludf.DUMMYFUNCTION("GOOGLETRANSLATE(B10132,""en"",""hy"")"),"Վինսենթ վան Գոգ.")</f>
        <v>Վինսենթ վան Գոգ.</v>
      </c>
    </row>
    <row r="10133">
      <c r="A10133" s="5" t="s">
        <v>9676</v>
      </c>
      <c r="B10133" s="5" t="s">
        <v>7496</v>
      </c>
      <c r="C10133" s="5" t="str">
        <f>IFERROR(__xludf.DUMMYFUNCTION("GOOGLETRANSLATE(A10133,""en"",""hy"")"),"Ո՞ր մոլորակն է հայտնի որպես «Օղակավոր մոլորակ»:")</f>
        <v>Ո՞ր մոլորակն է հայտնի որպես «Օղակավոր մոլորակ»:</v>
      </c>
      <c r="D10133" s="6" t="str">
        <f>IFERROR(__xludf.DUMMYFUNCTION("GOOGLETRANSLATE(B10133,""en"",""hy"")"),"Սատուրն.")</f>
        <v>Սատուրն.</v>
      </c>
    </row>
    <row r="10134">
      <c r="A10134" s="5" t="s">
        <v>8140</v>
      </c>
      <c r="B10134" s="5" t="s">
        <v>7343</v>
      </c>
      <c r="C10134" s="5" t="str">
        <f>IFERROR(__xludf.DUMMYFUNCTION("GOOGLETRANSLATE(A10134,""en"",""hy"")"),"Ո՞րն է Եվրոպայի ամենամեծ երկիրը:")</f>
        <v>Ո՞րն է Եվրոպայի ամենամեծ երկիրը:</v>
      </c>
      <c r="D10134" s="6" t="str">
        <f>IFERROR(__xludf.DUMMYFUNCTION("GOOGLETRANSLATE(B10134,""en"",""hy"")"),"Ռուսաստան.")</f>
        <v>Ռուսաստան.</v>
      </c>
    </row>
    <row r="10135">
      <c r="A10135" s="5" t="s">
        <v>10226</v>
      </c>
      <c r="B10135" s="5" t="s">
        <v>10227</v>
      </c>
      <c r="C10135" s="5" t="str">
        <f>IFERROR(__xludf.DUMMYFUNCTION("GOOGLETRANSLATE(A10135,""en"",""hy"")"),"Ո՞վ է գրել «Մեծ ակնկալիքներ» վեպը։")</f>
        <v>Ո՞վ է գրել «Մեծ ակնկալիքներ» վեպը։</v>
      </c>
      <c r="D10135" s="6" t="str">
        <f>IFERROR(__xludf.DUMMYFUNCTION("GOOGLETRANSLATE(B10135,""en"",""hy"")"),"Չարլզ Դիքենս.")</f>
        <v>Չարլզ Դիքենս.</v>
      </c>
    </row>
    <row r="10136">
      <c r="A10136" s="5" t="s">
        <v>8974</v>
      </c>
      <c r="B10136" s="5" t="s">
        <v>7512</v>
      </c>
      <c r="C10136" s="5" t="str">
        <f>IFERROR(__xludf.DUMMYFUNCTION("GOOGLETRANSLATE(A10136,""en"",""hy"")"),"Ո՞ր երկրում կգտնեք Գիզայի բուրգերը:")</f>
        <v>Ո՞ր երկրում կգտնեք Գիզայի բուրգերը:</v>
      </c>
      <c r="D10136" s="6" t="str">
        <f>IFERROR(__xludf.DUMMYFUNCTION("GOOGLETRANSLATE(B10136,""en"",""hy"")"),"Եգիպտոս.")</f>
        <v>Եգիպտոս.</v>
      </c>
    </row>
    <row r="10137">
      <c r="A10137" s="5" t="s">
        <v>8324</v>
      </c>
      <c r="B10137" s="5" t="s">
        <v>10228</v>
      </c>
      <c r="C10137" s="5" t="str">
        <f>IFERROR(__xludf.DUMMYFUNCTION("GOOGLETRANSLATE(A10137,""en"",""hy"")"),"Ո՞ւմ է վերագրվում գրավիտացիայի հայտնաբերումը:")</f>
        <v>Ո՞ւմ է վերագրվում գրավիտացիայի հայտնաբերումը:</v>
      </c>
      <c r="D10137" s="6" t="str">
        <f>IFERROR(__xludf.DUMMYFUNCTION("GOOGLETRANSLATE(B10137,""en"",""hy"")"),"Իսահակ Նյուտոնին վերագրվում է գրավիտացիայի հայտնաբերումը:")</f>
        <v>Իսահակ Նյուտոնին վերագրվում է գրավիտացիայի հայտնաբերումը:</v>
      </c>
    </row>
    <row r="10138">
      <c r="A10138" s="5" t="s">
        <v>8088</v>
      </c>
      <c r="B10138" s="5" t="s">
        <v>8228</v>
      </c>
      <c r="C10138" s="5" t="str">
        <f>IFERROR(__xludf.DUMMYFUNCTION("GOOGLETRANSLATE(A10138,""en"",""hy"")"),"Քանի՞ կողմ ունի հնգանկյունը:")</f>
        <v>Քանի՞ կողմ ունի հնգանկյունը:</v>
      </c>
      <c r="D10138" s="6" t="str">
        <f>IFERROR(__xludf.DUMMYFUNCTION("GOOGLETRANSLATE(B10138,""en"",""hy"")"),"Պենտագոնն ունի հինգ կողմ:")</f>
        <v>Պենտագոնն ունի հինգ կողմ:</v>
      </c>
    </row>
    <row r="10139">
      <c r="A10139" s="5" t="s">
        <v>7574</v>
      </c>
      <c r="B10139" s="5" t="s">
        <v>8618</v>
      </c>
      <c r="C10139" s="5" t="str">
        <f>IFERROR(__xludf.DUMMYFUNCTION("GOOGLETRANSLATE(A10139,""en"",""hy"")"),"Ո՞րն է Չինաստանի մայրաքաղաքը:")</f>
        <v>Ո՞րն է Չինաստանի մայրաքաղաքը:</v>
      </c>
      <c r="D10139" s="6" t="str">
        <f>IFERROR(__xludf.DUMMYFUNCTION("GOOGLETRANSLATE(B10139,""en"",""hy"")"),"Պեկին")</f>
        <v>Պեկին</v>
      </c>
    </row>
    <row r="10140">
      <c r="A10140" s="5" t="s">
        <v>10219</v>
      </c>
      <c r="B10140" s="5" t="s">
        <v>7448</v>
      </c>
      <c r="C10140" s="5" t="str">
        <f>IFERROR(__xludf.DUMMYFUNCTION("GOOGLETRANSLATE(A10140,""en"",""hy"")"),"Ո՞վ է նկարել «Վերջին ընթրիքը» որմնանկարը:")</f>
        <v>Ո՞վ է նկարել «Վերջին ընթրիքը» որմնանկարը:</v>
      </c>
      <c r="D10140" s="6" t="str">
        <f>IFERROR(__xludf.DUMMYFUNCTION("GOOGLETRANSLATE(B10140,""en"",""hy"")"),"Լեոնարդո դա Վինչի.")</f>
        <v>Լեոնարդո դա Վինչի.</v>
      </c>
    </row>
    <row r="10141">
      <c r="A10141" s="5" t="s">
        <v>7809</v>
      </c>
      <c r="B10141" s="5" t="s">
        <v>9807</v>
      </c>
      <c r="C10141" s="5" t="str">
        <f>IFERROR(__xludf.DUMMYFUNCTION("GOOGLETRANSLATE(A10141,""en"",""hy"")"),"Ո՞րն է հելիումի քիմիական նշանը:")</f>
        <v>Ո՞րն է հելիումի քիմիական նշանը:</v>
      </c>
      <c r="D10141" s="6" t="str">
        <f>IFERROR(__xludf.DUMMYFUNCTION("GOOGLETRANSLATE(B10141,""en"",""hy"")"),"Նա.")</f>
        <v>Նա.</v>
      </c>
    </row>
    <row r="10142">
      <c r="A10142" s="5" t="s">
        <v>7726</v>
      </c>
      <c r="B10142" s="5" t="s">
        <v>1016</v>
      </c>
      <c r="C10142" s="5" t="str">
        <f>IFERROR(__xludf.DUMMYFUNCTION("GOOGLETRANSLATE(A10142,""en"",""hy"")"),"Ո՞վ է գրել «Մակբեթ» պիեսը։")</f>
        <v>Ո՞վ է գրել «Մակբեթ» պիեսը։</v>
      </c>
      <c r="D10142" s="6" t="str">
        <f>IFERROR(__xludf.DUMMYFUNCTION("GOOGLETRANSLATE(B10142,""en"",""hy"")"),"Ուիլյամ Շեքսպիր.")</f>
        <v>Ուիլյամ Շեքսպիր.</v>
      </c>
    </row>
    <row r="10143">
      <c r="A10143" s="5" t="s">
        <v>10229</v>
      </c>
      <c r="B10143" s="5" t="s">
        <v>2790</v>
      </c>
      <c r="C10143" s="5" t="str">
        <f>IFERROR(__xludf.DUMMYFUNCTION("GOOGLETRANSLATE(A10143,""en"",""hy"")"),"Ո՞ր երկրում կգտնեք Չինական Մեծ պատը:")</f>
        <v>Ո՞ր երկրում կգտնեք Չինական Մեծ պատը:</v>
      </c>
      <c r="D10143" s="6" t="str">
        <f>IFERROR(__xludf.DUMMYFUNCTION("GOOGLETRANSLATE(B10143,""en"",""hy"")"),"Չինաստան.")</f>
        <v>Չինաստան.</v>
      </c>
    </row>
    <row r="10144">
      <c r="A10144" s="5" t="s">
        <v>10230</v>
      </c>
      <c r="B10144" s="5" t="s">
        <v>10231</v>
      </c>
      <c r="C10144" s="5" t="str">
        <f>IFERROR(__xludf.DUMMYFUNCTION("GOOGLETRANSLATE(A10144,""en"",""hy"")"),"Ո՞ւմ է վերագրվում պոլիոմիելիտի պատվաստանյութի հայտնաբերումը:")</f>
        <v>Ո՞ւմ է վերագրվում պոլիոմիելիտի պատվաստանյութի հայտնաբերումը:</v>
      </c>
      <c r="D10144" s="6" t="str">
        <f>IFERROR(__xludf.DUMMYFUNCTION("GOOGLETRANSLATE(B10144,""en"",""hy"")"),"Դոկտոր Յոնաս Սալկ")</f>
        <v>Դոկտոր Յոնաս Սալկ</v>
      </c>
    </row>
    <row r="10145">
      <c r="A10145" s="5" t="s">
        <v>10232</v>
      </c>
      <c r="B10145" s="5" t="s">
        <v>10233</v>
      </c>
      <c r="C10145" s="5" t="str">
        <f>IFERROR(__xludf.DUMMYFUNCTION("GOOGLETRANSLATE(A10145,""en"",""hy"")"),"Ո՞րն է Սատուրնի ամենամեծ արբանյակը:")</f>
        <v>Ո՞րն է Սատուրնի ամենամեծ արբանյակը:</v>
      </c>
      <c r="D10145" s="6" t="str">
        <f>IFERROR(__xludf.DUMMYFUNCTION("GOOGLETRANSLATE(B10145,""en"",""hy"")"),"Տիտան.")</f>
        <v>Տիտան.</v>
      </c>
    </row>
    <row r="10146">
      <c r="A10146" s="5" t="s">
        <v>10234</v>
      </c>
      <c r="B10146" s="5" t="s">
        <v>10235</v>
      </c>
      <c r="C10146" s="5" t="str">
        <f>IFERROR(__xludf.DUMMYFUNCTION("GOOGLETRANSLATE(A10146,""en"",""hy"")"),"Ո՞րն է ջերմաստիճանի չափման ստանդարտ միավորը:")</f>
        <v>Ո՞րն է ջերմաստիճանի չափման ստանդարտ միավորը:</v>
      </c>
      <c r="D10146" s="6" t="str">
        <f>IFERROR(__xludf.DUMMYFUNCTION("GOOGLETRANSLATE(B10146,""en"",""hy"")"),"Ջերմաստիճանի չափման ստանդարտ միավորը Ցելսիուսի աստիճանն է:")</f>
        <v>Ջերմաստիճանի չափման ստանդարտ միավորը Ցելսիուսի աստիճանն է:</v>
      </c>
    </row>
    <row r="10147">
      <c r="A10147" s="5" t="s">
        <v>10236</v>
      </c>
      <c r="B10147" s="5" t="s">
        <v>10237</v>
      </c>
      <c r="C10147" s="5" t="str">
        <f>IFERROR(__xludf.DUMMYFUNCTION("GOOGLETRANSLATE(A10147,""en"",""hy"")"),"Ո՞վ էր հույն փիլիսոփան, ով ուսուցանեց Ալեքսանդր Մակեդոնացուն:")</f>
        <v>Ո՞վ էր հույն փիլիսոփան, ով ուսուցանեց Ալեքսանդր Մակեդոնացուն:</v>
      </c>
      <c r="D10147" s="6" t="str">
        <f>IFERROR(__xludf.DUMMYFUNCTION("GOOGLETRANSLATE(B10147,""en"",""hy"")"),"Ալեքսանդր Մակեդոնացուն դասավանդող հույն փիլիսոփան Արիստոտելն էր։")</f>
        <v>Ալեքսանդր Մակեդոնացուն դասավանդող հույն փիլիսոփան Արիստոտելն էր։</v>
      </c>
    </row>
    <row r="10148">
      <c r="A10148" s="5" t="s">
        <v>7515</v>
      </c>
      <c r="B10148" s="5" t="s">
        <v>7516</v>
      </c>
      <c r="C10148" s="5" t="str">
        <f>IFERROR(__xludf.DUMMYFUNCTION("GOOGLETRANSLATE(A10148,""en"",""hy"")"),"Ո՞րն է Բրազիլիայի մայրաքաղաքը:")</f>
        <v>Ո՞րն է Բրազիլիայի մայրաքաղաքը:</v>
      </c>
      <c r="D10148" s="6" t="str">
        <f>IFERROR(__xludf.DUMMYFUNCTION("GOOGLETRANSLATE(B10148,""en"",""hy"")"),"Բրազիլիա.")</f>
        <v>Բրազիլիա.</v>
      </c>
    </row>
    <row r="10149">
      <c r="A10149" s="5" t="s">
        <v>7893</v>
      </c>
      <c r="B10149" s="5" t="s">
        <v>7894</v>
      </c>
      <c r="C10149" s="5" t="str">
        <f>IFERROR(__xludf.DUMMYFUNCTION("GOOGLETRANSLATE(A10149,""en"",""hy"")"),"Ո՞րն է կալիումի քիմիական նշանը:")</f>
        <v>Ո՞րն է կալիումի քիմիական նշանը:</v>
      </c>
      <c r="D10149" s="6" t="str">
        <f>IFERROR(__xludf.DUMMYFUNCTION("GOOGLETRANSLATE(B10149,""en"",""hy"")"),"Կալիումի քիմիական նշանը Կ.")</f>
        <v>Կալիումի քիմիական նշանը Կ.</v>
      </c>
    </row>
    <row r="10150">
      <c r="A10150" s="5" t="s">
        <v>10238</v>
      </c>
      <c r="B10150" s="5" t="s">
        <v>7710</v>
      </c>
      <c r="C10150" s="5" t="str">
        <f>IFERROR(__xludf.DUMMYFUNCTION("GOOGLETRANSLATE(A10150,""en"",""hy"")"),"Ո՞վ է նկարել «Գերնիկան»:")</f>
        <v>Ո՞վ է նկարել «Գերնիկան»:</v>
      </c>
      <c r="D10150" s="6" t="str">
        <f>IFERROR(__xludf.DUMMYFUNCTION("GOOGLETRANSLATE(B10150,""en"",""hy"")"),"Պաբլո Պիկասո.")</f>
        <v>Պաբլո Պիկասո.</v>
      </c>
    </row>
    <row r="10151">
      <c r="A10151" s="5" t="s">
        <v>7819</v>
      </c>
      <c r="B10151" s="5" t="s">
        <v>7633</v>
      </c>
      <c r="C10151" s="5" t="str">
        <f>IFERROR(__xludf.DUMMYFUNCTION("GOOGLETRANSLATE(A10151,""en"",""hy"")"),"Ո՞ր մոլորակն է հայտնի որպես «Հսկա մոլորակ»:")</f>
        <v>Ո՞ր մոլորակն է հայտնի որպես «Հսկա մոլորակ»:</v>
      </c>
      <c r="D10151" s="6" t="str">
        <f>IFERROR(__xludf.DUMMYFUNCTION("GOOGLETRANSLATE(B10151,""en"",""hy"")"),"Յուպիտեր.")</f>
        <v>Յուպիտեր.</v>
      </c>
    </row>
    <row r="10152">
      <c r="A10152" s="5" t="s">
        <v>7711</v>
      </c>
      <c r="B10152" s="5" t="s">
        <v>7712</v>
      </c>
      <c r="C10152" s="5" t="str">
        <f>IFERROR(__xludf.DUMMYFUNCTION("GOOGLETRANSLATE(A10152,""en"",""hy"")"),"Ո՞րն է Միացյալ Նահանգների ամենամեծ քաղաքը:")</f>
        <v>Ո՞րն է Միացյալ Նահանգների ամենամեծ քաղաքը:</v>
      </c>
      <c r="D10152" s="6" t="str">
        <f>IFERROR(__xludf.DUMMYFUNCTION("GOOGLETRANSLATE(B10152,""en"",""hy"")"),"Նյու Յորք քաղաք.")</f>
        <v>Նյու Յորք քաղաք.</v>
      </c>
    </row>
    <row r="10153">
      <c r="A10153" s="5" t="s">
        <v>7737</v>
      </c>
      <c r="B10153" s="5" t="s">
        <v>8273</v>
      </c>
      <c r="C10153" s="5" t="str">
        <f>IFERROR(__xludf.DUMMYFUNCTION("GOOGLETRANSLATE(A10153,""en"",""hy"")"),"Ո՞վ է գրել «Շորայի մեջ բռնողը» վեպը:")</f>
        <v>Ո՞վ է գրել «Շորայի մեջ բռնողը» վեպը:</v>
      </c>
      <c r="D10153" s="6" t="str">
        <f>IFERROR(__xludf.DUMMYFUNCTION("GOOGLETRANSLATE(B10153,""en"",""hy"")"),"Ջ.Դ.Սելինջեր")</f>
        <v>Ջ.Դ.Սելինջեր</v>
      </c>
    </row>
    <row r="10154">
      <c r="A10154" s="5" t="s">
        <v>8985</v>
      </c>
      <c r="B10154" s="5" t="s">
        <v>6334</v>
      </c>
      <c r="C10154" s="5" t="str">
        <f>IFERROR(__xludf.DUMMYFUNCTION("GOOGLETRANSLATE(A10154,""en"",""hy"")"),"Ո՞ր երկրում կգտնեք Կոլիզեյը:")</f>
        <v>Ո՞ր երկրում կգտնեք Կոլիզեյը:</v>
      </c>
      <c r="D10154" s="6" t="str">
        <f>IFERROR(__xludf.DUMMYFUNCTION("GOOGLETRANSLATE(B10154,""en"",""hy"")"),"Իտալիա.")</f>
        <v>Իտալիա.</v>
      </c>
    </row>
    <row r="10155">
      <c r="A10155" s="5" t="s">
        <v>9364</v>
      </c>
      <c r="B10155" s="5" t="s">
        <v>7607</v>
      </c>
      <c r="C10155" s="5" t="str">
        <f>IFERROR(__xludf.DUMMYFUNCTION("GOOGLETRANSLATE(A10155,""en"",""hy"")"),"Ո՞ւմ է վերագրվում էվոլյուցիայի տեսության բացահայտումը:")</f>
        <v>Ո՞ւմ է վերագրվում էվոլյուցիայի տեսության բացահայտումը:</v>
      </c>
      <c r="D10155" s="6" t="str">
        <f>IFERROR(__xludf.DUMMYFUNCTION("GOOGLETRANSLATE(B10155,""en"",""hy"")"),"Չարլզ Դարվին.")</f>
        <v>Չարլզ Դարվին.</v>
      </c>
    </row>
    <row r="10156">
      <c r="A10156" s="5" t="s">
        <v>8053</v>
      </c>
      <c r="B10156" s="5" t="s">
        <v>8054</v>
      </c>
      <c r="C10156" s="5" t="str">
        <f>IFERROR(__xludf.DUMMYFUNCTION("GOOGLETRANSLATE(A10156,""en"",""hy"")"),"Քանի՞ կողմ ունի ութանկյունը:")</f>
        <v>Քանի՞ կողմ ունի ութանկյունը:</v>
      </c>
      <c r="D10156" s="6" t="str">
        <f>IFERROR(__xludf.DUMMYFUNCTION("GOOGLETRANSLATE(B10156,""en"",""hy"")"),"Ութանկյունն ունի ութ կողմ:")</f>
        <v>Ութանկյունն ունի ութ կողմ:</v>
      </c>
    </row>
    <row r="10157">
      <c r="A10157" s="5" t="s">
        <v>7536</v>
      </c>
      <c r="B10157" s="5" t="s">
        <v>7870</v>
      </c>
      <c r="C10157" s="5" t="str">
        <f>IFERROR(__xludf.DUMMYFUNCTION("GOOGLETRANSLATE(A10157,""en"",""hy"")"),"Ո՞րն է Ռուսաստանի մայրաքաղաքը:")</f>
        <v>Ո՞րն է Ռուսաստանի մայրաքաղաքը:</v>
      </c>
      <c r="D10157" s="6" t="str">
        <f>IFERROR(__xludf.DUMMYFUNCTION("GOOGLETRANSLATE(B10157,""en"",""hy"")"),"Մոսկվա.")</f>
        <v>Մոսկվա.</v>
      </c>
    </row>
    <row r="10158">
      <c r="A10158" s="5" t="s">
        <v>10239</v>
      </c>
      <c r="B10158" s="5" t="s">
        <v>10240</v>
      </c>
      <c r="C10158" s="5" t="str">
        <f>IFERROR(__xludf.DUMMYFUNCTION("GOOGLETRANSLATE(A10158,""en"",""hy"")"),"Ո՞վ է նկարել «Երկրային հրճվանքների այգին»:")</f>
        <v>Ո՞վ է նկարել «Երկրային հրճվանքների այգին»:</v>
      </c>
      <c r="D10158" s="6" t="str">
        <f>IFERROR(__xludf.DUMMYFUNCTION("GOOGLETRANSLATE(B10158,""en"",""hy"")"),"Հիերոնիմուս Բոշ.")</f>
        <v>Հիերոնիմուս Բոշ.</v>
      </c>
    </row>
    <row r="10159">
      <c r="A10159" s="5" t="s">
        <v>7875</v>
      </c>
      <c r="B10159" s="5" t="s">
        <v>9828</v>
      </c>
      <c r="C10159" s="5" t="str">
        <f>IFERROR(__xludf.DUMMYFUNCTION("GOOGLETRANSLATE(A10159,""en"",""hy"")"),"Ո՞րն է ազոտի քիմիական նշանը:")</f>
        <v>Ո՞րն է ազոտի քիմիական նշանը:</v>
      </c>
      <c r="D10159" s="6" t="str">
        <f>IFERROR(__xludf.DUMMYFUNCTION("GOOGLETRANSLATE(B10159,""en"",""hy"")"),"Ն")</f>
        <v>Ն</v>
      </c>
    </row>
    <row r="10160">
      <c r="A10160" s="5" t="s">
        <v>7726</v>
      </c>
      <c r="B10160" s="5" t="s">
        <v>8107</v>
      </c>
      <c r="C10160" s="5" t="str">
        <f>IFERROR(__xludf.DUMMYFUNCTION("GOOGLETRANSLATE(A10160,""en"",""hy"")"),"Ո՞վ է գրել «Մակբեթ» պիեսը։")</f>
        <v>Ո՞վ է գրել «Մակբեթ» պիեսը։</v>
      </c>
      <c r="D10160" s="6" t="str">
        <f>IFERROR(__xludf.DUMMYFUNCTION("GOOGLETRANSLATE(B10160,""en"",""hy"")"),"Ուիլյամ Շեքսպիր")</f>
        <v>Ուիլյամ Շեքսպիր</v>
      </c>
    </row>
    <row r="10161">
      <c r="A10161" s="5" t="s">
        <v>10241</v>
      </c>
      <c r="B10161" s="5" t="s">
        <v>3535</v>
      </c>
      <c r="C10161" s="5" t="str">
        <f>IFERROR(__xludf.DUMMYFUNCTION("GOOGLETRANSLATE(A10161,""en"",""hy"")"),"Ո՞ր երկրում կգտնեք Սիդնեյի օպերային թատրոնը:")</f>
        <v>Ո՞ր երկրում կգտնեք Սիդնեյի օպերային թատրոնը:</v>
      </c>
      <c r="D10161" s="6" t="str">
        <f>IFERROR(__xludf.DUMMYFUNCTION("GOOGLETRANSLATE(B10161,""en"",""hy"")"),"Ավստրալիա.")</f>
        <v>Ավստրալիա.</v>
      </c>
    </row>
    <row r="10162">
      <c r="A10162" s="5" t="s">
        <v>9523</v>
      </c>
      <c r="B10162" s="5" t="s">
        <v>8253</v>
      </c>
      <c r="C10162" s="5" t="str">
        <f>IFERROR(__xludf.DUMMYFUNCTION("GOOGLETRANSLATE(A10162,""en"",""hy"")"),"Ո՞ւմ է վերագրվում պենիցիլինի հայտնաբերումը:")</f>
        <v>Ո՞ւմ է վերագրվում պենիցիլինի հայտնաբերումը:</v>
      </c>
      <c r="D10162" s="6" t="str">
        <f>IFERROR(__xludf.DUMMYFUNCTION("GOOGLETRANSLATE(B10162,""en"",""hy"")"),"Ալեքսանդր Ֆլեմինգ.")</f>
        <v>Ալեքսանդր Ֆլեմինգ.</v>
      </c>
    </row>
    <row r="10163">
      <c r="A10163" s="5" t="s">
        <v>7915</v>
      </c>
      <c r="B10163" s="5" t="s">
        <v>7916</v>
      </c>
      <c r="C10163" s="5" t="str">
        <f>IFERROR(__xludf.DUMMYFUNCTION("GOOGLETRANSLATE(A10163,""en"",""hy"")"),"Քանի՞ ոսկոր կա մարդու մարմնում:")</f>
        <v>Քանի՞ ոսկոր կա մարդու մարմնում:</v>
      </c>
      <c r="D10163" s="6" t="str">
        <f>IFERROR(__xludf.DUMMYFUNCTION("GOOGLETRANSLATE(B10163,""en"",""hy"")"),"Մարդու մարմնում կա 206 ոսկոր։")</f>
        <v>Մարդու մարմնում կա 206 ոսկոր։</v>
      </c>
    </row>
    <row r="10164">
      <c r="A10164" s="5" t="s">
        <v>10242</v>
      </c>
      <c r="B10164" s="5" t="s">
        <v>9175</v>
      </c>
      <c r="C10164" s="5" t="str">
        <f>IFERROR(__xludf.DUMMYFUNCTION("GOOGLETRANSLATE(A10164,""en"",""hy"")"),"Ո՞րն է Յուպիտերի ամենամեծ արբանյակը:")</f>
        <v>Ո՞րն է Յուպիտերի ամենամեծ արբանյակը:</v>
      </c>
      <c r="D10164" s="6" t="str">
        <f>IFERROR(__xludf.DUMMYFUNCTION("GOOGLETRANSLATE(B10164,""en"",""hy"")"),"Գանիմեդ.")</f>
        <v>Գանիմեդ.</v>
      </c>
    </row>
    <row r="10165">
      <c r="A10165" s="5" t="s">
        <v>10243</v>
      </c>
      <c r="B10165" s="5" t="s">
        <v>10244</v>
      </c>
      <c r="C10165" s="5" t="str">
        <f>IFERROR(__xludf.DUMMYFUNCTION("GOOGLETRANSLATE(A10165,""en"",""hy"")"),"Ո՞րն է զանգվածի չափման ստանդարտ միավորը:")</f>
        <v>Ո՞րն է զանգվածի չափման ստանդարտ միավորը:</v>
      </c>
      <c r="D10165" s="6" t="str">
        <f>IFERROR(__xludf.DUMMYFUNCTION("GOOGLETRANSLATE(B10165,""en"",""hy"")"),"Զանգվածի չափման ստանդարտ միավորը կիլոգրամն է:")</f>
        <v>Զանգվածի չափման ստանդարտ միավորը կիլոգրամն է:</v>
      </c>
    </row>
    <row r="10166">
      <c r="A10166" s="5" t="s">
        <v>10245</v>
      </c>
      <c r="B10166" s="5" t="s">
        <v>10246</v>
      </c>
      <c r="C10166" s="5" t="str">
        <f>IFERROR(__xludf.DUMMYFUNCTION("GOOGLETRANSLATE(A10166,""en"",""hy"")"),"Ո՞վ էր հռոմեական զորավարն ու պետական ​​գործիչը, ով վճռորոշ դեր խաղաց այն իրադարձություններում, որոնք հանգեցրին Հռոմի Հանրապետության կործանմանը:")</f>
        <v>Ո՞վ էր հռոմեական զորավարն ու պետական ​​գործիչը, ով վճռորոշ դեր խաղաց այն իրադարձություններում, որոնք հանգեցրին Հռոմի Հանրապետության կործանմանը:</v>
      </c>
      <c r="D10166" s="6" t="str">
        <f>IFERROR(__xludf.DUMMYFUNCTION("GOOGLETRANSLATE(B10166,""en"",""hy"")"),"Հուլիոս Կեսար.")</f>
        <v>Հուլիոս Կեսար.</v>
      </c>
    </row>
    <row r="10167">
      <c r="A10167" s="5" t="s">
        <v>7553</v>
      </c>
      <c r="B10167" s="5" t="s">
        <v>7554</v>
      </c>
      <c r="C10167" s="5" t="str">
        <f>IFERROR(__xludf.DUMMYFUNCTION("GOOGLETRANSLATE(A10167,""en"",""hy"")"),"Ո՞րն է Հարավային Աֆրիկայի մայրաքաղաքը:")</f>
        <v>Ո՞րն է Հարավային Աֆրիկայի մայրաքաղաքը:</v>
      </c>
      <c r="D10167" s="6" t="str">
        <f>IFERROR(__xludf.DUMMYFUNCTION("GOOGLETRANSLATE(B10167,""en"",""hy"")"),"Պրետորիա.")</f>
        <v>Պրետորիա.</v>
      </c>
    </row>
    <row r="10168">
      <c r="A10168" s="5" t="s">
        <v>7738</v>
      </c>
      <c r="B10168" s="5" t="s">
        <v>8004</v>
      </c>
      <c r="C10168" s="5" t="str">
        <f>IFERROR(__xludf.DUMMYFUNCTION("GOOGLETRANSLATE(A10168,""en"",""hy"")"),"Ո՞րն է կալցիումի քիմիական նշանը:")</f>
        <v>Ո՞րն է կալցիումի քիմիական նշանը:</v>
      </c>
      <c r="D10168" s="6" t="str">
        <f>IFERROR(__xludf.DUMMYFUNCTION("GOOGLETRANSLATE(B10168,""en"",""hy"")"),"Ք.ա")</f>
        <v>Ք.ա</v>
      </c>
    </row>
    <row r="10169">
      <c r="A10169" s="5" t="s">
        <v>9853</v>
      </c>
      <c r="B10169" s="5" t="s">
        <v>7621</v>
      </c>
      <c r="C10169" s="5" t="str">
        <f>IFERROR(__xludf.DUMMYFUNCTION("GOOGLETRANSLATE(A10169,""en"",""hy"")"),"Ո՞վ է նկարել «Վեներայի ծնունդը»:")</f>
        <v>Ո՞վ է նկարել «Վեներայի ծնունդը»:</v>
      </c>
      <c r="D10169" s="6" t="str">
        <f>IFERROR(__xludf.DUMMYFUNCTION("GOOGLETRANSLATE(B10169,""en"",""hy"")"),"Սանդրո Բոտիչելի.")</f>
        <v>Սանդրո Բոտիչելի.</v>
      </c>
    </row>
    <row r="10170">
      <c r="A10170" s="5" t="s">
        <v>8739</v>
      </c>
      <c r="B10170" s="5" t="s">
        <v>8740</v>
      </c>
      <c r="C10170" s="5" t="str">
        <f>IFERROR(__xludf.DUMMYFUNCTION("GOOGLETRANSLATE(A10170,""en"",""hy"")"),"Ո՞ր մոլորակն է հայտնի որպես «Առավոտյան աստղ»:")</f>
        <v>Ո՞ր մոլորակն է հայտնի որպես «Առավոտյան աստղ»:</v>
      </c>
      <c r="D10170" s="6" t="str">
        <f>IFERROR(__xludf.DUMMYFUNCTION("GOOGLETRANSLATE(B10170,""en"",""hy"")"),"Վեներա.")</f>
        <v>Վեներա.</v>
      </c>
    </row>
    <row r="10171">
      <c r="A10171" s="5" t="s">
        <v>8760</v>
      </c>
      <c r="B10171" s="5" t="s">
        <v>8761</v>
      </c>
      <c r="C10171" s="5" t="str">
        <f>IFERROR(__xludf.DUMMYFUNCTION("GOOGLETRANSLATE(A10171,""en"",""hy"")"),"Ո՞րն է Կանադայի ամենամեծ քաղաքը:")</f>
        <v>Ո՞րն է Կանադայի ամենամեծ քաղաքը:</v>
      </c>
      <c r="D10171" s="6" t="str">
        <f>IFERROR(__xludf.DUMMYFUNCTION("GOOGLETRANSLATE(B10171,""en"",""hy"")"),"Տորոնտո.")</f>
        <v>Տորոնտո.</v>
      </c>
    </row>
    <row r="10172">
      <c r="A10172" s="5" t="s">
        <v>8010</v>
      </c>
      <c r="B10172" s="5" t="s">
        <v>7578</v>
      </c>
      <c r="C10172" s="5" t="str">
        <f>IFERROR(__xludf.DUMMYFUNCTION("GOOGLETRANSLATE(A10172,""en"",""hy"")"),"Ո՞վ է գրել «Մոբի-Դիկ» վեպը:")</f>
        <v>Ո՞վ է գրել «Մոբի-Դիկ» վեպը:</v>
      </c>
      <c r="D10172" s="6" t="str">
        <f>IFERROR(__xludf.DUMMYFUNCTION("GOOGLETRANSLATE(B10172,""en"",""hy"")"),"Հերման Մելվիլ.")</f>
        <v>Հերման Մելվիլ.</v>
      </c>
    </row>
    <row r="10173">
      <c r="A10173" s="5" t="s">
        <v>10247</v>
      </c>
      <c r="B10173" s="5" t="s">
        <v>8201</v>
      </c>
      <c r="C10173" s="5" t="str">
        <f>IFERROR(__xludf.DUMMYFUNCTION("GOOGLETRANSLATE(A10173,""en"",""hy"")"),"Ո՞ր երկրում կգտնեք Ակրոպոլիսը:")</f>
        <v>Ո՞ր երկրում կգտնեք Ակրոպոլիսը:</v>
      </c>
      <c r="D10173" s="6" t="str">
        <f>IFERROR(__xludf.DUMMYFUNCTION("GOOGLETRANSLATE(B10173,""en"",""hy"")"),"Հունաստան.")</f>
        <v>Հունաստան.</v>
      </c>
    </row>
    <row r="10174">
      <c r="A10174" s="5" t="s">
        <v>9511</v>
      </c>
      <c r="B10174" s="5" t="s">
        <v>7556</v>
      </c>
      <c r="C10174" s="5" t="str">
        <f>IFERROR(__xludf.DUMMYFUNCTION("GOOGLETRANSLATE(A10174,""en"",""hy"")"),"Ո՞ւմ է վերագրվում հարաբերականության տեսության բացահայտումը:")</f>
        <v>Ո՞ւմ է վերագրվում հարաբերականության տեսության բացահայտումը:</v>
      </c>
      <c r="D10174" s="6" t="str">
        <f>IFERROR(__xludf.DUMMYFUNCTION("GOOGLETRANSLATE(B10174,""en"",""hy"")"),"Albert Einstein.")</f>
        <v>Albert Einstein.</v>
      </c>
    </row>
    <row r="10175">
      <c r="A10175" s="5" t="s">
        <v>9967</v>
      </c>
      <c r="B10175" s="5" t="s">
        <v>9968</v>
      </c>
      <c r="C10175" s="5" t="str">
        <f>IFERROR(__xludf.DUMMYFUNCTION("GOOGLETRANSLATE(A10175,""en"",""hy"")"),"Քանի՞ կողմ ունի տասնանկյունը:")</f>
        <v>Քանի՞ կողմ ունի տասնանկյունը:</v>
      </c>
      <c r="D10175" s="6" t="str">
        <f>IFERROR(__xludf.DUMMYFUNCTION("GOOGLETRANSLATE(B10175,""en"",""hy"")"),"Տասնանկյունն ունի 10 կողմ:")</f>
        <v>Տասնանկյունն ունի 10 կողմ:</v>
      </c>
    </row>
    <row r="10176">
      <c r="A10176" s="5" t="s">
        <v>7589</v>
      </c>
      <c r="B10176" s="5" t="s">
        <v>7545</v>
      </c>
      <c r="C10176" s="5" t="str">
        <f>IFERROR(__xludf.DUMMYFUNCTION("GOOGLETRANSLATE(A10176,""en"",""hy"")"),"Ո՞րն է Իտալիայի մայրաքաղաքը:")</f>
        <v>Ո՞րն է Իտալիայի մայրաքաղաքը:</v>
      </c>
      <c r="D10176" s="6" t="str">
        <f>IFERROR(__xludf.DUMMYFUNCTION("GOOGLETRANSLATE(B10176,""en"",""hy"")"),"Հռոմ.")</f>
        <v>Հռոմ.</v>
      </c>
    </row>
    <row r="10177">
      <c r="A10177" s="5" t="s">
        <v>7473</v>
      </c>
      <c r="B10177" s="5" t="s">
        <v>7474</v>
      </c>
      <c r="C10177" s="5" t="str">
        <f>IFERROR(__xludf.DUMMYFUNCTION("GOOGLETRANSLATE(A10177,""en"",""hy"")"),"Ո՞վ է նկարել Սիքստինյան կապելլայի առաստաղը:")</f>
        <v>Ո՞վ է նկարել Սիքստինյան կապելլայի առաստաղը:</v>
      </c>
      <c r="D10177" s="6" t="str">
        <f>IFERROR(__xludf.DUMMYFUNCTION("GOOGLETRANSLATE(B10177,""en"",""hy"")"),"Միքելանջելո.")</f>
        <v>Միքելանջելո.</v>
      </c>
    </row>
    <row r="10178">
      <c r="A10178" s="5" t="s">
        <v>10201</v>
      </c>
      <c r="B10178" s="5" t="s">
        <v>10202</v>
      </c>
      <c r="C10178" s="5" t="str">
        <f>IFERROR(__xludf.DUMMYFUNCTION("GOOGLETRANSLATE(A10178,""en"",""hy"")"),"Ո՞րն է մագնեզիումի քիմիական նշանը:")</f>
        <v>Ո՞րն է մագնեզիումի քիմիական նշանը:</v>
      </c>
      <c r="D10178" s="6" t="str">
        <f>IFERROR(__xludf.DUMMYFUNCTION("GOOGLETRANSLATE(B10178,""en"",""hy"")"),"Մագնեզիումի քիմիական նշանը Mg է:")</f>
        <v>Մագնեզիումի քիմիական նշանը Mg է:</v>
      </c>
    </row>
    <row r="10179">
      <c r="A10179" s="5" t="s">
        <v>9946</v>
      </c>
      <c r="B10179" s="5" t="s">
        <v>1016</v>
      </c>
      <c r="C10179" s="5" t="str">
        <f>IFERROR(__xludf.DUMMYFUNCTION("GOOGLETRANSLATE(A10179,""en"",""hy"")"),"Ո՞վ է գրել «Վենետիկի վաճառականը» պիեսը:")</f>
        <v>Ո՞վ է գրել «Վենետիկի վաճառականը» պիեսը:</v>
      </c>
      <c r="D10179" s="6" t="str">
        <f>IFERROR(__xludf.DUMMYFUNCTION("GOOGLETRANSLATE(B10179,""en"",""hy"")"),"Ուիլյամ Շեքսպիր.")</f>
        <v>Ուիլյամ Շեքսպիր.</v>
      </c>
    </row>
    <row r="10180">
      <c r="A10180" s="5" t="s">
        <v>10248</v>
      </c>
      <c r="B10180" s="5" t="s">
        <v>10249</v>
      </c>
      <c r="C10180" s="5" t="str">
        <f>IFERROR(__xludf.DUMMYFUNCTION("GOOGLETRANSLATE(A10180,""en"",""hy"")"),"Ո՞րն է Նեպտունի ամենամեծ արբանյակը:")</f>
        <v>Ո՞րն է Նեպտունի ամենամեծ արբանյակը:</v>
      </c>
      <c r="D10180" s="6" t="str">
        <f>IFERROR(__xludf.DUMMYFUNCTION("GOOGLETRANSLATE(B10180,""en"",""hy"")"),"Նեպտունի ամենամեծ արբանյակը Տրիտոնն է:")</f>
        <v>Նեպտունի ամենամեծ արբանյակը Տրիտոնն է:</v>
      </c>
    </row>
    <row r="10181">
      <c r="A10181" s="5" t="s">
        <v>7500</v>
      </c>
      <c r="B10181" s="5" t="s">
        <v>8170</v>
      </c>
      <c r="C10181" s="5" t="str">
        <f>IFERROR(__xludf.DUMMYFUNCTION("GOOGLETRANSLATE(A10181,""en"",""hy"")"),"Ո՞րն է Ֆրանսիայի մայրաքաղաքը:")</f>
        <v>Ո՞րն է Ֆրանսիայի մայրաքաղաքը:</v>
      </c>
      <c r="D10181" s="6" t="str">
        <f>IFERROR(__xludf.DUMMYFUNCTION("GOOGLETRANSLATE(B10181,""en"",""hy"")"),"Փարիզ")</f>
        <v>Փարիզ</v>
      </c>
    </row>
    <row r="10182">
      <c r="A10182" s="5" t="s">
        <v>7698</v>
      </c>
      <c r="B10182" s="5" t="s">
        <v>7630</v>
      </c>
      <c r="C10182" s="5" t="str">
        <f>IFERROR(__xludf.DUMMYFUNCTION("GOOGLETRANSLATE(A10182,""en"",""hy"")"),"Ո՞վ է գրել «Հպարտություն և նախապաշարմունք» վեպը:")</f>
        <v>Ո՞վ է գրել «Հպարտություն և նախապաշարմունք» վեպը:</v>
      </c>
      <c r="D10182" s="6" t="str">
        <f>IFERROR(__xludf.DUMMYFUNCTION("GOOGLETRANSLATE(B10182,""en"",""hy"")"),"Ջեյն Օսթին.")</f>
        <v>Ջեյն Օսթին.</v>
      </c>
    </row>
    <row r="10183">
      <c r="A10183" s="5" t="s">
        <v>7452</v>
      </c>
      <c r="B10183" s="5" t="s">
        <v>7453</v>
      </c>
      <c r="C10183" s="5" t="str">
        <f>IFERROR(__xludf.DUMMYFUNCTION("GOOGLETRANSLATE(A10183,""en"",""hy"")"),"Ո՞րն է ոսկու քիմիական նշանը:")</f>
        <v>Ո՞րն է ոսկու քիմիական նշանը:</v>
      </c>
      <c r="D10183" s="6" t="str">
        <f>IFERROR(__xludf.DUMMYFUNCTION("GOOGLETRANSLATE(B10183,""en"",""hy"")"),"Ոսկու քիմիական նշանը Au-ն է:")</f>
        <v>Ոսկու քիմիական նշանը Au-ն է:</v>
      </c>
    </row>
    <row r="10184">
      <c r="A10184" s="5" t="s">
        <v>8011</v>
      </c>
      <c r="B10184" s="5" t="s">
        <v>7470</v>
      </c>
      <c r="C10184" s="5" t="str">
        <f>IFERROR(__xludf.DUMMYFUNCTION("GOOGLETRANSLATE(A10184,""en"",""hy"")"),"Ո՞ր թվականին ավարտվեց Երկրորդ համաշխարհային պատերազմը:")</f>
        <v>Ո՞ր թվականին ավարտվեց Երկրորդ համաշխարհային պատերազմը:</v>
      </c>
      <c r="D10184" s="6" t="str">
        <f>IFERROR(__xludf.DUMMYFUNCTION("GOOGLETRANSLATE(B10184,""en"",""hy"")"),"Երկրորդ համաշխարհային պատերազմն ավարտվեց 1945 թվականին։")</f>
        <v>Երկրորդ համաշխարհային պատերազմն ավարտվեց 1945 թվականին։</v>
      </c>
    </row>
    <row r="10185">
      <c r="A10185" s="5" t="s">
        <v>10250</v>
      </c>
      <c r="B10185" s="5" t="s">
        <v>7633</v>
      </c>
      <c r="C10185" s="5" t="str">
        <f>IFERROR(__xludf.DUMMYFUNCTION("GOOGLETRANSLATE(A10185,""en"",""hy"")"),"Ո՞րն է արեգակնային համակարգի ամենամեծ մոլորակը:")</f>
        <v>Ո՞րն է արեգակնային համակարգի ամենամեծ մոլորակը:</v>
      </c>
      <c r="D10185" s="6" t="str">
        <f>IFERROR(__xludf.DUMMYFUNCTION("GOOGLETRANSLATE(B10185,""en"",""hy"")"),"Յուպիտեր.")</f>
        <v>Յուպիտեր.</v>
      </c>
    </row>
    <row r="10186">
      <c r="A10186" s="5" t="s">
        <v>10251</v>
      </c>
      <c r="B10186" s="5" t="s">
        <v>7914</v>
      </c>
      <c r="C10186" s="5" t="str">
        <f>IFERROR(__xludf.DUMMYFUNCTION("GOOGLETRANSLATE(A10186,""en"",""hy"")"),"Ո՞րն է այն գործընթացը, որով բույսերը արևի լույսը վերածում են սննդի:")</f>
        <v>Ո՞րն է այն գործընթացը, որով բույսերը արևի լույսը վերածում են սննդի:</v>
      </c>
      <c r="D10186" s="6" t="str">
        <f>IFERROR(__xludf.DUMMYFUNCTION("GOOGLETRANSLATE(B10186,""en"",""hy"")"),"Ֆոտոսինթեզ.")</f>
        <v>Ֆոտոսինթեզ.</v>
      </c>
    </row>
    <row r="10187">
      <c r="A10187" s="5" t="s">
        <v>7447</v>
      </c>
      <c r="B10187" s="5" t="s">
        <v>7448</v>
      </c>
      <c r="C10187" s="5" t="str">
        <f>IFERROR(__xludf.DUMMYFUNCTION("GOOGLETRANSLATE(A10187,""en"",""hy"")"),"Ո՞վ է նկարել Մոնա Լիզան:")</f>
        <v>Ո՞վ է նկարել Մոնա Լիզան:</v>
      </c>
      <c r="D10187" s="6" t="str">
        <f>IFERROR(__xludf.DUMMYFUNCTION("GOOGLETRANSLATE(B10187,""en"",""hy"")"),"Լեոնարդո դա Վինչի.")</f>
        <v>Լեոնարդո դա Վինչի.</v>
      </c>
    </row>
    <row r="10188">
      <c r="A10188" s="5" t="s">
        <v>7927</v>
      </c>
      <c r="B10188" s="5" t="s">
        <v>8302</v>
      </c>
      <c r="C10188" s="5" t="str">
        <f>IFERROR(__xludf.DUMMYFUNCTION("GOOGLETRANSLATE(A10188,""en"",""hy"")"),"Քանի՞ խաղացող կա բասկետբոլի թիմում:")</f>
        <v>Քանի՞ խաղացող կա բասկետբոլի թիմում:</v>
      </c>
      <c r="D10188" s="6" t="str">
        <f>IFERROR(__xludf.DUMMYFUNCTION("GOOGLETRANSLATE(B10188,""en"",""hy"")"),"Բասկետբոլի թիմում սովորաբար 5 խաղացող կա:")</f>
        <v>Բասկետբոլի թիմում սովորաբար 5 խաղացող կա:</v>
      </c>
    </row>
    <row r="10189">
      <c r="A10189" s="5" t="s">
        <v>7467</v>
      </c>
      <c r="B10189" s="5" t="s">
        <v>7766</v>
      </c>
      <c r="C10189" s="5" t="str">
        <f>IFERROR(__xludf.DUMMYFUNCTION("GOOGLETRANSLATE(A10189,""en"",""hy"")"),"Ո՞րն է Ճապոնիայի արժույթը:")</f>
        <v>Ո՞րն է Ճապոնիայի արժույթը:</v>
      </c>
      <c r="D10189" s="6" t="str">
        <f>IFERROR(__xludf.DUMMYFUNCTION("GOOGLETRANSLATE(B10189,""en"",""hy"")"),"Ճապոնիայի արժույթը ճապոնական իենն է։")</f>
        <v>Ճապոնիայի արժույթը ճապոնական իենն է։</v>
      </c>
    </row>
    <row r="10190">
      <c r="A10190" s="5" t="s">
        <v>10252</v>
      </c>
      <c r="B10190" s="5" t="s">
        <v>10253</v>
      </c>
      <c r="C10190" s="5" t="str">
        <f>IFERROR(__xludf.DUMMYFUNCTION("GOOGLETRANSLATE(A10190,""en"",""hy"")"),"Ո՞ր օրգանն է զտում արյունից տոքսինները:")</f>
        <v>Ո՞ր օրգանն է զտում արյունից տոքսինները:</v>
      </c>
      <c r="D10190" s="6" t="str">
        <f>IFERROR(__xludf.DUMMYFUNCTION("GOOGLETRANSLATE(B10190,""en"",""hy"")"),"Լյարդը.")</f>
        <v>Լյարդը.</v>
      </c>
    </row>
    <row r="10191">
      <c r="A10191" s="5" t="s">
        <v>7504</v>
      </c>
      <c r="B10191" s="5" t="s">
        <v>7505</v>
      </c>
      <c r="C10191" s="5" t="str">
        <f>IFERROR(__xludf.DUMMYFUNCTION("GOOGLETRANSLATE(A10191,""en"",""hy"")"),"Ո՞վ է Միացյալ Նահանգների ներկայիս նախագահը:")</f>
        <v>Ո՞վ է Միացյալ Նահանգների ներկայիս նախագահը:</v>
      </c>
      <c r="D10191" s="6" t="str">
        <f>IFERROR(__xludf.DUMMYFUNCTION("GOOGLETRANSLATE(B10191,""en"",""hy"")"),"Ջո Բայդեն.")</f>
        <v>Ջո Բայդեն.</v>
      </c>
    </row>
    <row r="10192">
      <c r="A10192" s="5" t="s">
        <v>10254</v>
      </c>
      <c r="B10192" s="5" t="s">
        <v>6334</v>
      </c>
      <c r="C10192" s="5" t="str">
        <f>IFERROR(__xludf.DUMMYFUNCTION("GOOGLETRANSLATE(A10192,""en"",""hy"")"),"Ո՞ր երկիրն է հայտնի պիցցա հորինողով.")</f>
        <v>Ո՞ր երկիրն է հայտնի պիցցա հորինողով.</v>
      </c>
      <c r="D10192" s="6" t="str">
        <f>IFERROR(__xludf.DUMMYFUNCTION("GOOGLETRANSLATE(B10192,""en"",""hy"")"),"Իտալիա.")</f>
        <v>Իտալիա.</v>
      </c>
    </row>
    <row r="10193">
      <c r="A10193" s="5" t="s">
        <v>7463</v>
      </c>
      <c r="B10193" s="5" t="s">
        <v>7464</v>
      </c>
      <c r="C10193" s="5" t="str">
        <f>IFERROR(__xludf.DUMMYFUNCTION("GOOGLETRANSLATE(A10193,""en"",""hy"")"),"Ո՞րն է աշխարհի ամենաբարձր լեռը:")</f>
        <v>Ո՞րն է աշխարհի ամենաբարձր լեռը:</v>
      </c>
      <c r="D10193" s="6" t="str">
        <f>IFERROR(__xludf.DUMMYFUNCTION("GOOGLETRANSLATE(B10193,""en"",""hy"")"),"Էվերեստ լեռ.")</f>
        <v>Էվերեստ լեռ.</v>
      </c>
    </row>
    <row r="10194">
      <c r="A10194" s="5" t="s">
        <v>7575</v>
      </c>
      <c r="B10194" s="5" t="s">
        <v>7576</v>
      </c>
      <c r="C10194" s="5" t="str">
        <f>IFERROR(__xludf.DUMMYFUNCTION("GOOGLETRANSLATE(A10194,""en"",""hy"")"),"Քանի՞ գույն կա ծիածանի մեջ:")</f>
        <v>Քանի՞ գույն կա ծիածանի մեջ:</v>
      </c>
      <c r="D10194" s="6" t="str">
        <f>IFERROR(__xludf.DUMMYFUNCTION("GOOGLETRANSLATE(B10194,""en"",""hy"")"),"Ծիածանի մեջ յոթ գույն կա:")</f>
        <v>Ծիածանի մեջ յոթ գույն կա:</v>
      </c>
    </row>
    <row r="10195">
      <c r="A10195" s="5" t="s">
        <v>10255</v>
      </c>
      <c r="B10195" s="5" t="s">
        <v>10256</v>
      </c>
      <c r="C10195" s="5" t="str">
        <f>IFERROR(__xludf.DUMMYFUNCTION("GOOGLETRANSLATE(A10195,""en"",""hy"")"),"Մարկ Տվենի ո՞ր վեպում են Թոմ Սոյերը և Հեքլբերի Ֆիննը:")</f>
        <v>Մարկ Տվենի ո՞ր վեպում են Թոմ Սոյերը և Հեքլբերի Ֆիննը:</v>
      </c>
      <c r="D10195" s="6" t="str">
        <f>IFERROR(__xludf.DUMMYFUNCTION("GOOGLETRANSLATE(B10195,""en"",""hy"")"),"Թոմ Սոյերի արկածները.")</f>
        <v>Թոմ Սոյերի արկածները.</v>
      </c>
    </row>
    <row r="10196">
      <c r="A10196" s="5" t="s">
        <v>7557</v>
      </c>
      <c r="B10196" s="5" t="s">
        <v>7558</v>
      </c>
      <c r="C10196" s="5" t="str">
        <f>IFERROR(__xludf.DUMMYFUNCTION("GOOGLETRANSLATE(A10196,""en"",""hy"")"),"Ո՞րն է երկաթի քիմիական նշանը:")</f>
        <v>Ո՞րն է երկաթի քիմիական նշանը:</v>
      </c>
      <c r="D10196" s="6" t="str">
        <f>IFERROR(__xludf.DUMMYFUNCTION("GOOGLETRANSLATE(B10196,""en"",""hy"")"),"Ֆե")</f>
        <v>Ֆե</v>
      </c>
    </row>
    <row r="10197">
      <c r="A10197" s="5" t="s">
        <v>9458</v>
      </c>
      <c r="B10197" s="5" t="s">
        <v>7501</v>
      </c>
      <c r="C10197" s="5" t="str">
        <f>IFERROR(__xludf.DUMMYFUNCTION("GOOGLETRANSLATE(A10197,""en"",""hy"")"),"Ո՞ր քաղաքում կգտնեք Էյֆելյան աշտարակը:")</f>
        <v>Ո՞ր քաղաքում կգտնեք Էյֆելյան աշտարակը:</v>
      </c>
      <c r="D10197" s="6" t="str">
        <f>IFERROR(__xludf.DUMMYFUNCTION("GOOGLETRANSLATE(B10197,""en"",""hy"")"),"Փարիզ.")</f>
        <v>Փարիզ.</v>
      </c>
    </row>
    <row r="10198">
      <c r="A10198" s="5" t="s">
        <v>7450</v>
      </c>
      <c r="B10198" s="5" t="s">
        <v>7451</v>
      </c>
      <c r="C10198" s="5" t="str">
        <f>IFERROR(__xludf.DUMMYFUNCTION("GOOGLETRANSLATE(A10198,""en"",""hy"")"),"Ո՞րն է Ավստրալիայի մայրաքաղաքը:")</f>
        <v>Ո՞րն է Ավստրալիայի մայրաքաղաքը:</v>
      </c>
      <c r="D10198" s="6" t="str">
        <f>IFERROR(__xludf.DUMMYFUNCTION("GOOGLETRANSLATE(B10198,""en"",""hy"")"),"Կանբերա.")</f>
        <v>Կանբերա.</v>
      </c>
    </row>
    <row r="10199">
      <c r="A10199" s="5" t="s">
        <v>7502</v>
      </c>
      <c r="B10199" s="5" t="s">
        <v>8458</v>
      </c>
      <c r="C10199" s="5" t="str">
        <f>IFERROR(__xludf.DUMMYFUNCTION("GOOGLETRANSLATE(A10199,""en"",""hy"")"),"Քանի՞ կողմ ունի վեցանկյունը:")</f>
        <v>Քանի՞ կողմ ունի վեցանկյունը:</v>
      </c>
      <c r="D10199" s="6" t="str">
        <f>IFERROR(__xludf.DUMMYFUNCTION("GOOGLETRANSLATE(B10199,""en"",""hy"")"),"Վեցանկյունն ունի 6 կողմ։")</f>
        <v>Վեցանկյունն ունի 6 կողմ։</v>
      </c>
    </row>
    <row r="10200">
      <c r="A10200" s="5" t="s">
        <v>7485</v>
      </c>
      <c r="B10200" s="5" t="s">
        <v>8110</v>
      </c>
      <c r="C10200" s="5" t="str">
        <f>IFERROR(__xludf.DUMMYFUNCTION("GOOGLETRANSLATE(A10200,""en"",""hy"")"),"Ո՞վ է Հարի Փոթերի շարքի հեղինակը:")</f>
        <v>Ո՞վ է Հարի Փոթերի շարքի հեղինակը:</v>
      </c>
      <c r="D10200" s="6" t="str">
        <f>IFERROR(__xludf.DUMMYFUNCTION("GOOGLETRANSLATE(B10200,""en"",""hy"")"),"Ջ.Կ. Ռոուլինգ")</f>
        <v>Ջ.Կ. Ռոուլինգ</v>
      </c>
    </row>
    <row r="10201">
      <c r="A10201" s="5" t="s">
        <v>8198</v>
      </c>
      <c r="B10201" s="5" t="s">
        <v>8199</v>
      </c>
      <c r="C10201" s="5" t="str">
        <f>IFERROR(__xludf.DUMMYFUNCTION("GOOGLETRANSLATE(A10201,""en"",""hy"")"),"Ո՞րն է Չինաստանի ազգային կենդանին:")</f>
        <v>Ո՞րն է Չինաստանի ազգային կենդանին:</v>
      </c>
      <c r="D10201" s="6" t="str">
        <f>IFERROR(__xludf.DUMMYFUNCTION("GOOGLETRANSLATE(B10201,""en"",""hy"")"),"Չինաստանի ազգային կենդանին հսկա պանդան է։")</f>
        <v>Չինաստանի ազգային կենդանին հսկա պանդան է։</v>
      </c>
    </row>
    <row r="10202">
      <c r="A10202" s="5" t="s">
        <v>10257</v>
      </c>
      <c r="B10202" s="5" t="s">
        <v>7648</v>
      </c>
      <c r="C10202" s="5" t="str">
        <f>IFERROR(__xludf.DUMMYFUNCTION("GOOGLETRANSLATE(A10202,""en"",""hy"")"),"Ո՞վ է նկարել «Աստղային գիշերը»:")</f>
        <v>Ո՞վ է նկարել «Աստղային գիշերը»:</v>
      </c>
      <c r="D10202" s="6" t="str">
        <f>IFERROR(__xludf.DUMMYFUNCTION("GOOGLETRANSLATE(B10202,""en"",""hy"")"),"Վինսենթ վան Գոգ.")</f>
        <v>Վինսենթ վան Գոգ.</v>
      </c>
    </row>
    <row r="10203">
      <c r="A10203" s="5" t="s">
        <v>10258</v>
      </c>
      <c r="B10203" s="5" t="s">
        <v>10259</v>
      </c>
      <c r="C10203" s="5" t="str">
        <f>IFERROR(__xludf.DUMMYFUNCTION("GOOGLETRANSLATE(A10203,""en"",""hy"")"),"Ո՞րն է այն գործընթացը, որով բույսերը ջրի գոլորշի են թողնում իրենց տերևների միջոցով:")</f>
        <v>Ո՞րն է այն գործընթացը, որով բույսերը ջրի գոլորշի են թողնում իրենց տերևների միջոցով:</v>
      </c>
      <c r="D10203" s="6" t="str">
        <f>IFERROR(__xludf.DUMMYFUNCTION("GOOGLETRANSLATE(B10203,""en"",""hy"")"),"Տրանսսպիրացիա.")</f>
        <v>Տրանսսպիրացիա.</v>
      </c>
    </row>
    <row r="10204">
      <c r="A10204" s="5" t="s">
        <v>10260</v>
      </c>
      <c r="B10204" s="5" t="s">
        <v>8615</v>
      </c>
      <c r="C10204" s="5" t="str">
        <f>IFERROR(__xludf.DUMMYFUNCTION("GOOGLETRANSLATE(A10204,""en"",""hy"")"),"Ո՞րն է պարբերական աղյուսակի ածխածնի տարրի խորհրդանիշը:")</f>
        <v>Ո՞րն է պարբերական աղյուսակի ածխածնի տարրի խորհրդանիշը:</v>
      </c>
      <c r="D10204" s="6" t="str">
        <f>IFERROR(__xludf.DUMMYFUNCTION("GOOGLETRANSLATE(B10204,""en"",""hy"")"),"Գ")</f>
        <v>Գ</v>
      </c>
    </row>
    <row r="10205">
      <c r="A10205" s="5" t="s">
        <v>10261</v>
      </c>
      <c r="B10205" s="5" t="s">
        <v>10262</v>
      </c>
      <c r="C10205" s="5" t="str">
        <f>IFERROR(__xludf.DUMMYFUNCTION("GOOGLETRANSLATE(A10205,""en"",""hy"")"),"Ո՞ր երկիրն է հայտնի հեռախոսի ստեղծմամբ:")</f>
        <v>Ո՞ր երկիրն է հայտնի հեռախոսի ստեղծմամբ:</v>
      </c>
      <c r="D10205" s="6" t="str">
        <f>IFERROR(__xludf.DUMMYFUNCTION("GOOGLETRANSLATE(B10205,""en"",""hy"")"),"Հեռախոսի հայտնագործմամբ հայտնի երկիրը ԱՄՆ-ն է։")</f>
        <v>Հեռախոսի հայտնագործմամբ հայտնի երկիրը ԱՄՆ-ն է։</v>
      </c>
    </row>
    <row r="10206">
      <c r="A10206" s="5" t="s">
        <v>7946</v>
      </c>
      <c r="B10206" s="5" t="s">
        <v>8111</v>
      </c>
      <c r="C10206" s="5" t="str">
        <f>IFERROR(__xludf.DUMMYFUNCTION("GOOGLETRANSLATE(A10206,""en"",""hy"")"),"Քանի՞ խաղացող կա ֆուտբոլային թիմում:")</f>
        <v>Քանի՞ խաղացող կա ֆուտբոլային թիմում:</v>
      </c>
      <c r="D10206" s="6" t="str">
        <f>IFERROR(__xludf.DUMMYFUNCTION("GOOGLETRANSLATE(B10206,""en"",""hy"")"),"Ֆուտբոլային թիմում կա 11 խաղացող։")</f>
        <v>Ֆուտբոլային թիմում կա 11 խաղացող։</v>
      </c>
    </row>
    <row r="10207">
      <c r="A10207" s="5" t="s">
        <v>7579</v>
      </c>
      <c r="B10207" s="5" t="s">
        <v>8035</v>
      </c>
      <c r="C10207" s="5" t="str">
        <f>IFERROR(__xludf.DUMMYFUNCTION("GOOGLETRANSLATE(A10207,""en"",""hy"")"),"Ո՞րն է Գերմանիայի արժույթը:")</f>
        <v>Ո՞րն է Գերմանիայի արժույթը:</v>
      </c>
      <c r="D10207" s="6" t="str">
        <f>IFERROR(__xludf.DUMMYFUNCTION("GOOGLETRANSLATE(B10207,""en"",""hy"")"),"եվրո.")</f>
        <v>եվրո.</v>
      </c>
    </row>
    <row r="10208">
      <c r="A10208" s="5" t="s">
        <v>10263</v>
      </c>
      <c r="B10208" s="5" t="s">
        <v>10264</v>
      </c>
      <c r="C10208" s="5" t="str">
        <f>IFERROR(__xludf.DUMMYFUNCTION("GOOGLETRANSLATE(A10208,""en"",""hy"")"),"Ո՞ր օրգանն է արյունը մղում ամբողջ մարմնով:")</f>
        <v>Ո՞ր օրգանն է արյունը մղում ամբողջ մարմնով:</v>
      </c>
      <c r="D10208" s="6" t="str">
        <f>IFERROR(__xludf.DUMMYFUNCTION("GOOGLETRANSLATE(B10208,""en"",""hy"")"),"Սիրտը.")</f>
        <v>Սիրտը.</v>
      </c>
    </row>
    <row r="10209">
      <c r="A10209" s="5" t="s">
        <v>7479</v>
      </c>
      <c r="B10209" s="5" t="s">
        <v>1996</v>
      </c>
      <c r="C10209" s="5" t="str">
        <f>IFERROR(__xludf.DUMMYFUNCTION("GOOGLETRANSLATE(A10209,""en"",""hy"")"),"Ո՞վ է Միացյալ Թագավորության ներկայիս վարչապետը:")</f>
        <v>Ո՞վ է Միացյալ Թագավորության ներկայիս վարչապետը:</v>
      </c>
      <c r="D10209" s="6" t="str">
        <f>IFERROR(__xludf.DUMMYFUNCTION("GOOGLETRANSLATE(B10209,""en"",""hy"")"),"Բորիս Ջոնսոն.")</f>
        <v>Բորիս Ջոնսոն.</v>
      </c>
    </row>
    <row r="10210">
      <c r="A10210" s="5" t="s">
        <v>10265</v>
      </c>
      <c r="B10210" s="5" t="s">
        <v>7478</v>
      </c>
      <c r="C10210" s="5" t="str">
        <f>IFERROR(__xludf.DUMMYFUNCTION("GOOGLETRANSLATE(A10210,""en"",""hy"")"),"Ո՞ր երկիրն է հայտնի սուշի հայտնագործությամբ.")</f>
        <v>Ո՞ր երկիրն է հայտնի սուշի հայտնագործությամբ.</v>
      </c>
      <c r="D10210" s="6" t="str">
        <f>IFERROR(__xludf.DUMMYFUNCTION("GOOGLETRANSLATE(B10210,""en"",""hy"")"),"Ճապոնիա.")</f>
        <v>Ճապոնիա.</v>
      </c>
    </row>
    <row r="10211">
      <c r="A10211" s="5" t="s">
        <v>8753</v>
      </c>
      <c r="B10211" s="5" t="s">
        <v>8754</v>
      </c>
      <c r="C10211" s="5" t="str">
        <f>IFERROR(__xludf.DUMMYFUNCTION("GOOGLETRANSLATE(A10211,""en"",""hy"")"),"Ո՞րն է Հյուսիսային Ամերիկայի ամենաբարձր լեռը:")</f>
        <v>Ո՞րն է Հյուսիսային Ամերիկայի ամենաբարձր լեռը:</v>
      </c>
      <c r="D10211" s="6" t="str">
        <f>IFERROR(__xludf.DUMMYFUNCTION("GOOGLETRANSLATE(B10211,""en"",""hy"")"),"Դենալի լեռ.")</f>
        <v>Դենալի լեռ.</v>
      </c>
    </row>
    <row r="10212">
      <c r="A10212" s="5" t="s">
        <v>7939</v>
      </c>
      <c r="B10212" s="5" t="s">
        <v>7940</v>
      </c>
      <c r="C10212" s="5" t="str">
        <f>IFERROR(__xludf.DUMMYFUNCTION("GOOGLETRANSLATE(A10212,""en"",""hy"")"),"Քանի՞ մայրցամաք կա աշխարհում:")</f>
        <v>Քանի՞ մայրցամաք կա աշխարհում:</v>
      </c>
      <c r="D10212" s="6" t="str">
        <f>IFERROR(__xludf.DUMMYFUNCTION("GOOGLETRANSLATE(B10212,""en"",""hy"")"),"Աշխարհում կան յոթ մայրցամաքներ։")</f>
        <v>Աշխարհում կան յոթ մայրցամաքներ։</v>
      </c>
    </row>
    <row r="10213">
      <c r="A10213" s="5" t="s">
        <v>10266</v>
      </c>
      <c r="B10213" s="5" t="s">
        <v>10267</v>
      </c>
      <c r="C10213" s="5" t="str">
        <f>IFERROR(__xludf.DUMMYFUNCTION("GOOGLETRANSLATE(A10213,""en"",""hy"")"),"Որ վեպը J.R.R. Թոլքինը ներկայացնում է Ֆրոդո Բեգինսի և Գենդալֆի կերպարները։")</f>
        <v>Որ վեպը J.R.R. Թոլքինը ներկայացնում է Ֆրոդո Բեգինսի և Գենդալֆի կերպարները։</v>
      </c>
      <c r="D10213" s="6" t="str">
        <f>IFERROR(__xludf.DUMMYFUNCTION("GOOGLETRANSLATE(B10213,""en"",""hy"")"),"Վեպը «Մատանիների տիրակալն» է։")</f>
        <v>Վեպը «Մատանիների տիրակալն» է։</v>
      </c>
    </row>
    <row r="10214">
      <c r="A10214" s="5" t="s">
        <v>7592</v>
      </c>
      <c r="B10214" s="5" t="s">
        <v>7593</v>
      </c>
      <c r="C10214" s="5" t="str">
        <f>IFERROR(__xludf.DUMMYFUNCTION("GOOGLETRANSLATE(A10214,""en"",""hy"")"),"Ո՞րն է թթվածնի քիմիական նշանը:")</f>
        <v>Ո՞րն է թթվածնի քիմիական նշանը:</v>
      </c>
      <c r="D10214" s="6" t="str">
        <f>IFERROR(__xludf.DUMMYFUNCTION("GOOGLETRANSLATE(B10214,""en"",""hy"")"),"Թթվածնի քիմիական նշանը O է:")</f>
        <v>Թթվածնի քիմիական նշանը O է:</v>
      </c>
    </row>
    <row r="10215">
      <c r="A10215" s="5" t="s">
        <v>10268</v>
      </c>
      <c r="B10215" s="5" t="s">
        <v>8618</v>
      </c>
      <c r="C10215" s="5" t="str">
        <f>IFERROR(__xludf.DUMMYFUNCTION("GOOGLETRANSLATE(A10215,""en"",""hy"")"),"Ո՞ր քաղաքում կգտնեք Չինական Մեծ պատը:")</f>
        <v>Ո՞ր քաղաքում կգտնեք Չինական Մեծ պատը:</v>
      </c>
      <c r="D10215" s="6" t="str">
        <f>IFERROR(__xludf.DUMMYFUNCTION("GOOGLETRANSLATE(B10215,""en"",""hy"")"),"Պեկին")</f>
        <v>Պեկին</v>
      </c>
    </row>
    <row r="10216">
      <c r="A10216" s="5" t="s">
        <v>7515</v>
      </c>
      <c r="B10216" s="5" t="s">
        <v>7516</v>
      </c>
      <c r="C10216" s="5" t="str">
        <f>IFERROR(__xludf.DUMMYFUNCTION("GOOGLETRANSLATE(A10216,""en"",""hy"")"),"Ո՞րն է Բրազիլիայի մայրաքաղաքը:")</f>
        <v>Ո՞րն է Բրազիլիայի մայրաքաղաքը:</v>
      </c>
      <c r="D10216" s="6" t="str">
        <f>IFERROR(__xludf.DUMMYFUNCTION("GOOGLETRANSLATE(B10216,""en"",""hy"")"),"Բրազիլիա.")</f>
        <v>Բրազիլիա.</v>
      </c>
    </row>
    <row r="10217">
      <c r="A10217" s="5" t="s">
        <v>8088</v>
      </c>
      <c r="B10217" s="5" t="s">
        <v>8228</v>
      </c>
      <c r="C10217" s="5" t="str">
        <f>IFERROR(__xludf.DUMMYFUNCTION("GOOGLETRANSLATE(A10217,""en"",""hy"")"),"Քանի՞ կողմ ունի հնգանկյունը:")</f>
        <v>Քանի՞ կողմ ունի հնգանկյունը:</v>
      </c>
      <c r="D10217" s="6" t="str">
        <f>IFERROR(__xludf.DUMMYFUNCTION("GOOGLETRANSLATE(B10217,""en"",""hy"")"),"Պենտագոնն ունի հինգ կողմ:")</f>
        <v>Պենտագոնն ունի հինգ կողմ:</v>
      </c>
    </row>
    <row r="10218">
      <c r="A10218" s="5" t="s">
        <v>10269</v>
      </c>
      <c r="B10218" s="5" t="s">
        <v>7541</v>
      </c>
      <c r="C10218" s="5" t="str">
        <f>IFERROR(__xludf.DUMMYFUNCTION("GOOGLETRANSLATE(A10218,""en"",""hy"")"),"Ո՞վ է «Սպանել ծաղրող թռչունին» գրքի հեղինակը:")</f>
        <v>Ո՞վ է «Սպանել ծաղրող թռչունին» գրքի հեղինակը:</v>
      </c>
      <c r="D10218" s="6" t="str">
        <f>IFERROR(__xludf.DUMMYFUNCTION("GOOGLETRANSLATE(B10218,""en"",""hy"")"),"Հարփեր Լի.")</f>
        <v>Հարփեր Լի.</v>
      </c>
    </row>
    <row r="10219">
      <c r="A10219" s="5" t="s">
        <v>7791</v>
      </c>
      <c r="B10219" s="5" t="s">
        <v>8128</v>
      </c>
      <c r="C10219" s="5" t="str">
        <f>IFERROR(__xludf.DUMMYFUNCTION("GOOGLETRANSLATE(A10219,""en"",""hy"")"),"Ո՞րն է Ավստրալիայի ազգային կենդանին:")</f>
        <v>Ո՞րն է Ավստրալիայի ազգային կենդանին:</v>
      </c>
      <c r="D10219" s="6" t="str">
        <f>IFERROR(__xludf.DUMMYFUNCTION("GOOGLETRANSLATE(B10219,""en"",""hy"")"),"Կենգուրու.")</f>
        <v>Կենգուրու.</v>
      </c>
    </row>
    <row r="10220">
      <c r="A10220" s="5" t="s">
        <v>10270</v>
      </c>
      <c r="B10220" s="5" t="s">
        <v>7648</v>
      </c>
      <c r="C10220" s="5" t="str">
        <f>IFERROR(__xludf.DUMMYFUNCTION("GOOGLETRANSLATE(A10220,""en"",""hy"")"),"Ո՞վ է նկարել «Աստղային գիշերը»:")</f>
        <v>Ո՞վ է նկարել «Աստղային գիշերը»:</v>
      </c>
      <c r="D10220" s="6" t="str">
        <f>IFERROR(__xludf.DUMMYFUNCTION("GOOGLETRANSLATE(B10220,""en"",""hy"")"),"Վինսենթ վան Գոգ.")</f>
        <v>Վինսենթ վան Գոգ.</v>
      </c>
    </row>
    <row r="10221">
      <c r="A10221" s="5" t="s">
        <v>10271</v>
      </c>
      <c r="B10221" s="5" t="s">
        <v>7914</v>
      </c>
      <c r="C10221" s="5" t="str">
        <f>IFERROR(__xludf.DUMMYFUNCTION("GOOGLETRANSLATE(A10221,""en"",""hy"")"),"Ո՞ր գործընթացն է, որով բույսերը ընդունում են ածխաթթու գազ և արտազատում թթվածին:")</f>
        <v>Ո՞ր գործընթացն է, որով բույսերը ընդունում են ածխաթթու գազ և արտազատում թթվածին:</v>
      </c>
      <c r="D10221" s="6" t="str">
        <f>IFERROR(__xludf.DUMMYFUNCTION("GOOGLETRANSLATE(B10221,""en"",""hy"")"),"Ֆոտոսինթեզ.")</f>
        <v>Ֆոտոսինթեզ.</v>
      </c>
    </row>
    <row r="10222">
      <c r="A10222" s="5" t="s">
        <v>10088</v>
      </c>
      <c r="B10222" s="5" t="s">
        <v>7762</v>
      </c>
      <c r="C10222" s="5" t="str">
        <f>IFERROR(__xludf.DUMMYFUNCTION("GOOGLETRANSLATE(A10222,""en"",""hy"")"),"Ո՞րն է ջրածնի տարրի խորհրդանիշը պարբերական աղյուսակում:")</f>
        <v>Ո՞րն է ջրածնի տարրի խորհրդանիշը պարբերական աղյուսակում:</v>
      </c>
      <c r="D10222" s="6" t="str">
        <f>IFERROR(__xludf.DUMMYFUNCTION("GOOGLETRANSLATE(B10222,""en"",""hy"")"),"Հ")</f>
        <v>Հ</v>
      </c>
    </row>
    <row r="10223">
      <c r="A10223" s="5" t="s">
        <v>10272</v>
      </c>
      <c r="B10223" s="5" t="s">
        <v>9129</v>
      </c>
      <c r="C10223" s="5" t="str">
        <f>IFERROR(__xludf.DUMMYFUNCTION("GOOGLETRANSLATE(A10223,""en"",""hy"")"),"ո՞ր երկիրն է հայտնի ինտերնետի ստեղծմամբ:")</f>
        <v>ո՞ր երկիրն է հայտնի ինտերնետի ստեղծմամբ:</v>
      </c>
      <c r="D10223" s="6" t="str">
        <f>IFERROR(__xludf.DUMMYFUNCTION("GOOGLETRANSLATE(B10223,""en"",""hy"")"),"Միացյալ Նահանգները.")</f>
        <v>Միացյալ Նահանգները.</v>
      </c>
    </row>
    <row r="10224">
      <c r="A10224" s="9" t="s">
        <v>10273</v>
      </c>
      <c r="B10224" s="5" t="s">
        <v>10274</v>
      </c>
      <c r="C10224" s="5" t="str">
        <f>IFERROR(__xludf.DUMMYFUNCTION("GOOGLETRANSLATE(A10224,""en"",""hy"")"),"Քանի՞ կողմ ունի քառակուսին:")</f>
        <v>Քանի՞ կողմ ունի քառակուսին:</v>
      </c>
      <c r="D10224" s="6" t="str">
        <f>IFERROR(__xludf.DUMMYFUNCTION("GOOGLETRANSLATE(B10224,""en"",""hy"")"),"Քառակուսին ունի չորս կողմ.")</f>
        <v>Քառակուսին ունի չորս կողմ.</v>
      </c>
    </row>
    <row r="10225">
      <c r="A10225" s="9" t="s">
        <v>7489</v>
      </c>
      <c r="B10225" s="5" t="s">
        <v>7490</v>
      </c>
      <c r="C10225" s="5" t="str">
        <f>IFERROR(__xludf.DUMMYFUNCTION("GOOGLETRANSLATE(A10225,""en"",""hy"")"),"Ո՞րն է աշխարհի ամենաբարձր շենքը:")</f>
        <v>Ո՞րն է աշխարհի ամենաբարձր շենքը:</v>
      </c>
      <c r="D10225" s="6" t="str">
        <f>IFERROR(__xludf.DUMMYFUNCTION("GOOGLETRANSLATE(B10225,""en"",""hy"")"),"Աշխարհի ամենաբարձր շենքը Բուրջ Խալիֆան է Դուբայում, Արաբական Միացյալ Էմիրություններ:")</f>
        <v>Աշխարհի ամենաբարձր շենքը Բուրջ Խալիֆան է Դուբայում, Արաբական Միացյալ Էմիրություններ:</v>
      </c>
    </row>
    <row r="10226">
      <c r="A10226" s="9" t="s">
        <v>10275</v>
      </c>
      <c r="B10226" s="5" t="s">
        <v>2173</v>
      </c>
      <c r="C10226" s="5" t="str">
        <f>IFERROR(__xludf.DUMMYFUNCTION("GOOGLETRANSLATE(A10226,""en"",""hy"")"),"Ո՞վ է եղել Գերմանիայի բռնապետը Երկրորդ համաշխարհային պատերազմի ժամանակ:")</f>
        <v>Ո՞վ է եղել Գերմանիայի բռնապետը Երկրորդ համաշխարհային պատերազմի ժամանակ:</v>
      </c>
      <c r="D10226" s="6" t="str">
        <f>IFERROR(__xludf.DUMMYFUNCTION("GOOGLETRANSLATE(B10226,""en"",""hy"")"),"Ադոլֆ Հիտլեր.")</f>
        <v>Ադոլֆ Հիտլեր.</v>
      </c>
    </row>
    <row r="10227">
      <c r="A10227" s="9" t="s">
        <v>7480</v>
      </c>
      <c r="B10227" s="5" t="s">
        <v>8688</v>
      </c>
      <c r="C10227" s="5" t="str">
        <f>IFERROR(__xludf.DUMMYFUNCTION("GOOGLETRANSLATE(A10227,""en"",""hy"")"),"Ո՞րն է Միացյալ Նահանգների ազգային թռչունը:")</f>
        <v>Ո՞րն է Միացյալ Նահանգների ազգային թռչունը:</v>
      </c>
      <c r="D10227" s="6" t="str">
        <f>IFERROR(__xludf.DUMMYFUNCTION("GOOGLETRANSLATE(B10227,""en"",""hy"")"),"Միացյալ Նահանգների ազգային թռչունը ճաղատ արծիվն է:")</f>
        <v>Միացյալ Նահանգների ազգային թռչունը ճաղատ արծիվն է:</v>
      </c>
    </row>
    <row r="10228">
      <c r="A10228" s="9" t="s">
        <v>7778</v>
      </c>
      <c r="B10228" s="5" t="s">
        <v>7474</v>
      </c>
      <c r="C10228" s="5" t="str">
        <f>IFERROR(__xludf.DUMMYFUNCTION("GOOGLETRANSLATE(A10228,""en"",""hy"")"),"Ո՞վ է նկարել Սիքստինյան կապելլայի առաստաղը:")</f>
        <v>Ո՞վ է նկարել Սիքստինյան կապելլայի առաստաղը:</v>
      </c>
      <c r="D10228" s="6" t="str">
        <f>IFERROR(__xludf.DUMMYFUNCTION("GOOGLETRANSLATE(B10228,""en"",""hy"")"),"Միքելանջելո.")</f>
        <v>Միքելանջելո.</v>
      </c>
    </row>
    <row r="10229">
      <c r="A10229" s="9" t="s">
        <v>10276</v>
      </c>
      <c r="B10229" s="5" t="s">
        <v>10277</v>
      </c>
      <c r="C10229" s="5" t="str">
        <f>IFERROR(__xludf.DUMMYFUNCTION("GOOGLETRANSLATE(A10229,""en"",""hy"")"),"Ո՞րն է սերմերի միջոցով բույսերի վերարտադրման գործընթացը:")</f>
        <v>Ո՞րն է սերմերի միջոցով բույսերի վերարտադրման գործընթացը:</v>
      </c>
      <c r="D10229" s="6" t="str">
        <f>IFERROR(__xludf.DUMMYFUNCTION("GOOGLETRANSLATE(B10229,""en"",""hy"")"),"Գործընթացը, որով բույսերը բազմանում են սերմերով, կոչվում է սերմերի վերարտադրություն:")</f>
        <v>Գործընթացը, որով բույսերը բազմանում են սերմերով, կոչվում է սերմերի վերարտադրություն:</v>
      </c>
    </row>
    <row r="10230">
      <c r="A10230" s="9" t="s">
        <v>10278</v>
      </c>
      <c r="B10230" s="5" t="s">
        <v>10279</v>
      </c>
      <c r="C10230" s="5" t="str">
        <f>IFERROR(__xludf.DUMMYFUNCTION("GOOGLETRANSLATE(A10230,""en"",""hy"")"),"Ո՞րն է պարբերական աղյուսակի նատրիումի տարրի խորհրդանիշը:")</f>
        <v>Ո՞րն է պարբերական աղյուսակի նատրիումի տարրի խորհրդանիշը:</v>
      </c>
      <c r="D10230" s="6" t="str">
        <f>IFERROR(__xludf.DUMMYFUNCTION("GOOGLETRANSLATE(B10230,""en"",""hy"")"),"Պարբերական աղյուսակի նատրիումի տարրի խորհրդանիշը Na է:")</f>
        <v>Պարբերական աղյուսակի նատրիումի տարրի խորհրդանիշը Na է:</v>
      </c>
    </row>
    <row r="10231">
      <c r="A10231" s="9" t="s">
        <v>10280</v>
      </c>
      <c r="B10231" s="5" t="s">
        <v>10281</v>
      </c>
      <c r="C10231" s="5" t="str">
        <f>IFERROR(__xludf.DUMMYFUNCTION("GOOGLETRANSLATE(A10231,""en"",""hy"")"),"Ո՞ր երկիրն է հայտնի գրամոֆոնի հայտնագործմամբ:")</f>
        <v>Ո՞ր երկիրն է հայտնի գրամոֆոնի հայտնագործմամբ:</v>
      </c>
      <c r="D10231" s="6" t="str">
        <f>IFERROR(__xludf.DUMMYFUNCTION("GOOGLETRANSLATE(B10231,""en"",""hy"")"),"Գրամոֆոնը հայտնագործվել է Գերմանիայում։")</f>
        <v>Գրամոֆոնը հայտնագործվել է Գերմանիայում։</v>
      </c>
    </row>
    <row r="10232">
      <c r="A10232" s="9" t="s">
        <v>10282</v>
      </c>
      <c r="B10232" s="5" t="s">
        <v>9968</v>
      </c>
      <c r="C10232" s="5" t="str">
        <f>IFERROR(__xludf.DUMMYFUNCTION("GOOGLETRANSLATE(A10232,""en"",""hy"")"),"Քանի՞ կողմ ունի տասնանկյունը:")</f>
        <v>Քանի՞ կողմ ունի տասնանկյունը:</v>
      </c>
      <c r="D10232" s="6" t="str">
        <f>IFERROR(__xludf.DUMMYFUNCTION("GOOGLETRANSLATE(B10232,""en"",""hy"")"),"Տասնանկյունն ունի 10 կողմ:")</f>
        <v>Տասնանկյունն ունի 10 կողմ:</v>
      </c>
    </row>
    <row r="10233">
      <c r="A10233" s="9" t="s">
        <v>7443</v>
      </c>
      <c r="B10233" s="5" t="s">
        <v>7444</v>
      </c>
      <c r="C10233" s="5" t="str">
        <f>IFERROR(__xludf.DUMMYFUNCTION("GOOGLETRANSLATE(A10233,""en"",""hy"")"),"Ո՞վ է գրել «1984» վեպը։")</f>
        <v>Ո՞վ է գրել «1984» վեպը։</v>
      </c>
      <c r="D10233" s="6" t="str">
        <f>IFERROR(__xludf.DUMMYFUNCTION("GOOGLETRANSLATE(B10233,""en"",""hy"")"),"Ջորջ Օրուել.")</f>
        <v>Ջորջ Օրուել.</v>
      </c>
    </row>
    <row r="10234">
      <c r="A10234" s="9" t="s">
        <v>8172</v>
      </c>
      <c r="B10234" s="5" t="s">
        <v>10283</v>
      </c>
      <c r="C10234" s="5" t="str">
        <f>IFERROR(__xludf.DUMMYFUNCTION("GOOGLETRANSLATE(A10234,""en"",""hy"")"),"Ո՞րն է աշխարհի ամենաբարձր ջրվեժը:")</f>
        <v>Ո՞րն է աշխարհի ամենաբարձր ջրվեժը:</v>
      </c>
      <c r="D10234" s="6" t="str">
        <f>IFERROR(__xludf.DUMMYFUNCTION("GOOGLETRANSLATE(B10234,""en"",""hy"")"),"Աշխարհի ամենաբարձր ջրվեժը Angel Falls-ն է:")</f>
        <v>Աշխարհի ամենաբարձր ջրվեժը Angel Falls-ն է:</v>
      </c>
    </row>
    <row r="10235">
      <c r="A10235" s="9" t="s">
        <v>8106</v>
      </c>
      <c r="B10235" s="5" t="s">
        <v>7916</v>
      </c>
      <c r="C10235" s="5" t="str">
        <f>IFERROR(__xludf.DUMMYFUNCTION("GOOGLETRANSLATE(A10235,""en"",""hy"")"),"Քանի՞ ոսկոր կա մարդու մարմնում:")</f>
        <v>Քանի՞ ոսկոր կա մարդու մարմնում:</v>
      </c>
      <c r="D10235" s="6" t="str">
        <f>IFERROR(__xludf.DUMMYFUNCTION("GOOGLETRANSLATE(B10235,""en"",""hy"")"),"Մարդու մարմնում կա 206 ոսկոր։")</f>
        <v>Մարդու մարմնում կա 206 ոսկոր։</v>
      </c>
    </row>
    <row r="10236">
      <c r="A10236" s="9" t="s">
        <v>7817</v>
      </c>
      <c r="B10236" s="5" t="s">
        <v>7818</v>
      </c>
      <c r="C10236" s="5" t="str">
        <f>IFERROR(__xludf.DUMMYFUNCTION("GOOGLETRANSLATE(A10236,""en"",""hy"")"),"Ո՞րն է Կանադայի ազգային կենդանին:")</f>
        <v>Ո՞րն է Կանադայի ազգային կենդանին:</v>
      </c>
      <c r="D10236" s="6" t="str">
        <f>IFERROR(__xludf.DUMMYFUNCTION("GOOGLETRANSLATE(B10236,""en"",""hy"")"),"Կանադայի ազգային կենդանին կեղևն է:")</f>
        <v>Կանադայի ազգային կենդանին կեղևն է:</v>
      </c>
    </row>
    <row r="10237">
      <c r="A10237" s="9" t="s">
        <v>7866</v>
      </c>
      <c r="B10237" s="5" t="s">
        <v>7745</v>
      </c>
      <c r="C10237" s="5" t="str">
        <f>IFERROR(__xludf.DUMMYFUNCTION("GOOGLETRANSLATE(A10237,""en"",""hy"")"),"Ո՞վ է նկարել «Հիշողության համառությունը»:")</f>
        <v>Ո՞վ է նկարել «Հիշողության համառությունը»:</v>
      </c>
      <c r="D10237" s="6" t="str">
        <f>IFERROR(__xludf.DUMMYFUNCTION("GOOGLETRANSLATE(B10237,""en"",""hy"")"),"Սալվադոր Դալի.")</f>
        <v>Սալվադոր Դալի.</v>
      </c>
    </row>
    <row r="10238">
      <c r="A10238" s="9" t="s">
        <v>10284</v>
      </c>
      <c r="B10238" s="5" t="s">
        <v>10285</v>
      </c>
      <c r="C10238" s="5" t="str">
        <f>IFERROR(__xludf.DUMMYFUNCTION("GOOGLETRANSLATE(A10238,""en"",""hy"")"),"Ո՞ր գործընթացն է, որով ջրի գոլորշին վերածվում է հեղուկ ջրի:")</f>
        <v>Ո՞ր գործընթացն է, որով ջրի գոլորշին վերածվում է հեղուկ ջրի:</v>
      </c>
      <c r="D10238" s="6" t="str">
        <f>IFERROR(__xludf.DUMMYFUNCTION("GOOGLETRANSLATE(B10238,""en"",""hy"")"),"Գործընթացը, որով ջրի գոլորշին վերածվում է հեղուկ ջրի, խտացում է:")</f>
        <v>Գործընթացը, որով ջրի գոլորշին վերածվում է հեղուկ ջրի, խտացում է:</v>
      </c>
    </row>
    <row r="10239">
      <c r="A10239" s="9" t="s">
        <v>10286</v>
      </c>
      <c r="B10239" s="5" t="s">
        <v>7810</v>
      </c>
      <c r="C10239" s="5" t="str">
        <f>IFERROR(__xludf.DUMMYFUNCTION("GOOGLETRANSLATE(A10239,""en"",""hy"")"),"Ո՞րն է պարբերական աղյուսակի հելիում տարրի խորհրդանիշը:")</f>
        <v>Ո՞րն է պարբերական աղյուսակի հելիում տարրի խորհրդանիշը:</v>
      </c>
      <c r="D10239" s="6" t="str">
        <f>IFERROR(__xludf.DUMMYFUNCTION("GOOGLETRANSLATE(B10239,""en"",""hy"")"),"Նա")</f>
        <v>Նա</v>
      </c>
    </row>
    <row r="10240">
      <c r="A10240" s="9" t="s">
        <v>10287</v>
      </c>
      <c r="B10240" s="5" t="s">
        <v>6334</v>
      </c>
      <c r="C10240" s="5" t="str">
        <f>IFERROR(__xludf.DUMMYFUNCTION("GOOGLETRANSLATE(A10240,""en"",""hy"")"),"Ո՞ր երկիրն է հայտնի ռադիոյի ստեղծմամբ:")</f>
        <v>Ո՞ր երկիրն է հայտնի ռադիոյի ստեղծմամբ:</v>
      </c>
      <c r="D10240" s="6" t="str">
        <f>IFERROR(__xludf.DUMMYFUNCTION("GOOGLETRANSLATE(B10240,""en"",""hy"")"),"Իտալիա.")</f>
        <v>Իտալիա.</v>
      </c>
    </row>
    <row r="10241">
      <c r="A10241" s="9" t="s">
        <v>8053</v>
      </c>
      <c r="B10241" s="5" t="s">
        <v>8424</v>
      </c>
      <c r="C10241" s="5" t="str">
        <f>IFERROR(__xludf.DUMMYFUNCTION("GOOGLETRANSLATE(A10241,""en"",""hy"")"),"Քանի՞ կողմ ունի ութանկյունը:")</f>
        <v>Քանի՞ կողմ ունի ութանկյունը:</v>
      </c>
      <c r="D10241" s="6" t="str">
        <f>IFERROR(__xludf.DUMMYFUNCTION("GOOGLETRANSLATE(B10241,""en"",""hy"")"),"Ութանկյունն ունի 8 կողմ:")</f>
        <v>Ութանկյունն ունի 8 կողմ:</v>
      </c>
    </row>
    <row r="10242">
      <c r="A10242" s="9" t="s">
        <v>10288</v>
      </c>
      <c r="B10242" s="5" t="s">
        <v>7560</v>
      </c>
      <c r="C10242" s="5" t="str">
        <f>IFERROR(__xludf.DUMMYFUNCTION("GOOGLETRANSLATE(A10242,""en"",""hy"")"),"Ո՞վ է «Աշորայի մեջ բռնողը» գրքի հեղինակը.")</f>
        <v>Ո՞վ է «Աշորայի մեջ բռնողը» գրքի հեղինակը.</v>
      </c>
      <c r="D10242" s="6" t="str">
        <f>IFERROR(__xludf.DUMMYFUNCTION("GOOGLETRANSLATE(B10242,""en"",""hy"")"),"Ջ.Դ.Սելինջեր.")</f>
        <v>Ջ.Դ.Սելինջեր.</v>
      </c>
    </row>
    <row r="10243">
      <c r="A10243" s="9" t="s">
        <v>8290</v>
      </c>
      <c r="B10243" s="5" t="s">
        <v>9203</v>
      </c>
      <c r="C10243" s="5" t="str">
        <f>IFERROR(__xludf.DUMMYFUNCTION("GOOGLETRANSLATE(A10243,""en"",""hy"")"),"Ո՞րն է Հարավային Աֆրիկայի ազգային կենդանին:")</f>
        <v>Ո՞րն է Հարավային Աֆրիկայի ազգային կենդանին:</v>
      </c>
      <c r="D10243" s="6" t="str">
        <f>IFERROR(__xludf.DUMMYFUNCTION("GOOGLETRANSLATE(B10243,""en"",""hy"")"),"Հարավային Աֆրիկայի ազգային կենդանին Սփրինգբոկն է։")</f>
        <v>Հարավային Աֆրիկայի ազգային կենդանին Սփրինգբոկն է։</v>
      </c>
    </row>
    <row r="10244">
      <c r="A10244" s="9" t="s">
        <v>10238</v>
      </c>
      <c r="B10244" s="5" t="s">
        <v>7710</v>
      </c>
      <c r="C10244" s="5" t="str">
        <f>IFERROR(__xludf.DUMMYFUNCTION("GOOGLETRANSLATE(A10244,""en"",""hy"")"),"Ո՞վ է նկարել «Գերնիկան»:")</f>
        <v>Ո՞վ է նկարել «Գերնիկան»:</v>
      </c>
      <c r="D10244" s="6" t="str">
        <f>IFERROR(__xludf.DUMMYFUNCTION("GOOGLETRANSLATE(B10244,""en"",""hy"")"),"Պաբլո Պիկասո.")</f>
        <v>Պաբլո Պիկասո.</v>
      </c>
    </row>
    <row r="10245">
      <c r="A10245" s="9" t="s">
        <v>10289</v>
      </c>
      <c r="B10245" s="5" t="s">
        <v>10290</v>
      </c>
      <c r="C10245" s="5" t="str">
        <f>IFERROR(__xludf.DUMMYFUNCTION("GOOGLETRANSLATE(A10245,""en"",""hy"")"),"Ո՞րն է այն գործընթացը, որով բույսերը բազմանում են առանց սերմերի:")</f>
        <v>Ո՞րն է այն գործընթացը, որով բույսերը բազմանում են առանց սերմերի:</v>
      </c>
      <c r="D10245" s="6" t="str">
        <f>IFERROR(__xludf.DUMMYFUNCTION("GOOGLETRANSLATE(B10245,""en"",""hy"")"),"Գործընթացը, որով բույսերը բազմանում են առանց սերմերի, կոչվում է անսեռ բազմացում։")</f>
        <v>Գործընթացը, որով բույսերը բազմանում են առանց սերմերի, կոչվում է անսեռ բազմացում։</v>
      </c>
    </row>
    <row r="10246">
      <c r="A10246" s="9" t="s">
        <v>10291</v>
      </c>
      <c r="B10246" s="5" t="s">
        <v>10292</v>
      </c>
      <c r="C10246" s="5" t="str">
        <f>IFERROR(__xludf.DUMMYFUNCTION("GOOGLETRANSLATE(A10246,""en"",""hy"")"),"Ո՞րն է պարբերական աղյուսակի ազոտ տարրի խորհրդանիշը:")</f>
        <v>Ո՞րն է պարբերական աղյուսակի ազոտ տարրի խորհրդանիշը:</v>
      </c>
      <c r="D10246" s="6" t="str">
        <f>IFERROR(__xludf.DUMMYFUNCTION("GOOGLETRANSLATE(B10246,""en"",""hy"")"),"Պարբերական աղյուսակում ազոտ տարրի խորհրդանիշն է N.")</f>
        <v>Պարբերական աղյուսակում ազոտ տարրի խորհրդանիշն է N.</v>
      </c>
    </row>
    <row r="10247">
      <c r="A10247" s="9" t="s">
        <v>10293</v>
      </c>
      <c r="B10247" s="5" t="s">
        <v>10294</v>
      </c>
      <c r="C10247" s="5" t="str">
        <f>IFERROR(__xludf.DUMMYFUNCTION("GOOGLETRANSLATE(A10247,""en"",""hy"")"),"Ո՞ր երկիրն է հայտնի հեռուստատեսության ստեղծմամբ:")</f>
        <v>Ո՞ր երկիրն է հայտնի հեռուստատեսության ստեղծմամբ:</v>
      </c>
      <c r="D10247" s="6" t="str">
        <f>IFERROR(__xludf.DUMMYFUNCTION("GOOGLETRANSLATE(B10247,""en"",""hy"")"),"ԱՄՆ-ը հայտնի է հեռուստացույցի հայտնագործմամբ:")</f>
        <v>ԱՄՆ-ը հայտնի է հեռուստացույցի հայտնագործմամբ:</v>
      </c>
    </row>
    <row r="10248">
      <c r="A10248" s="9" t="s">
        <v>10295</v>
      </c>
      <c r="B10248" s="5" t="s">
        <v>10296</v>
      </c>
      <c r="C10248" s="5" t="str">
        <f>IFERROR(__xludf.DUMMYFUNCTION("GOOGLETRANSLATE(A10248,""en"",""hy"")"),"Քանի՞ կողմ ունի տասներորդանկյունը:")</f>
        <v>Քանի՞ կողմ ունի տասներորդանկյունը:</v>
      </c>
      <c r="D10248" s="6" t="str">
        <f>IFERROR(__xludf.DUMMYFUNCTION("GOOGLETRANSLATE(B10248,""en"",""hy"")"),"Տասնյականկյունն ունի 12 կողմ:")</f>
        <v>Տասնյականկյունն ունի 12 կողմ:</v>
      </c>
    </row>
    <row r="10249">
      <c r="A10249" s="9" t="s">
        <v>7890</v>
      </c>
      <c r="B10249" s="5" t="s">
        <v>7613</v>
      </c>
      <c r="C10249" s="5" t="str">
        <f>IFERROR(__xludf.DUMMYFUNCTION("GOOGLETRANSLATE(A10249,""en"",""hy"")"),"Ո՞վ է գրել «Մեծն Գեթսբի» վեպը:")</f>
        <v>Ո՞վ է գրել «Մեծն Գեթսբի» վեպը:</v>
      </c>
      <c r="D10249" s="6" t="str">
        <f>IFERROR(__xludf.DUMMYFUNCTION("GOOGLETRANSLATE(B10249,""en"",""hy"")"),"F. Scott Fitzgerald")</f>
        <v>F. Scott Fitzgerald</v>
      </c>
    </row>
    <row r="10250">
      <c r="A10250" s="9" t="s">
        <v>8151</v>
      </c>
      <c r="B10250" s="5" t="s">
        <v>8152</v>
      </c>
      <c r="C10250" s="5" t="str">
        <f>IFERROR(__xludf.DUMMYFUNCTION("GOOGLETRANSLATE(A10250,""en"",""hy"")"),"Ո՞րն է Հնդկաստանի ազգային կենդանին:")</f>
        <v>Ո՞րն է Հնդկաստանի ազգային կենդանին:</v>
      </c>
      <c r="D10250" s="6" t="str">
        <f>IFERROR(__xludf.DUMMYFUNCTION("GOOGLETRANSLATE(B10250,""en"",""hy"")"),"Հնդկաստանի ազգային կենդանին Բենգալյան վագրն է:")</f>
        <v>Հնդկաստանի ազգային կենդանին Բենգալյան վագրն է:</v>
      </c>
    </row>
    <row r="10251">
      <c r="A10251" s="9" t="s">
        <v>7858</v>
      </c>
      <c r="B10251" s="5" t="s">
        <v>7448</v>
      </c>
      <c r="C10251" s="5" t="str">
        <f>IFERROR(__xludf.DUMMYFUNCTION("GOOGLETRANSLATE(A10251,""en"",""hy"")"),"Ո՞վ է նկարել «Մոնա Լիզան»:")</f>
        <v>Ո՞վ է նկարել «Մոնա Լիզան»:</v>
      </c>
      <c r="D10251" s="6" t="str">
        <f>IFERROR(__xludf.DUMMYFUNCTION("GOOGLETRANSLATE(B10251,""en"",""hy"")"),"Լեոնարդո դա Վինչի.")</f>
        <v>Լեոնարդո դա Վինչի.</v>
      </c>
    </row>
    <row r="10252">
      <c r="A10252" s="9" t="s">
        <v>10297</v>
      </c>
      <c r="B10252" s="5" t="s">
        <v>10298</v>
      </c>
      <c r="C10252" s="5" t="str">
        <f>IFERROR(__xludf.DUMMYFUNCTION("GOOGLETRANSLATE(A10252,""en"",""hy"")"),"Ո՞ր գործընթացն է հեղուկ ջուրը վերածվում ջրային գոլորշու:")</f>
        <v>Ո՞ր գործընթացն է հեղուկ ջուրը վերածվում ջրային գոլորշու:</v>
      </c>
      <c r="D10252" s="6" t="str">
        <f>IFERROR(__xludf.DUMMYFUNCTION("GOOGLETRANSLATE(B10252,""en"",""hy"")"),"Գործընթացը կոչվում է գոլորշիացում:")</f>
        <v>Գործընթացը կոչվում է գոլորշիացում:</v>
      </c>
    </row>
    <row r="10253">
      <c r="A10253" s="9" t="s">
        <v>10299</v>
      </c>
      <c r="B10253" s="5" t="s">
        <v>10300</v>
      </c>
      <c r="C10253" s="5" t="str">
        <f>IFERROR(__xludf.DUMMYFUNCTION("GOOGLETRANSLATE(A10253,""en"",""hy"")"),"Ո՞րն է ուրանի տարրի խորհրդանիշը պարբերական աղյուսակում:")</f>
        <v>Ո՞րն է ուրանի տարրի խորհրդանիշը պարբերական աղյուսակում:</v>
      </c>
      <c r="D10253" s="6" t="str">
        <f>IFERROR(__xludf.DUMMYFUNCTION("GOOGLETRANSLATE(B10253,""en"",""hy"")"),"Պարբերական աղյուսակում ուրանի տարրի խորհրդանիշը U է:")</f>
        <v>Պարբերական աղյուսակում ուրանի տարրի խորհրդանիշը U է:</v>
      </c>
    </row>
    <row r="10254">
      <c r="A10254" s="9" t="s">
        <v>10301</v>
      </c>
      <c r="B10254" s="5" t="s">
        <v>10302</v>
      </c>
      <c r="C10254" s="5" t="str">
        <f>IFERROR(__xludf.DUMMYFUNCTION("GOOGLETRANSLATE(A10254,""en"",""hy"")"),"Ո՞ր երկիրն է հայտնի տպագրական մեքենան հորինելով:")</f>
        <v>Ո՞ր երկիրն է հայտնի տպագրական մեքենան հորինելով:</v>
      </c>
      <c r="D10254" s="6" t="str">
        <f>IFERROR(__xludf.DUMMYFUNCTION("GOOGLETRANSLATE(B10254,""en"",""hy"")"),"Գերմանիան հայտնի է տպագրական մեքենան հորինելով։ Մասնավորապես, Յոհաննես Գուտենբերգին վերագրվում է 15-րդ դարում տպագրական մեքենան հայտնագործողը Գերմանիայի Մայնց քաղաքում:")</f>
        <v>Գերմանիան հայտնի է տպագրական մեքենան հորինելով։ Մասնավորապես, Յոհաննես Գուտենբերգին վերագրվում է 15-րդ դարում տպագրական մեքենան հայտնագործողը Գերմանիայի Մայնց քաղաքում:</v>
      </c>
    </row>
    <row r="10255">
      <c r="A10255" s="9" t="s">
        <v>10303</v>
      </c>
      <c r="B10255" s="5" t="s">
        <v>10304</v>
      </c>
      <c r="C10255" s="5" t="str">
        <f>IFERROR(__xludf.DUMMYFUNCTION("GOOGLETRANSLATE(A10255,""en"",""hy"")"),"Քանի՞ կողմ ունի յոթանկյունը:")</f>
        <v>Քանի՞ կողմ ունի յոթանկյունը:</v>
      </c>
      <c r="D10255" s="6" t="str">
        <f>IFERROR(__xludf.DUMMYFUNCTION("GOOGLETRANSLATE(B10255,""en"",""hy"")"),"Յոթանկյունն ունի 7 կողմ:")</f>
        <v>Յոթանկյունն ունի 7 կողմ:</v>
      </c>
    </row>
    <row r="10256">
      <c r="A10256" s="9" t="s">
        <v>10305</v>
      </c>
      <c r="B10256" s="5" t="s">
        <v>10306</v>
      </c>
      <c r="C10256" s="5" t="str">
        <f>IFERROR(__xludf.DUMMYFUNCTION("GOOGLETRANSLATE(A10256,""en"",""hy"")"),"Ո՞վ է «Դեպի փարոս»-ի հեղինակը։")</f>
        <v>Ո՞վ է «Դեպի փարոս»-ի հեղինակը։</v>
      </c>
      <c r="D10256" s="6" t="str">
        <f>IFERROR(__xludf.DUMMYFUNCTION("GOOGLETRANSLATE(B10256,""en"",""hy"")"),"«Դեպի փարոս»-ի հեղինակը Վիրջինիա Վուլֆն է։")</f>
        <v>«Դեպի փարոս»-ի հեղինակը Վիրջինիա Վուլֆն է։</v>
      </c>
    </row>
    <row r="10257">
      <c r="A10257" s="9" t="s">
        <v>8213</v>
      </c>
      <c r="B10257" s="5" t="s">
        <v>8214</v>
      </c>
      <c r="C10257" s="5" t="str">
        <f>IFERROR(__xludf.DUMMYFUNCTION("GOOGLETRANSLATE(A10257,""en"",""hy"")"),"Ո՞րն է Ռուսաստանի ազգային կենդանին:")</f>
        <v>Ո՞րն է Ռուսաստանի ազգային կենդանին:</v>
      </c>
      <c r="D10257" s="6" t="str">
        <f>IFERROR(__xludf.DUMMYFUNCTION("GOOGLETRANSLATE(B10257,""en"",""hy"")"),"Ռուսաստանի ազգային կենդանին գորշ արջն է։")</f>
        <v>Ռուսաստանի ազգային կենդանին գորշ արջն է։</v>
      </c>
    </row>
    <row r="10258">
      <c r="A10258" s="9" t="s">
        <v>7861</v>
      </c>
      <c r="B10258" s="5" t="s">
        <v>7448</v>
      </c>
      <c r="C10258" s="5" t="str">
        <f>IFERROR(__xludf.DUMMYFUNCTION("GOOGLETRANSLATE(A10258,""en"",""hy"")"),"Ո՞վ է նկարել «Վերջին ընթրիքը»:")</f>
        <v>Ո՞վ է նկարել «Վերջին ընթրիքը»:</v>
      </c>
      <c r="D10258" s="6" t="str">
        <f>IFERROR(__xludf.DUMMYFUNCTION("GOOGLETRANSLATE(B10258,""en"",""hy"")"),"Լեոնարդո դա Վինչի.")</f>
        <v>Լեոնարդո դա Վինչի.</v>
      </c>
    </row>
    <row r="10259">
      <c r="A10259" s="9" t="s">
        <v>10307</v>
      </c>
      <c r="B10259" s="5" t="s">
        <v>10308</v>
      </c>
      <c r="C10259" s="5" t="str">
        <f>IFERROR(__xludf.DUMMYFUNCTION("GOOGLETRANSLATE(A10259,""en"",""hy"")"),"Ո՞ր գործընթացն է, որով ջրի գոլորշին վերածվում է սառույցի՝ նախապես չդառնալով հեղուկ:")</f>
        <v>Ո՞ր գործընթացն է, որով ջրի գոլորշին վերածվում է սառույցի՝ նախապես չդառնալով հեղուկ:</v>
      </c>
      <c r="D10259" s="6" t="str">
        <f>IFERROR(__xludf.DUMMYFUNCTION("GOOGLETRANSLATE(B10259,""en"",""hy"")"),"Գործընթացը կոչվում է նստվածք:")</f>
        <v>Գործընթացը կոչվում է նստվածք:</v>
      </c>
    </row>
    <row r="10260">
      <c r="A10260" s="9" t="s">
        <v>10309</v>
      </c>
      <c r="B10260" s="5" t="s">
        <v>10310</v>
      </c>
      <c r="C10260" s="5" t="str">
        <f>IFERROR(__xludf.DUMMYFUNCTION("GOOGLETRANSLATE(A10260,""en"",""hy"")"),"Ո՞րն է արծաթե տարրի խորհրդանիշը պարբերական աղյուսակում:")</f>
        <v>Ո՞րն է արծաթե տարրի խորհրդանիշը պարբերական աղյուսակում:</v>
      </c>
      <c r="D10260" s="6" t="str">
        <f>IFERROR(__xludf.DUMMYFUNCTION("GOOGLETRANSLATE(B10260,""en"",""hy"")"),"Պարբերական աղյուսակում արծաթ տարրի խորհրդանիշն է Ag.")</f>
        <v>Պարբերական աղյուսակում արծաթ տարրի խորհրդանիշն է Ag.</v>
      </c>
    </row>
    <row r="10261">
      <c r="A10261" s="9" t="s">
        <v>10311</v>
      </c>
      <c r="B10261" s="5" t="s">
        <v>10312</v>
      </c>
      <c r="C10261" s="5" t="str">
        <f>IFERROR(__xludf.DUMMYFUNCTION("GOOGLETRANSLATE(A10261,""en"",""hy"")"),"Ո՞ր երկիրն է հայտնի ինքնաթիռի ստեղծմամբ.")</f>
        <v>Ո՞ր երկիրն է հայտնի ինքնաթիռի ստեղծմամբ.</v>
      </c>
      <c r="D10261" s="6" t="str">
        <f>IFERROR(__xludf.DUMMYFUNCTION("GOOGLETRANSLATE(B10261,""en"",""hy"")"),"Ինքնաթիռի հայտնագործմամբ հայտնի երկիրը ԱՄՆ-ն է։")</f>
        <v>Ինքնաթիռի հայտնագործմամբ հայտնի երկիրը ԱՄՆ-ն է։</v>
      </c>
    </row>
    <row r="10262">
      <c r="A10262" s="9" t="s">
        <v>10313</v>
      </c>
      <c r="B10262" s="5" t="s">
        <v>10314</v>
      </c>
      <c r="C10262" s="5" t="str">
        <f>IFERROR(__xludf.DUMMYFUNCTION("GOOGLETRANSLATE(A10262,""en"",""hy"")"),"Քանի՞ կողմ ունի ոչանկյունը:")</f>
        <v>Քանի՞ կողմ ունի ոչանկյունը:</v>
      </c>
      <c r="D10262" s="6" t="str">
        <f>IFERROR(__xludf.DUMMYFUNCTION("GOOGLETRANSLATE(B10262,""en"",""hy"")"),"Նոնագոնն ունի 9 կողմ:")</f>
        <v>Նոնագոնն ունի 9 կողմ:</v>
      </c>
    </row>
    <row r="10263">
      <c r="A10263" s="9" t="s">
        <v>8010</v>
      </c>
      <c r="B10263" s="5" t="s">
        <v>7578</v>
      </c>
      <c r="C10263" s="5" t="str">
        <f>IFERROR(__xludf.DUMMYFUNCTION("GOOGLETRANSLATE(A10263,""en"",""hy"")"),"Ո՞վ է գրել «Մոբի-Դիկ» վեպը:")</f>
        <v>Ո՞վ է գրել «Մոբի-Դիկ» վեպը:</v>
      </c>
      <c r="D10263" s="6" t="str">
        <f>IFERROR(__xludf.DUMMYFUNCTION("GOOGLETRANSLATE(B10263,""en"",""hy"")"),"Հերման Մելվիլ.")</f>
        <v>Հերման Մելվիլ.</v>
      </c>
    </row>
    <row r="10264">
      <c r="A10264" s="9" t="s">
        <v>9027</v>
      </c>
      <c r="B10264" s="5" t="s">
        <v>9028</v>
      </c>
      <c r="C10264" s="5" t="str">
        <f>IFERROR(__xludf.DUMMYFUNCTION("GOOGLETRANSLATE(A10264,""en"",""hy"")"),"Ո՞րն է Բրազիլիայի ազգային կենդանին:")</f>
        <v>Ո՞րն է Բրազիլիայի ազգային կենդանին:</v>
      </c>
      <c r="D10264" s="6" t="str">
        <f>IFERROR(__xludf.DUMMYFUNCTION("GOOGLETRANSLATE(B10264,""en"",""hy"")"),"Բրազիլիայի ազգային կենդանին յագուարն է։")</f>
        <v>Բրազիլիայի ազգային կենդանին յագուարն է։</v>
      </c>
    </row>
    <row r="10265">
      <c r="A10265" s="9" t="s">
        <v>10315</v>
      </c>
      <c r="B10265" s="5" t="s">
        <v>7905</v>
      </c>
      <c r="C10265" s="5" t="str">
        <f>IFERROR(__xludf.DUMMYFUNCTION("GOOGLETRANSLATE(A10265,""en"",""hy"")"),"Ո՞վ է նկարել «Գիշերային պահակը»:")</f>
        <v>Ո՞վ է նկարել «Գիշերային պահակը»:</v>
      </c>
      <c r="D10265" s="6" t="str">
        <f>IFERROR(__xludf.DUMMYFUNCTION("GOOGLETRANSLATE(B10265,""en"",""hy"")"),"Ռեմբրանդտը։")</f>
        <v>Ռեմբրանդտը։</v>
      </c>
    </row>
    <row r="10266">
      <c r="A10266" s="9" t="s">
        <v>10316</v>
      </c>
      <c r="B10266" s="5" t="s">
        <v>10317</v>
      </c>
      <c r="C10266" s="5" t="str">
        <f>IFERROR(__xludf.DUMMYFUNCTION("GOOGLETRANSLATE(A10266,""en"",""hy"")"),"Ո՞ր գործընթացն է հեղուկ ջուրը վերածվում սառույցի:")</f>
        <v>Ո՞ր գործընթացն է հեղուկ ջուրը վերածվում սառույցի:</v>
      </c>
      <c r="D10266" s="6" t="str">
        <f>IFERROR(__xludf.DUMMYFUNCTION("GOOGLETRANSLATE(B10266,""en"",""hy"")"),"Գործընթացը կոչվում է սառեցում:")</f>
        <v>Գործընթացը կոչվում է սառեցում:</v>
      </c>
    </row>
    <row r="10267">
      <c r="A10267" s="9" t="s">
        <v>10286</v>
      </c>
      <c r="B10267" s="5" t="s">
        <v>9807</v>
      </c>
      <c r="C10267" s="5" t="str">
        <f>IFERROR(__xludf.DUMMYFUNCTION("GOOGLETRANSLATE(A10267,""en"",""hy"")"),"Ո՞րն է պարբերական աղյուսակի հելիում տարրի խորհրդանիշը:")</f>
        <v>Ո՞րն է պարբերական աղյուսակի հելիում տարրի խորհրդանիշը:</v>
      </c>
      <c r="D10267" s="6" t="str">
        <f>IFERROR(__xludf.DUMMYFUNCTION("GOOGLETRANSLATE(B10267,""en"",""hy"")"),"Նա.")</f>
        <v>Նա.</v>
      </c>
    </row>
    <row r="10268">
      <c r="A10268" s="9" t="s">
        <v>10318</v>
      </c>
      <c r="B10268" s="5" t="s">
        <v>10319</v>
      </c>
      <c r="C10268" s="5" t="str">
        <f>IFERROR(__xludf.DUMMYFUNCTION("GOOGLETRANSLATE(A10268,""en"",""hy"")"),"Ո՞ր երկիրն է հայտնի սմարթֆոնի ստեղծմամբ.")</f>
        <v>Ո՞ր երկիրն է հայտնի սմարթֆոնի ստեղծմամբ.</v>
      </c>
      <c r="D10268" s="6" t="str">
        <f>IFERROR(__xludf.DUMMYFUNCTION("GOOGLETRANSLATE(B10268,""en"",""hy"")"),"Սմարթֆոնի հայտնագործմամբ հայտնի երկիրը ԱՄՆ-ն է։")</f>
        <v>Սմարթֆոնի հայտնագործմամբ հայտնի երկիրը ԱՄՆ-ն է։</v>
      </c>
    </row>
    <row r="10269">
      <c r="A10269" s="9" t="s">
        <v>10320</v>
      </c>
      <c r="B10269" s="5" t="s">
        <v>10321</v>
      </c>
      <c r="C10269" s="5" t="str">
        <f>IFERROR(__xludf.DUMMYFUNCTION("GOOGLETRANSLATE(A10269,""en"",""hy"")"),"Քանի՞ կողմ ունի հենակետը:")</f>
        <v>Քանի՞ կողմ ունի հենակետը:</v>
      </c>
      <c r="D10269" s="6" t="str">
        <f>IFERROR(__xludf.DUMMYFUNCTION("GOOGLETRANSLATE(B10269,""en"",""hy"")"),"Հինանկյունն ունի 11 կողմ:")</f>
        <v>Հինանկյունն ունի 11 կողմ:</v>
      </c>
    </row>
    <row r="10270">
      <c r="A10270" s="9" t="s">
        <v>10322</v>
      </c>
      <c r="B10270" s="5" t="s">
        <v>7906</v>
      </c>
      <c r="C10270" s="5" t="str">
        <f>IFERROR(__xludf.DUMMYFUNCTION("GOOGLETRANSLATE(A10270,""en"",""hy"")"),"Ո՞վ է «Նարնիայի քրոնիկները» գրքի հեղինակը։")</f>
        <v>Ո՞վ է «Նարնիայի քրոնիկները» գրքի հեղինակը։</v>
      </c>
      <c r="D10270" s="6" t="str">
        <f>IFERROR(__xludf.DUMMYFUNCTION("GOOGLETRANSLATE(B10270,""en"",""hy"")"),"C.S. Լյուիս.")</f>
        <v>C.S. Լյուիս.</v>
      </c>
    </row>
    <row r="10271">
      <c r="A10271" s="9" t="s">
        <v>9430</v>
      </c>
      <c r="B10271" s="5" t="s">
        <v>9431</v>
      </c>
      <c r="C10271" s="5" t="str">
        <f>IFERROR(__xludf.DUMMYFUNCTION("GOOGLETRANSLATE(A10271,""en"",""hy"")"),"Ո՞րն է Ֆրանսիայի ազգային կենդանին:")</f>
        <v>Ո՞րն է Ֆրանսիայի ազգային կենդանին:</v>
      </c>
      <c r="D10271" s="6" t="str">
        <f>IFERROR(__xludf.DUMMYFUNCTION("GOOGLETRANSLATE(B10271,""en"",""hy"")"),"Ֆրանսիայի ազգային կենդանին գալլական աքլորն է։")</f>
        <v>Ֆրանսիայի ազգային կենդանին գալլական աքլորն է։</v>
      </c>
    </row>
    <row r="10272">
      <c r="A10272" s="9" t="s">
        <v>10323</v>
      </c>
      <c r="B10272" s="5" t="s">
        <v>8043</v>
      </c>
      <c r="C10272" s="5" t="str">
        <f>IFERROR(__xludf.DUMMYFUNCTION("GOOGLETRANSLATE(A10272,""en"",""hy"")"),"Ո՞վ է նկարել «Հիշողության համառությունը»:")</f>
        <v>Ո՞վ է նկարել «Հիշողության համառությունը»:</v>
      </c>
      <c r="D10272" s="6" t="str">
        <f>IFERROR(__xludf.DUMMYFUNCTION("GOOGLETRANSLATE(B10272,""en"",""hy"")"),"Սալվադոր Դալի.")</f>
        <v>Սալվադոր Դալի.</v>
      </c>
    </row>
    <row r="10273">
      <c r="A10273" s="9" t="s">
        <v>10324</v>
      </c>
      <c r="B10273" s="5" t="s">
        <v>10325</v>
      </c>
      <c r="C10273" s="5" t="str">
        <f>IFERROR(__xludf.DUMMYFUNCTION("GOOGLETRANSLATE(A10273,""en"",""hy"")"),"Ո՞րն է այն գործընթացը, որով սառույցն անմիջապես վերածվում է ջրի գոլորշու՝ նախապես չդառնալով հեղուկ:")</f>
        <v>Ո՞րն է այն գործընթացը, որով սառույցն անմիջապես վերածվում է ջրի գոլորշու՝ նախապես չդառնալով հեղուկ:</v>
      </c>
      <c r="D10273" s="6" t="str">
        <f>IFERROR(__xludf.DUMMYFUNCTION("GOOGLETRANSLATE(B10273,""en"",""hy"")"),"Սուբլիմացիա.")</f>
        <v>Սուբլիմացիա.</v>
      </c>
    </row>
    <row r="10274">
      <c r="A10274" s="9" t="s">
        <v>10326</v>
      </c>
      <c r="B10274" s="5" t="s">
        <v>10327</v>
      </c>
      <c r="C10274" s="5" t="str">
        <f>IFERROR(__xludf.DUMMYFUNCTION("GOOGLETRANSLATE(A10274,""en"",""hy"")"),"Ո՞րն է պարբերական աղյուսակի կոբալտ տարրի խորհրդանիշը:")</f>
        <v>Ո՞րն է պարբերական աղյուսակի կոբալտ տարրի խորհրդանիշը:</v>
      </c>
      <c r="D10274" s="6" t="str">
        <f>IFERROR(__xludf.DUMMYFUNCTION("GOOGLETRANSLATE(B10274,""en"",""hy"")"),"Պարբերական աղյուսակում կոբալտի խորհրդանիշն է Co.")</f>
        <v>Պարբերական աղյուսակում կոբալտի խորհրդանիշն է Co.</v>
      </c>
    </row>
    <row r="10275">
      <c r="A10275" s="9" t="s">
        <v>10328</v>
      </c>
      <c r="B10275" s="5" t="s">
        <v>9129</v>
      </c>
      <c r="C10275" s="5" t="str">
        <f>IFERROR(__xludf.DUMMYFUNCTION("GOOGLETRANSLATE(A10275,""en"",""hy"")"),"Ո՞ր երկիրն է հայտնի համակարգիչը հայտնագործելու համար:")</f>
        <v>Ո՞ր երկիրն է հայտնի համակարգիչը հայտնագործելու համար:</v>
      </c>
      <c r="D10275" s="6" t="str">
        <f>IFERROR(__xludf.DUMMYFUNCTION("GOOGLETRANSLATE(B10275,""en"",""hy"")"),"Միացյալ Նահանգները.")</f>
        <v>Միացյալ Նահանգները.</v>
      </c>
    </row>
    <row r="10276">
      <c r="A10276" s="9" t="s">
        <v>9967</v>
      </c>
      <c r="B10276" s="5" t="s">
        <v>9968</v>
      </c>
      <c r="C10276" s="5" t="str">
        <f>IFERROR(__xludf.DUMMYFUNCTION("GOOGLETRANSLATE(A10276,""en"",""hy"")"),"Քանի՞ կողմ ունի տասնանկյունը:")</f>
        <v>Քանի՞ կողմ ունի տասնանկյունը:</v>
      </c>
      <c r="D10276" s="6" t="str">
        <f>IFERROR(__xludf.DUMMYFUNCTION("GOOGLETRANSLATE(B10276,""en"",""hy"")"),"Տասնանկյունն ունի 10 կողմ:")</f>
        <v>Տասնանկյունն ունի 10 կողմ:</v>
      </c>
    </row>
    <row r="10277">
      <c r="A10277" s="9" t="s">
        <v>10329</v>
      </c>
      <c r="B10277" s="5" t="s">
        <v>7444</v>
      </c>
      <c r="C10277" s="5" t="str">
        <f>IFERROR(__xludf.DUMMYFUNCTION("GOOGLETRANSLATE(A10277,""en"",""hy"")"),"Ո՞վ է գրել «Անասնաֆերմա» վեպը։")</f>
        <v>Ո՞վ է գրել «Անասնաֆերմա» վեպը։</v>
      </c>
      <c r="D10277" s="6" t="str">
        <f>IFERROR(__xludf.DUMMYFUNCTION("GOOGLETRANSLATE(B10277,""en"",""hy"")"),"Ջորջ Օրուել.")</f>
        <v>Ջորջ Օրուել.</v>
      </c>
    </row>
    <row r="10278">
      <c r="A10278" s="9" t="s">
        <v>8198</v>
      </c>
      <c r="B10278" s="5" t="s">
        <v>8199</v>
      </c>
      <c r="C10278" s="5" t="str">
        <f>IFERROR(__xludf.DUMMYFUNCTION("GOOGLETRANSLATE(A10278,""en"",""hy"")"),"Ո՞րն է Չինաստանի ազգային կենդանին:")</f>
        <v>Ո՞րն է Չինաստանի ազգային կենդանին:</v>
      </c>
      <c r="D10278" s="6" t="str">
        <f>IFERROR(__xludf.DUMMYFUNCTION("GOOGLETRANSLATE(B10278,""en"",""hy"")"),"Չինաստանի ազգային կենդանին հսկա պանդան է։")</f>
        <v>Չինաստանի ազգային կենդանին հսկա պանդան է։</v>
      </c>
    </row>
    <row r="10279">
      <c r="A10279" s="9" t="s">
        <v>7838</v>
      </c>
      <c r="B10279" s="5" t="s">
        <v>7648</v>
      </c>
      <c r="C10279" s="5" t="str">
        <f>IFERROR(__xludf.DUMMYFUNCTION("GOOGLETRANSLATE(A10279,""en"",""hy"")"),"Ո՞վ է նկարել «Աստղային գիշերը»:")</f>
        <v>Ո՞վ է նկարել «Աստղային գիշերը»:</v>
      </c>
      <c r="D10279" s="6" t="str">
        <f>IFERROR(__xludf.DUMMYFUNCTION("GOOGLETRANSLATE(B10279,""en"",""hy"")"),"Վինսենթ վան Գոգ.")</f>
        <v>Վինսենթ վան Գոգ.</v>
      </c>
    </row>
    <row r="10280">
      <c r="A10280" s="9" t="s">
        <v>10284</v>
      </c>
      <c r="B10280" s="5" t="s">
        <v>10330</v>
      </c>
      <c r="C10280" s="5" t="str">
        <f>IFERROR(__xludf.DUMMYFUNCTION("GOOGLETRANSLATE(A10280,""en"",""hy"")"),"Ո՞ր գործընթացն է, որով ջրի գոլորշին վերածվում է հեղուկ ջրի:")</f>
        <v>Ո՞ր գործընթացն է, որով ջրի գոլորշին վերածվում է հեղուկ ջրի:</v>
      </c>
      <c r="D10280" s="6" t="str">
        <f>IFERROR(__xludf.DUMMYFUNCTION("GOOGLETRANSLATE(B10280,""en"",""hy"")"),"Գործընթացը կոչվում է խտացում:")</f>
        <v>Գործընթացը կոչվում է խտացում:</v>
      </c>
    </row>
    <row r="10281">
      <c r="A10281" s="5"/>
      <c r="B10281" s="5"/>
      <c r="C10281" s="5"/>
      <c r="D10281" s="6"/>
    </row>
  </sheetData>
  <drawing r:id="rId1"/>
</worksheet>
</file>